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E3ADD0B6-F200-4C8F-ADE5-677897226A21}" xr6:coauthVersionLast="45" xr6:coauthVersionMax="45" xr10:uidLastSave="{00000000-0000-0000-0000-000000000000}"/>
  <bookViews>
    <workbookView xWindow="-120" yWindow="-120" windowWidth="29040" windowHeight="15840" tabRatio="791" activeTab="6"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30" r:id="rId14"/>
    <sheet name="RES" sheetId="32"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7" i="57" l="1"/>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D3" i="57" s="1"/>
  <c r="D3" i="56"/>
  <c r="L57" i="58"/>
  <c r="E78" i="32"/>
  <c r="C12" i="45" l="1"/>
  <c r="D27" i="44" l="1"/>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J31" i="44" s="1"/>
  <c r="K28" i="44"/>
  <c r="L28" i="44"/>
  <c r="M28" i="44"/>
  <c r="N28" i="44"/>
  <c r="O28" i="44"/>
  <c r="P28" i="44"/>
  <c r="Q28" i="44"/>
  <c r="R28" i="44"/>
  <c r="S28" i="44"/>
  <c r="T28" i="44"/>
  <c r="U28" i="44"/>
  <c r="V28" i="44"/>
  <c r="V31" i="44" s="1"/>
  <c r="W28" i="44"/>
  <c r="X28" i="44"/>
  <c r="Y28" i="44"/>
  <c r="Z28" i="44"/>
  <c r="AA28" i="44"/>
  <c r="AB28" i="44"/>
  <c r="AC28" i="44"/>
  <c r="AD28" i="44"/>
  <c r="AE28" i="44"/>
  <c r="AF28" i="44"/>
  <c r="AG28" i="44"/>
  <c r="D29" i="44"/>
  <c r="D30" i="44" s="1"/>
  <c r="D33" i="44" s="1"/>
  <c r="E29" i="44"/>
  <c r="E30" i="44" s="1"/>
  <c r="E33" i="44" s="1"/>
  <c r="F29" i="44"/>
  <c r="G29" i="44"/>
  <c r="G32" i="44" s="1"/>
  <c r="H29" i="44"/>
  <c r="H32" i="44" s="1"/>
  <c r="I29" i="44"/>
  <c r="I32" i="44" s="1"/>
  <c r="J29" i="44"/>
  <c r="J32" i="44" s="1"/>
  <c r="K29" i="44"/>
  <c r="L29" i="44"/>
  <c r="M29" i="44"/>
  <c r="N29" i="44"/>
  <c r="O29" i="44"/>
  <c r="P29" i="44"/>
  <c r="P30" i="44" s="1"/>
  <c r="Q29" i="44"/>
  <c r="Q30" i="44" s="1"/>
  <c r="Q33" i="44" s="1"/>
  <c r="R29" i="44"/>
  <c r="S29" i="44"/>
  <c r="T29" i="44"/>
  <c r="T32" i="44" s="1"/>
  <c r="U29" i="44"/>
  <c r="V29" i="44"/>
  <c r="V30" i="44" s="1"/>
  <c r="V33" i="44" s="1"/>
  <c r="W29" i="44"/>
  <c r="X29" i="44"/>
  <c r="Y29" i="44"/>
  <c r="Z29" i="44"/>
  <c r="AA29" i="44"/>
  <c r="AB29" i="44"/>
  <c r="AB30" i="44" s="1"/>
  <c r="AB33" i="44" s="1"/>
  <c r="AC29" i="44"/>
  <c r="AC30" i="44" s="1"/>
  <c r="AC33" i="44" s="1"/>
  <c r="AD29" i="44"/>
  <c r="AE29" i="44"/>
  <c r="AF29" i="44"/>
  <c r="AG29"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C34" i="44"/>
  <c r="C29" i="44"/>
  <c r="C28" i="44"/>
  <c r="C27" i="44"/>
  <c r="D7" i="44"/>
  <c r="E7" i="44"/>
  <c r="F7" i="44"/>
  <c r="G7" i="44"/>
  <c r="H7" i="44"/>
  <c r="I7" i="44"/>
  <c r="J7" i="44"/>
  <c r="K7" i="44"/>
  <c r="L7" i="44"/>
  <c r="M7" i="44"/>
  <c r="N7" i="44"/>
  <c r="O7" i="44"/>
  <c r="P7" i="44"/>
  <c r="Q7" i="44"/>
  <c r="R7" i="44"/>
  <c r="S7" i="44"/>
  <c r="T7" i="44"/>
  <c r="U7" i="44"/>
  <c r="V7" i="44"/>
  <c r="W7" i="44"/>
  <c r="X7" i="44"/>
  <c r="Y7" i="44"/>
  <c r="Z7" i="44"/>
  <c r="AA7" i="44"/>
  <c r="AB7" i="44"/>
  <c r="AC7" i="44"/>
  <c r="AD7" i="44"/>
  <c r="AE7" i="44"/>
  <c r="AF7" i="44"/>
  <c r="AG7" i="44"/>
  <c r="D8" i="44"/>
  <c r="E8" i="44"/>
  <c r="F8" i="44"/>
  <c r="G8" i="44"/>
  <c r="H8" i="44"/>
  <c r="I8" i="44"/>
  <c r="J8" i="44"/>
  <c r="K8" i="44"/>
  <c r="L8" i="44"/>
  <c r="M8" i="44"/>
  <c r="N8" i="44"/>
  <c r="O8" i="44"/>
  <c r="P8" i="44"/>
  <c r="Q8" i="44"/>
  <c r="R8" i="44"/>
  <c r="S8" i="44"/>
  <c r="T8" i="44"/>
  <c r="U8" i="44"/>
  <c r="V8" i="44"/>
  <c r="W8" i="44"/>
  <c r="X8" i="44"/>
  <c r="Y8" i="44"/>
  <c r="Z8" i="44"/>
  <c r="AA8" i="44"/>
  <c r="AB8" i="44"/>
  <c r="AC8" i="44"/>
  <c r="AD8" i="44"/>
  <c r="AE8" i="44"/>
  <c r="AF8" i="44"/>
  <c r="AG8" i="44"/>
  <c r="D9" i="44"/>
  <c r="E9" i="44"/>
  <c r="F9" i="44"/>
  <c r="G9" i="44"/>
  <c r="H9" i="44"/>
  <c r="I9" i="44"/>
  <c r="J9" i="44"/>
  <c r="K9" i="44"/>
  <c r="L9" i="44"/>
  <c r="M9" i="44"/>
  <c r="N9" i="44"/>
  <c r="O9" i="44"/>
  <c r="P9" i="44"/>
  <c r="Q9" i="44"/>
  <c r="R9" i="44"/>
  <c r="S9" i="44"/>
  <c r="T9" i="44"/>
  <c r="U9" i="44"/>
  <c r="V9" i="44"/>
  <c r="W9" i="44"/>
  <c r="X9" i="44"/>
  <c r="Y9" i="44"/>
  <c r="Z9" i="44"/>
  <c r="AA9" i="44"/>
  <c r="AB9" i="44"/>
  <c r="AC9" i="44"/>
  <c r="AD9" i="44"/>
  <c r="AE9" i="44"/>
  <c r="AF9" i="44"/>
  <c r="AG9" i="44"/>
  <c r="D10" i="44"/>
  <c r="E10" i="44"/>
  <c r="F10" i="44"/>
  <c r="G10" i="44"/>
  <c r="H10" i="44"/>
  <c r="I10" i="44"/>
  <c r="J10" i="44"/>
  <c r="K10" i="44"/>
  <c r="L10" i="44"/>
  <c r="M10" i="44"/>
  <c r="N10" i="44"/>
  <c r="O10" i="44"/>
  <c r="P10" i="44"/>
  <c r="Q10" i="44"/>
  <c r="R10" i="44"/>
  <c r="S10" i="44"/>
  <c r="T10" i="44"/>
  <c r="U10" i="44"/>
  <c r="V10" i="44"/>
  <c r="W10" i="44"/>
  <c r="X10" i="44"/>
  <c r="Y10" i="44"/>
  <c r="Z10" i="44"/>
  <c r="AA10" i="44"/>
  <c r="AB10" i="44"/>
  <c r="AC10" i="44"/>
  <c r="AD10" i="44"/>
  <c r="AE10" i="44"/>
  <c r="AF10" i="44"/>
  <c r="AG10" i="44"/>
  <c r="D11" i="44"/>
  <c r="E11" i="44"/>
  <c r="F11" i="44"/>
  <c r="G11" i="44"/>
  <c r="H11" i="44"/>
  <c r="I11" i="44"/>
  <c r="J11" i="44"/>
  <c r="K11" i="44"/>
  <c r="L11" i="44"/>
  <c r="M11" i="44"/>
  <c r="N11" i="44"/>
  <c r="O11" i="44"/>
  <c r="P11" i="44"/>
  <c r="Q11" i="44"/>
  <c r="R11" i="44"/>
  <c r="S11" i="44"/>
  <c r="T11" i="44"/>
  <c r="U11" i="44"/>
  <c r="V11" i="44"/>
  <c r="W11" i="44"/>
  <c r="X11" i="44"/>
  <c r="Y11" i="44"/>
  <c r="Z11" i="44"/>
  <c r="AA11" i="44"/>
  <c r="AB11" i="44"/>
  <c r="AC11" i="44"/>
  <c r="AD11" i="44"/>
  <c r="AE11" i="44"/>
  <c r="AF11" i="44"/>
  <c r="AG11" i="44"/>
  <c r="D12" i="44"/>
  <c r="E12" i="44"/>
  <c r="F12" i="44"/>
  <c r="G12" i="44"/>
  <c r="H12" i="44"/>
  <c r="I12" i="44"/>
  <c r="J12" i="44"/>
  <c r="K12" i="44"/>
  <c r="L12" i="44"/>
  <c r="M12" i="44"/>
  <c r="N12" i="44"/>
  <c r="O12" i="44"/>
  <c r="P12" i="44"/>
  <c r="Q12" i="44"/>
  <c r="R12" i="44"/>
  <c r="S12" i="44"/>
  <c r="T12" i="44"/>
  <c r="U12" i="44"/>
  <c r="V12" i="44"/>
  <c r="W12" i="44"/>
  <c r="X12" i="44"/>
  <c r="Y12" i="44"/>
  <c r="Z12" i="44"/>
  <c r="AA12" i="44"/>
  <c r="AB12" i="44"/>
  <c r="AC12" i="44"/>
  <c r="AD12" i="44"/>
  <c r="AE12" i="44"/>
  <c r="AF12" i="44"/>
  <c r="AG12" i="44"/>
  <c r="D13" i="44"/>
  <c r="E13" i="44"/>
  <c r="F13" i="44"/>
  <c r="G13" i="44"/>
  <c r="H13" i="44"/>
  <c r="I13" i="44"/>
  <c r="J13" i="44"/>
  <c r="K13" i="44"/>
  <c r="L13" i="44"/>
  <c r="M13" i="44"/>
  <c r="N13" i="44"/>
  <c r="O13" i="44"/>
  <c r="P13" i="44"/>
  <c r="Q13" i="44"/>
  <c r="R13" i="44"/>
  <c r="S13" i="44"/>
  <c r="T13" i="44"/>
  <c r="U13" i="44"/>
  <c r="V13" i="44"/>
  <c r="W13" i="44"/>
  <c r="X13" i="44"/>
  <c r="Y13" i="44"/>
  <c r="Z13" i="44"/>
  <c r="AA13" i="44"/>
  <c r="AB13" i="44"/>
  <c r="AC13" i="44"/>
  <c r="AD13" i="44"/>
  <c r="AE13" i="44"/>
  <c r="AF13" i="44"/>
  <c r="AG13" i="44"/>
  <c r="D14" i="44"/>
  <c r="E14" i="44"/>
  <c r="F14" i="44"/>
  <c r="G14" i="44"/>
  <c r="H14" i="44"/>
  <c r="I14" i="44"/>
  <c r="J14" i="44"/>
  <c r="K14" i="44"/>
  <c r="L14" i="44"/>
  <c r="M14" i="44"/>
  <c r="N14" i="44"/>
  <c r="O14" i="44"/>
  <c r="P14" i="44"/>
  <c r="Q14" i="44"/>
  <c r="R14" i="44"/>
  <c r="S14" i="44"/>
  <c r="T14" i="44"/>
  <c r="U14" i="44"/>
  <c r="V14" i="44"/>
  <c r="W14" i="44"/>
  <c r="X14" i="44"/>
  <c r="Y14" i="44"/>
  <c r="Z14" i="44"/>
  <c r="AA14" i="44"/>
  <c r="AB14" i="44"/>
  <c r="AC14" i="44"/>
  <c r="AD14" i="44"/>
  <c r="AE14" i="44"/>
  <c r="AF14" i="44"/>
  <c r="AG14" i="44"/>
  <c r="D15" i="44"/>
  <c r="E15" i="44"/>
  <c r="F15" i="44"/>
  <c r="G15" i="44"/>
  <c r="H15" i="44"/>
  <c r="I15" i="44"/>
  <c r="J15" i="44"/>
  <c r="K15" i="44"/>
  <c r="L15" i="44"/>
  <c r="M15" i="44"/>
  <c r="N15" i="44"/>
  <c r="O15" i="44"/>
  <c r="P15" i="44"/>
  <c r="Q15" i="44"/>
  <c r="R15" i="44"/>
  <c r="S15" i="44"/>
  <c r="T15" i="44"/>
  <c r="U15" i="44"/>
  <c r="V15" i="44"/>
  <c r="W15" i="44"/>
  <c r="X15" i="44"/>
  <c r="Y15" i="44"/>
  <c r="Z15" i="44"/>
  <c r="AA15" i="44"/>
  <c r="AB15" i="44"/>
  <c r="AC15" i="44"/>
  <c r="AD15" i="44"/>
  <c r="AE15" i="44"/>
  <c r="AF15" i="44"/>
  <c r="AG15" i="44"/>
  <c r="D16" i="44"/>
  <c r="E16" i="44"/>
  <c r="F16" i="44"/>
  <c r="G16" i="44"/>
  <c r="H16" i="44"/>
  <c r="I16" i="44"/>
  <c r="J16" i="44"/>
  <c r="K16" i="44"/>
  <c r="L16" i="44"/>
  <c r="M16" i="44"/>
  <c r="N16" i="44"/>
  <c r="O16" i="44"/>
  <c r="P16" i="44"/>
  <c r="Q16" i="44"/>
  <c r="R16" i="44"/>
  <c r="S16" i="44"/>
  <c r="T16" i="44"/>
  <c r="U16" i="44"/>
  <c r="V16" i="44"/>
  <c r="W16" i="44"/>
  <c r="X16" i="44"/>
  <c r="Y16" i="44"/>
  <c r="Z16" i="44"/>
  <c r="AA16" i="44"/>
  <c r="AB16" i="44"/>
  <c r="AC16" i="44"/>
  <c r="AD16" i="44"/>
  <c r="AE16" i="44"/>
  <c r="AF16" i="44"/>
  <c r="AG16" i="44"/>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0" i="44"/>
  <c r="E20" i="44"/>
  <c r="F20" i="44"/>
  <c r="G20" i="44"/>
  <c r="H20" i="44"/>
  <c r="I20" i="44"/>
  <c r="J20" i="44"/>
  <c r="K20" i="44"/>
  <c r="L20" i="44"/>
  <c r="M20" i="44"/>
  <c r="N20" i="44"/>
  <c r="O20" i="44"/>
  <c r="P20" i="44"/>
  <c r="Q20" i="44"/>
  <c r="R20" i="44"/>
  <c r="S20" i="44"/>
  <c r="T20" i="44"/>
  <c r="U20" i="44"/>
  <c r="V20" i="44"/>
  <c r="W20" i="44"/>
  <c r="X20" i="44"/>
  <c r="Y20" i="44"/>
  <c r="Z20" i="44"/>
  <c r="AA20" i="44"/>
  <c r="AB20" i="44"/>
  <c r="AC20" i="44"/>
  <c r="AD20" i="44"/>
  <c r="AE20" i="44"/>
  <c r="AF20" i="44"/>
  <c r="AG20" i="44"/>
  <c r="D21" i="44"/>
  <c r="E21" i="44"/>
  <c r="F21" i="44"/>
  <c r="G21" i="44"/>
  <c r="H21" i="44"/>
  <c r="I21" i="44"/>
  <c r="J21" i="44"/>
  <c r="K21" i="44"/>
  <c r="L21" i="44"/>
  <c r="M21" i="44"/>
  <c r="N21" i="44"/>
  <c r="O21" i="44"/>
  <c r="P21" i="44"/>
  <c r="Q21" i="44"/>
  <c r="R21" i="44"/>
  <c r="S21" i="44"/>
  <c r="T21" i="44"/>
  <c r="U21" i="44"/>
  <c r="V21" i="44"/>
  <c r="W21" i="44"/>
  <c r="X21" i="44"/>
  <c r="Y21" i="44"/>
  <c r="Z21" i="44"/>
  <c r="AA21" i="44"/>
  <c r="AB21" i="44"/>
  <c r="AC21" i="44"/>
  <c r="AD21" i="44"/>
  <c r="AE21" i="44"/>
  <c r="AF21" i="44"/>
  <c r="AG21"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C8" i="44"/>
  <c r="C9" i="44"/>
  <c r="C10" i="44"/>
  <c r="C11" i="44"/>
  <c r="C12" i="44"/>
  <c r="C13" i="44"/>
  <c r="C14" i="44"/>
  <c r="C15" i="44"/>
  <c r="C16" i="44"/>
  <c r="C17" i="44"/>
  <c r="C18" i="44"/>
  <c r="C19" i="44"/>
  <c r="C20" i="44"/>
  <c r="C21" i="44"/>
  <c r="C22" i="44"/>
  <c r="C23" i="44"/>
  <c r="C24" i="44"/>
  <c r="C7" i="44"/>
  <c r="P33" i="44" l="1"/>
  <c r="K32" i="44"/>
  <c r="AD32" i="44"/>
  <c r="Y32" i="44"/>
  <c r="W32" i="44"/>
  <c r="W31" i="44"/>
  <c r="K31" i="44"/>
  <c r="AE32" i="44"/>
  <c r="Q31" i="44"/>
  <c r="AA32" i="44"/>
  <c r="M32" i="44"/>
  <c r="E31" i="44"/>
  <c r="W30" i="44"/>
  <c r="W33" i="44" s="1"/>
  <c r="K30" i="44"/>
  <c r="K33" i="44" s="1"/>
  <c r="X30" i="44"/>
  <c r="X33" i="44" s="1"/>
  <c r="L30" i="44"/>
  <c r="L33" i="44" s="1"/>
  <c r="R31" i="44"/>
  <c r="F31" i="44"/>
  <c r="V32" i="44"/>
  <c r="M30" i="44"/>
  <c r="M33" i="44" s="1"/>
  <c r="O30" i="44"/>
  <c r="O33" i="44" s="1"/>
  <c r="AG31" i="44"/>
  <c r="U31" i="44"/>
  <c r="I31" i="44"/>
  <c r="Z30" i="44"/>
  <c r="Z33" i="44" s="1"/>
  <c r="N30" i="44"/>
  <c r="N33" i="44" s="1"/>
  <c r="AF31" i="44"/>
  <c r="H31" i="44"/>
  <c r="AA31" i="44"/>
  <c r="O31" i="44"/>
  <c r="O32" i="44"/>
  <c r="AA30" i="44"/>
  <c r="AA33" i="44" s="1"/>
  <c r="AG30" i="44"/>
  <c r="AG33" i="44" s="1"/>
  <c r="U30" i="44"/>
  <c r="U33" i="44" s="1"/>
  <c r="I30" i="44"/>
  <c r="I33" i="44" s="1"/>
  <c r="L32" i="44"/>
  <c r="T30" i="44"/>
  <c r="T33" i="44" s="1"/>
  <c r="Z31" i="44"/>
  <c r="N31" i="44"/>
  <c r="AB31" i="44"/>
  <c r="P31" i="44"/>
  <c r="D31" i="44"/>
  <c r="U32" i="44"/>
  <c r="Y30" i="44"/>
  <c r="Y33" i="44" s="1"/>
  <c r="AE31" i="44"/>
  <c r="S31" i="44"/>
  <c r="G31" i="44"/>
  <c r="J30" i="44"/>
  <c r="J33" i="44" s="1"/>
  <c r="X32" i="44"/>
  <c r="R30" i="44"/>
  <c r="R33" i="44" s="1"/>
  <c r="F30" i="44"/>
  <c r="F33" i="44" s="1"/>
  <c r="X31" i="44"/>
  <c r="L31" i="44"/>
  <c r="S30" i="44"/>
  <c r="S33" i="44" s="1"/>
  <c r="Y31" i="44"/>
  <c r="M31" i="44"/>
  <c r="N32" i="44"/>
  <c r="T31" i="44"/>
  <c r="Z32" i="44"/>
  <c r="H30" i="44"/>
  <c r="H33" i="44" s="1"/>
  <c r="AF30" i="44"/>
  <c r="AF33" i="44" s="1"/>
  <c r="AD31" i="44"/>
  <c r="AC31" i="44"/>
  <c r="AG32" i="44"/>
  <c r="S32" i="44"/>
  <c r="AE30" i="44"/>
  <c r="AE33" i="44" s="1"/>
  <c r="G30" i="44"/>
  <c r="G33" i="44" s="1"/>
  <c r="AD30" i="44"/>
  <c r="AD33" i="44" s="1"/>
  <c r="AC32" i="44"/>
  <c r="Q32" i="44"/>
  <c r="E32" i="44"/>
  <c r="AF32" i="44"/>
  <c r="R32" i="44"/>
  <c r="F32" i="44"/>
  <c r="AB32" i="44"/>
  <c r="P32" i="44"/>
  <c r="D32" i="44"/>
  <c r="C11" i="45"/>
  <c r="C10" i="45"/>
  <c r="C9" i="45"/>
  <c r="C8" i="45"/>
  <c r="C7" i="45"/>
  <c r="AK162" i="57" l="1"/>
  <c r="AI162" i="57"/>
  <c r="AF162" i="57"/>
  <c r="AG162" i="57"/>
  <c r="AE162" i="57"/>
  <c r="AB162" i="57"/>
  <c r="AC162" i="57"/>
  <c r="AA162" i="57"/>
  <c r="AB161" i="57"/>
  <c r="AF161" i="57"/>
  <c r="E126" i="47" l="1"/>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H69" i="58"/>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G63" i="58"/>
  <c r="E63" i="58" s="1"/>
  <c r="F63" i="58"/>
  <c r="D63" i="58" s="1"/>
  <c r="G62" i="58"/>
  <c r="E62" i="58" s="1"/>
  <c r="F62" i="58"/>
  <c r="D62" i="58" s="1"/>
  <c r="G61" i="58"/>
  <c r="E61" i="58" s="1"/>
  <c r="F61" i="58"/>
  <c r="D61" i="58" s="1"/>
  <c r="G60" i="58"/>
  <c r="E60" i="58" s="1"/>
  <c r="F60" i="58"/>
  <c r="D60" i="58" s="1"/>
  <c r="G59" i="58"/>
  <c r="E59" i="58" s="1"/>
  <c r="F59" i="58"/>
  <c r="D59" i="58" s="1"/>
  <c r="G58" i="58"/>
  <c r="E58" i="58" s="1"/>
  <c r="F58" i="58"/>
  <c r="D58" i="58" s="1"/>
  <c r="G57" i="58"/>
  <c r="E57" i="58" s="1"/>
  <c r="F57" i="58"/>
  <c r="D57" i="58" s="1"/>
  <c r="G56" i="58"/>
  <c r="E56" i="58" s="1"/>
  <c r="F56" i="58"/>
  <c r="D56" i="58" s="1"/>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E75" i="58" l="1"/>
  <c r="E86" i="58" s="1"/>
  <c r="E97" i="58" s="1"/>
  <c r="E72" i="58"/>
  <c r="E83" i="58" s="1"/>
  <c r="E94" i="58" s="1"/>
  <c r="E74" i="58"/>
  <c r="E85" i="58" s="1"/>
  <c r="E96" i="58" s="1"/>
  <c r="E78" i="58"/>
  <c r="E89" i="58" s="1"/>
  <c r="E100" i="58" s="1"/>
  <c r="E70" i="58"/>
  <c r="E81" i="58" s="1"/>
  <c r="E92" i="58" s="1"/>
  <c r="E71" i="58"/>
  <c r="E82" i="58" s="1"/>
  <c r="E93" i="58" s="1"/>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J81" i="55" l="1"/>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J170" i="58" l="1"/>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04" i="58"/>
  <c r="N4" i="58"/>
  <c r="M67" i="58"/>
  <c r="M104" i="58" s="1"/>
  <c r="M6" i="58"/>
  <c r="M22" i="58"/>
  <c r="M7" i="58"/>
  <c r="M12" i="58" a="1"/>
  <c r="M12" i="58" s="1"/>
  <c r="M11" i="58" s="1"/>
  <c r="M5" i="58"/>
  <c r="K88" i="58"/>
  <c r="K87" i="58"/>
  <c r="K76" i="58"/>
  <c r="K168" i="58" s="1"/>
  <c r="K77" i="58"/>
  <c r="K169" i="58" s="1"/>
  <c r="L8" i="58"/>
  <c r="J226" i="58" l="1"/>
  <c r="J227" i="58"/>
  <c r="J223" i="58"/>
  <c r="J53" i="58"/>
  <c r="J177" i="58"/>
  <c r="J236" i="58" s="1"/>
  <c r="J251" i="58" s="1"/>
  <c r="G113" i="47" s="1"/>
  <c r="J174" i="58"/>
  <c r="J233" i="58" s="1"/>
  <c r="J248" i="58" s="1"/>
  <c r="G109" i="47" s="1"/>
  <c r="J179" i="58"/>
  <c r="J238" i="58" s="1"/>
  <c r="J253" i="58" s="1"/>
  <c r="G117" i="47" s="1"/>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13" i="58"/>
  <c r="J225" i="58" s="1"/>
  <c r="B225" i="58"/>
  <c r="B220" i="58"/>
  <c r="J208" i="58"/>
  <c r="J220" i="58" s="1"/>
  <c r="D4" i="56"/>
  <c r="J245" i="58" l="1"/>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2" i="58"/>
  <c r="O7" i="58"/>
  <c r="O5" i="58"/>
  <c r="P4" i="58"/>
  <c r="M76" i="58"/>
  <c r="L168" i="58"/>
  <c r="N46" i="58"/>
  <c r="M45" i="58"/>
  <c r="M43" i="58"/>
  <c r="M44" i="58"/>
  <c r="M46" i="58"/>
  <c r="K44" i="58"/>
  <c r="K50" i="58" s="1"/>
  <c r="K45" i="58"/>
  <c r="K51" i="58" s="1"/>
  <c r="K43" i="58"/>
  <c r="K49" i="58" s="1"/>
  <c r="K46" i="58"/>
  <c r="K52" i="58" s="1"/>
  <c r="W27" i="56"/>
  <c r="V27" i="56"/>
  <c r="AH75" i="56"/>
  <c r="K53" i="58" l="1"/>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AJ161" i="57"/>
  <c r="AJ162" i="57" s="1"/>
  <c r="AE161" i="57"/>
  <c r="N139" i="57"/>
  <c r="B26" i="57" l="1"/>
  <c r="D141" i="57"/>
  <c r="K226" i="58"/>
  <c r="K264" i="58" s="1"/>
  <c r="H119" i="47" s="1"/>
  <c r="K227" i="58"/>
  <c r="K265" i="58" s="1"/>
  <c r="H125" i="47" s="1"/>
  <c r="M50" i="58"/>
  <c r="L192" i="58"/>
  <c r="L193" i="58"/>
  <c r="M49" i="58"/>
  <c r="L53" i="58"/>
  <c r="L181" i="58"/>
  <c r="L180" i="58"/>
  <c r="Q67" i="58"/>
  <c r="Q104" i="58" s="1"/>
  <c r="Q22" i="58"/>
  <c r="Q7" i="58"/>
  <c r="Q6" i="58"/>
  <c r="Q5" i="58"/>
  <c r="Q8" i="58" s="1"/>
  <c r="Q12" i="58" a="1"/>
  <c r="Q12" i="58" s="1"/>
  <c r="Q11" i="58" s="1"/>
  <c r="R4" i="58"/>
  <c r="P8" i="58"/>
  <c r="M52" i="58"/>
  <c r="L214" i="58"/>
  <c r="L215" i="58"/>
  <c r="M51" i="58"/>
  <c r="L204" i="58"/>
  <c r="L203" i="58"/>
  <c r="Q25" i="58"/>
  <c r="D178" i="57" l="1"/>
  <c r="D34" i="57"/>
  <c r="B43" i="57"/>
  <c r="B42" i="57"/>
  <c r="N52" i="58"/>
  <c r="M215" i="58"/>
  <c r="M214" i="58"/>
  <c r="L226" i="58"/>
  <c r="L264" i="58" s="1"/>
  <c r="I119" i="47" s="1"/>
  <c r="N49" i="58"/>
  <c r="M53" i="58"/>
  <c r="M181" i="58"/>
  <c r="M180" i="58"/>
  <c r="N51" i="58"/>
  <c r="M203" i="58"/>
  <c r="M204" i="58"/>
  <c r="N50" i="58"/>
  <c r="M192" i="58"/>
  <c r="M193" i="58"/>
  <c r="R5" i="58"/>
  <c r="R7" i="58"/>
  <c r="R22" i="58"/>
  <c r="R25" i="58" s="1"/>
  <c r="R6" i="58"/>
  <c r="R12" i="58" a="1"/>
  <c r="R12" i="58" s="1"/>
  <c r="R11" i="58" s="1"/>
  <c r="R67" i="58"/>
  <c r="R104" i="58" s="1"/>
  <c r="S4" i="58"/>
  <c r="L227" i="58"/>
  <c r="L265" i="58" s="1"/>
  <c r="I125" i="47" s="1"/>
  <c r="P88" i="58"/>
  <c r="Q88" i="58" s="1"/>
  <c r="P77" i="58"/>
  <c r="Q77" i="58" s="1"/>
  <c r="P87" i="58"/>
  <c r="Q87" i="58" s="1"/>
  <c r="P76" i="58"/>
  <c r="Q76" i="58" s="1"/>
  <c r="M227" i="58" l="1"/>
  <c r="M265" i="58" s="1"/>
  <c r="J125" i="47" s="1"/>
  <c r="M226" i="58"/>
  <c r="M264" i="58" s="1"/>
  <c r="J119" i="47" s="1"/>
  <c r="R8" i="58"/>
  <c r="N215" i="58"/>
  <c r="N214" i="58"/>
  <c r="S67" i="58"/>
  <c r="S104" i="58" s="1"/>
  <c r="S22" i="58"/>
  <c r="S25" i="58" s="1"/>
  <c r="S12" i="58" a="1"/>
  <c r="S12" i="58" s="1"/>
  <c r="S11" i="58" s="1"/>
  <c r="S7" i="58"/>
  <c r="S5" i="58"/>
  <c r="T4" i="58"/>
  <c r="S6" i="58"/>
  <c r="N203" i="58"/>
  <c r="N204" i="58"/>
  <c r="N192" i="58"/>
  <c r="N193" i="58"/>
  <c r="N53" i="58"/>
  <c r="N180" i="58"/>
  <c r="N181" i="58"/>
  <c r="E44" i="29"/>
  <c r="N226" i="58" l="1"/>
  <c r="N264" i="58" s="1"/>
  <c r="K119" i="47" s="1"/>
  <c r="R88" i="58"/>
  <c r="R77" i="58"/>
  <c r="R87" i="58"/>
  <c r="R76" i="58"/>
  <c r="T22" i="58"/>
  <c r="T25" i="58" s="1"/>
  <c r="T5" i="58"/>
  <c r="T12" i="58" a="1"/>
  <c r="T12" i="58" s="1"/>
  <c r="T11" i="58" s="1"/>
  <c r="U4" i="58"/>
  <c r="T7" i="58"/>
  <c r="T67" i="58"/>
  <c r="T104" i="58" s="1"/>
  <c r="T6" i="58"/>
  <c r="N227" i="58"/>
  <c r="N265" i="58" s="1"/>
  <c r="K125" i="47" s="1"/>
  <c r="S8" i="58"/>
  <c r="E129" i="56"/>
  <c r="F108" i="56"/>
  <c r="F197" i="57"/>
  <c r="K197" i="57"/>
  <c r="AN196" i="57"/>
  <c r="AO196" i="57"/>
  <c r="S77" i="58" l="1"/>
  <c r="S87" i="58"/>
  <c r="S76" i="58"/>
  <c r="S88" i="58"/>
  <c r="T8" i="58"/>
  <c r="U67" i="58"/>
  <c r="U104" i="58" s="1"/>
  <c r="U12" i="58" a="1"/>
  <c r="U12" i="58" s="1"/>
  <c r="U11" i="58" s="1"/>
  <c r="U22" i="58"/>
  <c r="U25" i="58" s="1"/>
  <c r="U5" i="58"/>
  <c r="U7" i="58"/>
  <c r="U6" i="58"/>
  <c r="V4" i="58"/>
  <c r="U8" i="58" l="1"/>
  <c r="V7" i="58"/>
  <c r="V12" i="58" a="1"/>
  <c r="V12" i="58" s="1"/>
  <c r="V11" i="58" s="1"/>
  <c r="W4" i="58"/>
  <c r="V22" i="58"/>
  <c r="V25" i="58" s="1"/>
  <c r="V6" i="58"/>
  <c r="V67" i="58"/>
  <c r="V104" i="58" s="1"/>
  <c r="V5" i="58"/>
  <c r="V8" i="58" s="1"/>
  <c r="T87" i="58"/>
  <c r="T88" i="58"/>
  <c r="T77" i="58"/>
  <c r="T76" i="58"/>
  <c r="C30" i="44"/>
  <c r="W67" i="58" l="1"/>
  <c r="W104" i="58" s="1"/>
  <c r="W5" i="58"/>
  <c r="W12" i="58" a="1"/>
  <c r="W12" i="58" s="1"/>
  <c r="W11" i="58" s="1"/>
  <c r="W7" i="58"/>
  <c r="X4" i="58"/>
  <c r="W22" i="58"/>
  <c r="W25" i="58" s="1"/>
  <c r="W6" i="58"/>
  <c r="U87" i="58"/>
  <c r="V87" i="58" s="1"/>
  <c r="U88" i="58"/>
  <c r="V88" i="58" s="1"/>
  <c r="U77" i="58"/>
  <c r="V77" i="58" s="1"/>
  <c r="U76" i="58"/>
  <c r="V76" i="58" s="1"/>
  <c r="AG35" i="44" l="1"/>
  <c r="W8" i="58"/>
  <c r="X67" i="58"/>
  <c r="X104" i="58" s="1"/>
  <c r="X7" i="58"/>
  <c r="X6" i="58"/>
  <c r="X22" i="58"/>
  <c r="X25" i="58" s="1"/>
  <c r="X12" i="58" a="1"/>
  <c r="X12" i="58" s="1"/>
  <c r="X11" i="58" s="1"/>
  <c r="X5" i="58"/>
  <c r="X8" i="58" s="1"/>
  <c r="Y4" i="58"/>
  <c r="AQ10" i="58"/>
  <c r="AV10" i="58"/>
  <c r="J10" i="58"/>
  <c r="W88" i="58" l="1"/>
  <c r="X88" i="58" s="1"/>
  <c r="W87" i="58"/>
  <c r="X87" i="58" s="1"/>
  <c r="W76" i="58"/>
  <c r="X76" i="58" s="1"/>
  <c r="W77" i="58"/>
  <c r="X77" i="58" s="1"/>
  <c r="Y12" i="58" a="1"/>
  <c r="Y12" i="58" s="1"/>
  <c r="Y11" i="58" s="1"/>
  <c r="Y67" i="58"/>
  <c r="Y104" i="58" s="1"/>
  <c r="Z4" i="58"/>
  <c r="Y22" i="58"/>
  <c r="Y25" i="58" s="1"/>
  <c r="Y6" i="58"/>
  <c r="Y5" i="58"/>
  <c r="Y7" i="58"/>
  <c r="AG25" i="44"/>
  <c r="AF25" i="44"/>
  <c r="C25" i="44"/>
  <c r="E11" i="57"/>
  <c r="D4" i="57"/>
  <c r="F3" i="56"/>
  <c r="D1" i="56"/>
  <c r="I260" i="57"/>
  <c r="G260" i="57"/>
  <c r="I259" i="57"/>
  <c r="G259" i="57"/>
  <c r="I258" i="57"/>
  <c r="G258" i="57"/>
  <c r="J254" i="57"/>
  <c r="B253" i="57"/>
  <c r="B252" i="57"/>
  <c r="B251" i="57"/>
  <c r="E246" i="57"/>
  <c r="D246" i="57"/>
  <c r="C246" i="57"/>
  <c r="C245" i="57"/>
  <c r="K244" i="57"/>
  <c r="J244" i="57"/>
  <c r="I244" i="57"/>
  <c r="H244" i="57"/>
  <c r="G244" i="57"/>
  <c r="C244" i="57"/>
  <c r="I235" i="57"/>
  <c r="I234" i="57"/>
  <c r="I233" i="57"/>
  <c r="H233" i="57"/>
  <c r="G233" i="57"/>
  <c r="E233" i="57"/>
  <c r="C233" i="57"/>
  <c r="B233" i="57"/>
  <c r="I232" i="57"/>
  <c r="H232" i="57"/>
  <c r="G232" i="57"/>
  <c r="E232" i="57"/>
  <c r="C232" i="57"/>
  <c r="B232" i="57"/>
  <c r="I231" i="57"/>
  <c r="H231" i="57"/>
  <c r="G231" i="57"/>
  <c r="E231" i="57"/>
  <c r="C231" i="57"/>
  <c r="B231" i="57"/>
  <c r="I230" i="57"/>
  <c r="H230" i="57"/>
  <c r="G230" i="57"/>
  <c r="E230" i="57"/>
  <c r="C230" i="57"/>
  <c r="B230" i="57"/>
  <c r="I229" i="57"/>
  <c r="H229" i="57"/>
  <c r="G229" i="57"/>
  <c r="E229" i="57"/>
  <c r="C229" i="57"/>
  <c r="B229" i="57"/>
  <c r="I228" i="57"/>
  <c r="H228" i="57"/>
  <c r="G228" i="57"/>
  <c r="E228" i="57"/>
  <c r="C228" i="57"/>
  <c r="B228" i="57"/>
  <c r="K227" i="57"/>
  <c r="L227" i="57" s="1"/>
  <c r="K224" i="57"/>
  <c r="AY223" i="57"/>
  <c r="AX223" i="57"/>
  <c r="E223" i="57"/>
  <c r="E224" i="57" s="1"/>
  <c r="E245" i="57" s="1"/>
  <c r="I221" i="57"/>
  <c r="H221" i="57"/>
  <c r="G221" i="57"/>
  <c r="F221" i="57"/>
  <c r="E221" i="57"/>
  <c r="C221" i="57"/>
  <c r="B221" i="57"/>
  <c r="I220" i="57"/>
  <c r="H220" i="57"/>
  <c r="G220" i="57"/>
  <c r="F220" i="57"/>
  <c r="E220" i="57"/>
  <c r="C220" i="57"/>
  <c r="B220" i="57"/>
  <c r="I219" i="57"/>
  <c r="H219" i="57"/>
  <c r="G219" i="57"/>
  <c r="F219" i="57"/>
  <c r="E219" i="57"/>
  <c r="C219" i="57"/>
  <c r="B219" i="57"/>
  <c r="I218" i="57"/>
  <c r="H218" i="57"/>
  <c r="G218" i="57"/>
  <c r="F218" i="57"/>
  <c r="E218" i="57"/>
  <c r="C218" i="57"/>
  <c r="B218" i="57"/>
  <c r="I217" i="57"/>
  <c r="H217" i="57"/>
  <c r="G217" i="57"/>
  <c r="F217" i="57"/>
  <c r="E217" i="57"/>
  <c r="C217" i="57"/>
  <c r="B217" i="57"/>
  <c r="I216" i="57"/>
  <c r="H216" i="57"/>
  <c r="G216" i="57"/>
  <c r="F216" i="57"/>
  <c r="E216" i="57"/>
  <c r="C216" i="57"/>
  <c r="B216" i="57"/>
  <c r="I215" i="57"/>
  <c r="H215" i="57"/>
  <c r="G215" i="57"/>
  <c r="F215" i="57"/>
  <c r="E215" i="57"/>
  <c r="C215" i="57"/>
  <c r="B215" i="57"/>
  <c r="I214" i="57"/>
  <c r="H214" i="57"/>
  <c r="G214" i="57"/>
  <c r="F214" i="57"/>
  <c r="E214" i="57"/>
  <c r="C214" i="57"/>
  <c r="B214" i="57"/>
  <c r="BG211" i="57"/>
  <c r="J211" i="57"/>
  <c r="AP210" i="57"/>
  <c r="AO210" i="57"/>
  <c r="AN210" i="57"/>
  <c r="AM210" i="57"/>
  <c r="D210" i="57"/>
  <c r="AQ197" i="57" s="1"/>
  <c r="K209" i="57"/>
  <c r="L209" i="57" s="1"/>
  <c r="L210" i="57" s="1"/>
  <c r="J207" i="57"/>
  <c r="I207" i="57"/>
  <c r="H207" i="57"/>
  <c r="G207" i="57"/>
  <c r="E207" i="57"/>
  <c r="C207" i="57"/>
  <c r="B207" i="57"/>
  <c r="J206" i="57"/>
  <c r="I206" i="57"/>
  <c r="H206" i="57"/>
  <c r="G206" i="57"/>
  <c r="E206" i="57"/>
  <c r="C206" i="57"/>
  <c r="B206" i="57"/>
  <c r="J205" i="57"/>
  <c r="I205" i="57"/>
  <c r="H205" i="57"/>
  <c r="G205" i="57"/>
  <c r="E205" i="57"/>
  <c r="C205" i="57"/>
  <c r="B205" i="57"/>
  <c r="J204" i="57"/>
  <c r="I204" i="57"/>
  <c r="H204" i="57"/>
  <c r="G204" i="57"/>
  <c r="E204" i="57"/>
  <c r="C204" i="57"/>
  <c r="B204" i="57"/>
  <c r="J203" i="57"/>
  <c r="I203" i="57"/>
  <c r="H203" i="57"/>
  <c r="G203" i="57"/>
  <c r="E203" i="57"/>
  <c r="C203" i="57"/>
  <c r="B203" i="57"/>
  <c r="J202" i="57"/>
  <c r="I202" i="57"/>
  <c r="H202" i="57"/>
  <c r="G202" i="57"/>
  <c r="E202" i="57"/>
  <c r="C202" i="57"/>
  <c r="B202" i="57"/>
  <c r="J201" i="57"/>
  <c r="I201" i="57"/>
  <c r="H201" i="57"/>
  <c r="G201" i="57"/>
  <c r="E201" i="57"/>
  <c r="C201" i="57"/>
  <c r="B201" i="57"/>
  <c r="J200" i="57"/>
  <c r="I200" i="57"/>
  <c r="H200" i="57"/>
  <c r="G200" i="57"/>
  <c r="E200" i="57"/>
  <c r="C200" i="57"/>
  <c r="B200" i="57"/>
  <c r="BH197" i="57"/>
  <c r="AP197" i="57"/>
  <c r="J197" i="57"/>
  <c r="I197" i="57"/>
  <c r="H197" i="57"/>
  <c r="G197" i="57"/>
  <c r="E197" i="57"/>
  <c r="D197" i="57"/>
  <c r="AQ196" i="57"/>
  <c r="AP196" i="57"/>
  <c r="L195" i="57"/>
  <c r="M195" i="57" s="1"/>
  <c r="N195" i="57" s="1"/>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C193" i="57"/>
  <c r="B193" i="57"/>
  <c r="D221" i="57" s="1"/>
  <c r="J221" i="57" s="1"/>
  <c r="G105" i="47" s="1"/>
  <c r="C192" i="57"/>
  <c r="B192" i="57"/>
  <c r="D220" i="57" s="1"/>
  <c r="J220" i="57" s="1"/>
  <c r="G107" i="47" s="1"/>
  <c r="C191" i="57"/>
  <c r="B191" i="57"/>
  <c r="D219" i="57" s="1"/>
  <c r="J219" i="57" s="1"/>
  <c r="G103" i="47" s="1"/>
  <c r="G190" i="57"/>
  <c r="F190" i="57"/>
  <c r="C190" i="57"/>
  <c r="B190" i="57"/>
  <c r="D218" i="57" s="1"/>
  <c r="J218" i="57" s="1"/>
  <c r="G106" i="47" s="1"/>
  <c r="G189" i="57"/>
  <c r="F189" i="57"/>
  <c r="E189" i="57"/>
  <c r="L189" i="57" s="1"/>
  <c r="C189" i="57"/>
  <c r="B189" i="57"/>
  <c r="D217" i="57" s="1"/>
  <c r="J217" i="57" s="1"/>
  <c r="G104" i="47" s="1"/>
  <c r="C188" i="57"/>
  <c r="B188" i="57"/>
  <c r="D216" i="57" s="1"/>
  <c r="C187" i="57"/>
  <c r="B187" i="57"/>
  <c r="D215" i="57" s="1"/>
  <c r="C186" i="57"/>
  <c r="B186" i="57"/>
  <c r="D214" i="57" s="1"/>
  <c r="AJ185" i="57"/>
  <c r="AI185" i="57"/>
  <c r="AH185" i="57"/>
  <c r="AG185" i="57"/>
  <c r="AF185" i="57"/>
  <c r="AE185" i="57"/>
  <c r="AD185" i="57"/>
  <c r="AC185" i="57"/>
  <c r="AB185" i="57"/>
  <c r="AA185" i="57"/>
  <c r="Z185" i="57"/>
  <c r="Y185" i="57"/>
  <c r="X185" i="57"/>
  <c r="W185" i="57"/>
  <c r="V185" i="57"/>
  <c r="U185" i="57"/>
  <c r="T185" i="57"/>
  <c r="S185" i="57"/>
  <c r="R185" i="57"/>
  <c r="Q185" i="57"/>
  <c r="P185" i="57"/>
  <c r="O185" i="57"/>
  <c r="N185" i="57"/>
  <c r="M185" i="57"/>
  <c r="L185" i="57"/>
  <c r="G185" i="57"/>
  <c r="F185" i="57"/>
  <c r="C179" i="57"/>
  <c r="B179" i="57"/>
  <c r="D207" i="57" s="1"/>
  <c r="K207" i="57" s="1"/>
  <c r="C178" i="57"/>
  <c r="B178" i="57"/>
  <c r="D206" i="57" s="1"/>
  <c r="K206" i="57" s="1"/>
  <c r="C177" i="57"/>
  <c r="B177" i="57"/>
  <c r="D205" i="57" s="1"/>
  <c r="K205" i="57" s="1"/>
  <c r="C176" i="57"/>
  <c r="B176" i="57"/>
  <c r="D204" i="57" s="1"/>
  <c r="K204" i="57" s="1"/>
  <c r="C175" i="57"/>
  <c r="B175" i="57"/>
  <c r="D203" i="57" s="1"/>
  <c r="K203" i="57" s="1"/>
  <c r="C174" i="57"/>
  <c r="B174" i="57"/>
  <c r="D202" i="57" s="1"/>
  <c r="C173" i="57"/>
  <c r="B173" i="57"/>
  <c r="D201" i="57" s="1"/>
  <c r="C172" i="57"/>
  <c r="L172" i="57" s="1"/>
  <c r="B172" i="57"/>
  <c r="D200" i="57" s="1"/>
  <c r="Q171" i="57"/>
  <c r="W171" i="57" s="1"/>
  <c r="O171" i="57"/>
  <c r="U171" i="57" s="1"/>
  <c r="N171" i="57"/>
  <c r="T171" i="57" s="1"/>
  <c r="G171" i="57"/>
  <c r="F171" i="57"/>
  <c r="M171" i="57" s="1"/>
  <c r="S171" i="57" s="1"/>
  <c r="L168" i="57"/>
  <c r="L167" i="57"/>
  <c r="D167" i="57"/>
  <c r="L166" i="57"/>
  <c r="L165" i="57"/>
  <c r="L164" i="57"/>
  <c r="L163" i="57"/>
  <c r="L162" i="57"/>
  <c r="L161" i="57"/>
  <c r="Q160" i="57"/>
  <c r="W160" i="57" s="1"/>
  <c r="O160" i="57"/>
  <c r="U160" i="57" s="1"/>
  <c r="N160" i="57"/>
  <c r="T160" i="57" s="1"/>
  <c r="G160" i="57"/>
  <c r="F160" i="57"/>
  <c r="M160" i="57" s="1"/>
  <c r="S160" i="57" s="1"/>
  <c r="L156" i="57"/>
  <c r="L155" i="57"/>
  <c r="D155" i="57"/>
  <c r="L154" i="57"/>
  <c r="L153" i="57"/>
  <c r="L152" i="57"/>
  <c r="L151" i="57"/>
  <c r="L150" i="57"/>
  <c r="L149" i="57"/>
  <c r="G148" i="57"/>
  <c r="F148" i="57"/>
  <c r="S147" i="57"/>
  <c r="M147" i="57"/>
  <c r="E143" i="57"/>
  <c r="F143" i="57" s="1"/>
  <c r="E142" i="57"/>
  <c r="E164" i="57" s="1"/>
  <c r="E139" i="57"/>
  <c r="E138" i="57"/>
  <c r="F138" i="57" s="1"/>
  <c r="E137" i="57"/>
  <c r="F137" i="57" s="1"/>
  <c r="E134" i="57"/>
  <c r="W133" i="57"/>
  <c r="E133" i="57"/>
  <c r="E132" i="57"/>
  <c r="C121" i="57"/>
  <c r="C125" i="57" s="1"/>
  <c r="C129" i="57" s="1"/>
  <c r="C120" i="57"/>
  <c r="C124" i="57" s="1"/>
  <c r="C128" i="57" s="1"/>
  <c r="C119" i="57"/>
  <c r="C123" i="57" s="1"/>
  <c r="C127" i="57" s="1"/>
  <c r="C110" i="57"/>
  <c r="T104" i="57"/>
  <c r="N104" i="57"/>
  <c r="E104" i="57"/>
  <c r="W103" i="57"/>
  <c r="W104" i="57" s="1"/>
  <c r="V103" i="57"/>
  <c r="V104" i="57" s="1"/>
  <c r="U103" i="57"/>
  <c r="U104" i="57" s="1"/>
  <c r="O103" i="57"/>
  <c r="P103" i="57" s="1"/>
  <c r="F103" i="57"/>
  <c r="G103" i="57" s="1"/>
  <c r="F102" i="57"/>
  <c r="T100" i="57"/>
  <c r="N100" i="57"/>
  <c r="E100" i="57"/>
  <c r="C100" i="57"/>
  <c r="C104" i="57" s="1"/>
  <c r="W99" i="57"/>
  <c r="W100" i="57" s="1"/>
  <c r="V99" i="57"/>
  <c r="V100" i="57" s="1"/>
  <c r="U99" i="57"/>
  <c r="O99" i="57"/>
  <c r="P99" i="57" s="1"/>
  <c r="Q99" i="57" s="1"/>
  <c r="Q100" i="57" s="1"/>
  <c r="F99" i="57"/>
  <c r="C99" i="57"/>
  <c r="C103" i="57" s="1"/>
  <c r="U98" i="57"/>
  <c r="F98" i="57"/>
  <c r="S98" i="57" s="1"/>
  <c r="C98" i="57"/>
  <c r="C102" i="57" s="1"/>
  <c r="W96" i="57"/>
  <c r="V96" i="57"/>
  <c r="T96" i="57"/>
  <c r="Q96" i="57"/>
  <c r="P96" i="57"/>
  <c r="O96" i="57"/>
  <c r="N96" i="57"/>
  <c r="E96" i="57"/>
  <c r="F95" i="57"/>
  <c r="S95" i="57" s="1"/>
  <c r="U94" i="57"/>
  <c r="U96" i="57" s="1"/>
  <c r="F94" i="57"/>
  <c r="O89" i="57"/>
  <c r="P89" i="57" s="1"/>
  <c r="Q89" i="57" s="1"/>
  <c r="F89" i="57"/>
  <c r="S89" i="57" s="1"/>
  <c r="F88" i="57"/>
  <c r="M88" i="57" s="1"/>
  <c r="C85" i="57"/>
  <c r="C90" i="57" s="1"/>
  <c r="O84" i="57"/>
  <c r="P84" i="57" s="1"/>
  <c r="Q84" i="57" s="1"/>
  <c r="F84" i="57"/>
  <c r="G84" i="57" s="1"/>
  <c r="C84" i="57"/>
  <c r="C89" i="57" s="1"/>
  <c r="F83" i="57"/>
  <c r="S83" i="57" s="1"/>
  <c r="C83" i="57"/>
  <c r="C88" i="57" s="1"/>
  <c r="C82" i="57"/>
  <c r="C87" i="57" s="1"/>
  <c r="F79" i="57"/>
  <c r="M79" i="57" s="1"/>
  <c r="F78" i="57"/>
  <c r="M78" i="57" s="1"/>
  <c r="E77" i="57"/>
  <c r="E80" i="57" s="1"/>
  <c r="E73" i="57"/>
  <c r="F73" i="57" s="1"/>
  <c r="E70" i="57"/>
  <c r="E68" i="57" s="1"/>
  <c r="F68" i="57" s="1"/>
  <c r="E67" i="57"/>
  <c r="F67" i="57" s="1"/>
  <c r="E64" i="57"/>
  <c r="F64" i="57" s="1"/>
  <c r="W53" i="57"/>
  <c r="W76" i="57" s="1"/>
  <c r="V53" i="57"/>
  <c r="V76" i="57" s="1"/>
  <c r="U53" i="57"/>
  <c r="U76" i="57" s="1"/>
  <c r="T53" i="57"/>
  <c r="T76" i="57" s="1"/>
  <c r="Q53" i="57"/>
  <c r="Q76" i="57" s="1"/>
  <c r="P53" i="57"/>
  <c r="P76" i="57" s="1"/>
  <c r="O53" i="57"/>
  <c r="O76" i="57" s="1"/>
  <c r="N53" i="57"/>
  <c r="N76" i="57" s="1"/>
  <c r="G53" i="57"/>
  <c r="E49" i="57"/>
  <c r="E57" i="57" s="1"/>
  <c r="F48" i="57"/>
  <c r="W46" i="57"/>
  <c r="V46" i="57"/>
  <c r="U46" i="57"/>
  <c r="T46" i="57"/>
  <c r="S46" i="57"/>
  <c r="Q46" i="57"/>
  <c r="P46" i="57"/>
  <c r="O46" i="57"/>
  <c r="N46" i="57"/>
  <c r="M46" i="57"/>
  <c r="E44" i="57"/>
  <c r="M44" i="57" s="1"/>
  <c r="E43" i="57"/>
  <c r="M43" i="57" s="1"/>
  <c r="E42" i="57"/>
  <c r="M42" i="57" s="1"/>
  <c r="E41" i="57"/>
  <c r="M41" i="57" s="1"/>
  <c r="W40" i="57"/>
  <c r="V40" i="57"/>
  <c r="U40" i="57"/>
  <c r="T40" i="57"/>
  <c r="Q40" i="57"/>
  <c r="P40" i="57"/>
  <c r="O40" i="57"/>
  <c r="N40" i="57"/>
  <c r="G40" i="57"/>
  <c r="F40" i="57"/>
  <c r="E38" i="57"/>
  <c r="M38" i="57" s="1"/>
  <c r="S38" i="57" s="1"/>
  <c r="E37" i="57"/>
  <c r="M37" i="57" s="1"/>
  <c r="E36" i="57"/>
  <c r="E35" i="57"/>
  <c r="M35" i="57" s="1"/>
  <c r="N35" i="57" s="1"/>
  <c r="T35" i="57" s="1"/>
  <c r="U35" i="57" s="1"/>
  <c r="V35" i="57" s="1"/>
  <c r="W35" i="57" s="1"/>
  <c r="W34" i="57"/>
  <c r="V34" i="57"/>
  <c r="U34" i="57"/>
  <c r="T34" i="57"/>
  <c r="Q34" i="57"/>
  <c r="P34" i="57"/>
  <c r="O34" i="57"/>
  <c r="N34" i="57"/>
  <c r="G34" i="57"/>
  <c r="F34" i="57"/>
  <c r="S34" i="57" s="1"/>
  <c r="E32" i="57"/>
  <c r="M32" i="57" s="1"/>
  <c r="E31" i="57"/>
  <c r="M31" i="57" s="1"/>
  <c r="N31" i="57" s="1"/>
  <c r="E30" i="57"/>
  <c r="M30" i="57" s="1"/>
  <c r="W29" i="57"/>
  <c r="V29" i="57"/>
  <c r="U29" i="57"/>
  <c r="T29" i="57"/>
  <c r="Q29" i="57"/>
  <c r="P29" i="57"/>
  <c r="O29" i="57"/>
  <c r="N29" i="57"/>
  <c r="G29" i="57"/>
  <c r="F29" i="57"/>
  <c r="S29" i="57" s="1"/>
  <c r="M27" i="57"/>
  <c r="C27" i="57"/>
  <c r="C32" i="57" s="1"/>
  <c r="C37" i="57" s="1"/>
  <c r="C43" i="57" s="1"/>
  <c r="E26" i="57"/>
  <c r="C26" i="57"/>
  <c r="C31" i="57" s="1"/>
  <c r="E25" i="57"/>
  <c r="C25" i="57"/>
  <c r="C30" i="57" s="1"/>
  <c r="C54" i="57" s="1"/>
  <c r="C107" i="57" s="1"/>
  <c r="W24" i="57"/>
  <c r="V24" i="57"/>
  <c r="U24" i="57"/>
  <c r="T24" i="57"/>
  <c r="Q24" i="57"/>
  <c r="P24" i="57"/>
  <c r="O24" i="57"/>
  <c r="N24" i="57"/>
  <c r="G24" i="57"/>
  <c r="F24" i="57"/>
  <c r="M24" i="57" s="1"/>
  <c r="O21" i="57"/>
  <c r="P21" i="57" s="1"/>
  <c r="G18" i="57"/>
  <c r="F12" i="57"/>
  <c r="F53" i="57" s="1"/>
  <c r="A1" i="57"/>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AQ170" i="56"/>
  <c r="AP170" i="56"/>
  <c r="AO170" i="56"/>
  <c r="A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N170" i="56"/>
  <c r="M170" i="56"/>
  <c r="L170" i="56"/>
  <c r="K170" i="56"/>
  <c r="I170" i="56"/>
  <c r="G170" i="56"/>
  <c r="F170" i="56"/>
  <c r="E170" i="56"/>
  <c r="C170" i="56"/>
  <c r="B170" i="56"/>
  <c r="AQ167" i="56"/>
  <c r="AP167" i="56"/>
  <c r="AO167" i="56"/>
  <c r="AN167" i="56"/>
  <c r="AM167" i="56"/>
  <c r="AL167" i="56"/>
  <c r="AK167" i="56"/>
  <c r="AJ167" i="56"/>
  <c r="AI167" i="56"/>
  <c r="AH167"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G167" i="56"/>
  <c r="F167" i="56"/>
  <c r="E167" i="56"/>
  <c r="D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I136" i="56"/>
  <c r="H136" i="56"/>
  <c r="G136" i="56"/>
  <c r="F136" i="56"/>
  <c r="E136" i="56"/>
  <c r="C136" i="56"/>
  <c r="B136" i="56"/>
  <c r="I135" i="56"/>
  <c r="H135" i="56"/>
  <c r="G135" i="56"/>
  <c r="F135" i="56"/>
  <c r="E135" i="56"/>
  <c r="C135" i="56"/>
  <c r="B135" i="56"/>
  <c r="I134" i="56"/>
  <c r="H134" i="56"/>
  <c r="G134" i="56"/>
  <c r="F134" i="56"/>
  <c r="E134" i="56"/>
  <c r="C134" i="56"/>
  <c r="B134" i="56"/>
  <c r="I133" i="56"/>
  <c r="H133" i="56"/>
  <c r="G133" i="56"/>
  <c r="F133" i="56"/>
  <c r="E133" i="56"/>
  <c r="C133" i="56"/>
  <c r="B133" i="56"/>
  <c r="I132" i="56"/>
  <c r="H132" i="56"/>
  <c r="G132" i="56"/>
  <c r="F132" i="56"/>
  <c r="E132" i="56"/>
  <c r="C132" i="56"/>
  <c r="B132" i="56"/>
  <c r="AP129" i="56"/>
  <c r="AO129" i="56"/>
  <c r="AN129" i="56"/>
  <c r="AM129" i="56"/>
  <c r="AL129" i="56"/>
  <c r="AK129" i="56"/>
  <c r="AJ129" i="56"/>
  <c r="AI129" i="56"/>
  <c r="AH129"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H129" i="56"/>
  <c r="G129" i="56"/>
  <c r="F129" i="56"/>
  <c r="D129" i="56"/>
  <c r="C129" i="56"/>
  <c r="AP128" i="56"/>
  <c r="AO128" i="56"/>
  <c r="AN128" i="56"/>
  <c r="AM128" i="56"/>
  <c r="AL128" i="56"/>
  <c r="AK128" i="56"/>
  <c r="AJ128" i="56"/>
  <c r="AI128" i="56"/>
  <c r="AH128" i="56"/>
  <c r="AG128" i="56"/>
  <c r="AF128" i="56"/>
  <c r="AE128" i="56"/>
  <c r="AD128" i="56"/>
  <c r="AC128" i="56"/>
  <c r="AB128" i="56"/>
  <c r="AA128" i="56"/>
  <c r="Z128" i="56"/>
  <c r="Y128" i="56"/>
  <c r="X128" i="56"/>
  <c r="W128" i="56"/>
  <c r="V128" i="56"/>
  <c r="U128" i="56"/>
  <c r="T128" i="56"/>
  <c r="S128" i="56"/>
  <c r="R128" i="56"/>
  <c r="Q128" i="56"/>
  <c r="P128" i="56"/>
  <c r="O128" i="56"/>
  <c r="N128" i="56"/>
  <c r="M128" i="56"/>
  <c r="L128" i="56"/>
  <c r="K128" i="56"/>
  <c r="J128" i="56"/>
  <c r="J123" i="56"/>
  <c r="I123" i="56"/>
  <c r="H123" i="56"/>
  <c r="G123" i="56"/>
  <c r="E123" i="56"/>
  <c r="C123" i="56"/>
  <c r="B123" i="56"/>
  <c r="J122" i="56"/>
  <c r="I122" i="56"/>
  <c r="H122" i="56"/>
  <c r="G122" i="56"/>
  <c r="E122" i="56"/>
  <c r="C122" i="56"/>
  <c r="B122" i="56"/>
  <c r="J121" i="56"/>
  <c r="I121" i="56"/>
  <c r="H121" i="56"/>
  <c r="G121" i="56"/>
  <c r="E121" i="56"/>
  <c r="C121" i="56"/>
  <c r="B121" i="56"/>
  <c r="J120" i="56"/>
  <c r="I120" i="56"/>
  <c r="H120" i="56"/>
  <c r="G120" i="56"/>
  <c r="E120" i="56"/>
  <c r="C120" i="56"/>
  <c r="B120" i="56"/>
  <c r="J119" i="56"/>
  <c r="I119" i="56"/>
  <c r="H119" i="56"/>
  <c r="G119" i="56"/>
  <c r="E119" i="56"/>
  <c r="C119" i="56"/>
  <c r="B119" i="56"/>
  <c r="J118" i="56"/>
  <c r="I118" i="56"/>
  <c r="H118" i="56"/>
  <c r="G118" i="56"/>
  <c r="E118" i="56"/>
  <c r="C118" i="56"/>
  <c r="B118" i="56"/>
  <c r="J117" i="56"/>
  <c r="I117" i="56"/>
  <c r="H117" i="56"/>
  <c r="G117" i="56"/>
  <c r="E117" i="56"/>
  <c r="C117" i="56"/>
  <c r="B117" i="56"/>
  <c r="J116" i="56"/>
  <c r="I116" i="56"/>
  <c r="H116" i="56"/>
  <c r="G116" i="56"/>
  <c r="E116" i="56"/>
  <c r="C116" i="56"/>
  <c r="B116" i="56"/>
  <c r="J115" i="56"/>
  <c r="I115" i="56"/>
  <c r="H115" i="56"/>
  <c r="G115" i="56"/>
  <c r="E115" i="56"/>
  <c r="C115" i="56"/>
  <c r="B115" i="56"/>
  <c r="J114" i="56"/>
  <c r="I114" i="56"/>
  <c r="H114" i="56"/>
  <c r="G114" i="56"/>
  <c r="E114" i="56"/>
  <c r="C114" i="56"/>
  <c r="B114" i="56"/>
  <c r="J113" i="56"/>
  <c r="I113" i="56"/>
  <c r="H113" i="56"/>
  <c r="G113" i="56"/>
  <c r="E113" i="56"/>
  <c r="C113" i="56"/>
  <c r="B113" i="56"/>
  <c r="J112" i="56"/>
  <c r="I112" i="56"/>
  <c r="H112" i="56"/>
  <c r="G112" i="56"/>
  <c r="E112" i="56"/>
  <c r="C112" i="56"/>
  <c r="B112" i="56"/>
  <c r="J111" i="56"/>
  <c r="I111" i="56"/>
  <c r="H111" i="56"/>
  <c r="G111" i="56"/>
  <c r="E111" i="56"/>
  <c r="C111" i="56"/>
  <c r="B111" i="56"/>
  <c r="AY108" i="56"/>
  <c r="AX108" i="56"/>
  <c r="K108" i="56"/>
  <c r="I108" i="56"/>
  <c r="H108" i="56"/>
  <c r="G108" i="56"/>
  <c r="E108" i="56"/>
  <c r="D108" i="56"/>
  <c r="AY109" i="56" s="1"/>
  <c r="AY107" i="56"/>
  <c r="AX107" i="56"/>
  <c r="K107" i="56"/>
  <c r="L106" i="56"/>
  <c r="M106" i="56" s="1"/>
  <c r="F104" i="56"/>
  <c r="F88" i="56" s="1"/>
  <c r="B104" i="56"/>
  <c r="B88" i="56" s="1"/>
  <c r="J183" i="56" s="1"/>
  <c r="F103" i="56"/>
  <c r="F47" i="56" s="1"/>
  <c r="F87" i="56" s="1"/>
  <c r="B103" i="56"/>
  <c r="B87" i="56" s="1"/>
  <c r="J182" i="56" s="1"/>
  <c r="F102" i="56"/>
  <c r="F59" i="56" s="1"/>
  <c r="F86" i="56" s="1"/>
  <c r="B102" i="56"/>
  <c r="B86" i="56" s="1"/>
  <c r="J181" i="56" s="1"/>
  <c r="B101" i="56"/>
  <c r="B85" i="56" s="1"/>
  <c r="J180" i="56" s="1"/>
  <c r="B100" i="56"/>
  <c r="B84" i="56" s="1"/>
  <c r="J179" i="56" s="1"/>
  <c r="B99" i="56"/>
  <c r="B83" i="56" s="1"/>
  <c r="J178" i="56" s="1"/>
  <c r="B98" i="56"/>
  <c r="B82" i="56" s="1"/>
  <c r="J177" i="56" s="1"/>
  <c r="B97" i="56"/>
  <c r="B81" i="56" s="1"/>
  <c r="J176" i="56" s="1"/>
  <c r="B96" i="56"/>
  <c r="B80" i="56" s="1"/>
  <c r="J175" i="56" s="1"/>
  <c r="B95" i="56"/>
  <c r="B79" i="56" s="1"/>
  <c r="J174" i="56" s="1"/>
  <c r="B94" i="56"/>
  <c r="B78" i="56" s="1"/>
  <c r="J173" i="56" s="1"/>
  <c r="B93" i="56"/>
  <c r="B77" i="56" s="1"/>
  <c r="J172" i="56" s="1"/>
  <c r="B92" i="56"/>
  <c r="B76" i="56" s="1"/>
  <c r="J171" i="56" s="1"/>
  <c r="X91" i="56"/>
  <c r="W91" i="56"/>
  <c r="V91" i="56"/>
  <c r="U91" i="56"/>
  <c r="T91" i="56"/>
  <c r="L91" i="56"/>
  <c r="K91" i="56"/>
  <c r="J91" i="56"/>
  <c r="I91" i="56"/>
  <c r="H91" i="56"/>
  <c r="G91" i="56"/>
  <c r="F91" i="56"/>
  <c r="S75" i="56"/>
  <c r="R75" i="56"/>
  <c r="Q75" i="56"/>
  <c r="AD75" i="56" s="1"/>
  <c r="P75" i="56"/>
  <c r="V75" i="56" s="1"/>
  <c r="AI75" i="56" s="1"/>
  <c r="O75" i="56"/>
  <c r="N75" i="56"/>
  <c r="AA75" i="56" s="1"/>
  <c r="L75" i="56"/>
  <c r="K75" i="56"/>
  <c r="J75" i="56"/>
  <c r="I75" i="56"/>
  <c r="H75" i="56"/>
  <c r="G75" i="56"/>
  <c r="F75" i="56"/>
  <c r="AA74" i="56"/>
  <c r="F72" i="56"/>
  <c r="F71" i="56"/>
  <c r="F70" i="56"/>
  <c r="F69" i="56"/>
  <c r="F82" i="56" s="1"/>
  <c r="F68" i="56"/>
  <c r="F67" i="56"/>
  <c r="F66" i="56"/>
  <c r="F79" i="56" s="1"/>
  <c r="F65" i="56"/>
  <c r="F64" i="56"/>
  <c r="F77" i="56" s="1"/>
  <c r="F63" i="56"/>
  <c r="F76" i="56" s="1"/>
  <c r="F14" i="56"/>
  <c r="F15" i="56" s="1"/>
  <c r="F16" i="56" s="1"/>
  <c r="G13" i="56"/>
  <c r="X13" i="56" s="1"/>
  <c r="R12" i="56"/>
  <c r="X12" i="56" s="1"/>
  <c r="Q12" i="56"/>
  <c r="W12" i="56" s="1"/>
  <c r="P12" i="56"/>
  <c r="V12" i="56" s="1"/>
  <c r="O12" i="56"/>
  <c r="U12" i="56" s="1"/>
  <c r="N12" i="56"/>
  <c r="T12" i="56" s="1"/>
  <c r="L12" i="56"/>
  <c r="K12" i="56"/>
  <c r="J12" i="56"/>
  <c r="I12" i="56"/>
  <c r="H12" i="56"/>
  <c r="G12" i="56"/>
  <c r="F12" i="56"/>
  <c r="X4" i="56"/>
  <c r="W4" i="56"/>
  <c r="V4" i="56"/>
  <c r="U4" i="56"/>
  <c r="T4" i="56"/>
  <c r="A1" i="56"/>
  <c r="J9" i="55"/>
  <c r="Y8" i="58" l="1"/>
  <c r="Z67" i="58"/>
  <c r="Z104" i="58" s="1"/>
  <c r="Z22" i="58"/>
  <c r="Z25" i="58" s="1"/>
  <c r="Z7" i="58"/>
  <c r="AA4" i="58"/>
  <c r="Z6" i="58"/>
  <c r="Z5" i="58"/>
  <c r="Z12" i="58" a="1"/>
  <c r="Z12" i="58" s="1"/>
  <c r="Z11" i="58" s="1"/>
  <c r="G67" i="56"/>
  <c r="N67" i="56" s="1"/>
  <c r="O67" i="56" s="1"/>
  <c r="P67" i="56" s="1"/>
  <c r="R67" i="56" s="1"/>
  <c r="F80" i="56"/>
  <c r="G68" i="56"/>
  <c r="G81" i="56" s="1"/>
  <c r="F81" i="56"/>
  <c r="G69" i="56"/>
  <c r="G82" i="56" s="1"/>
  <c r="F56" i="56"/>
  <c r="K178" i="56" s="1"/>
  <c r="F83" i="56"/>
  <c r="F57" i="56"/>
  <c r="K179" i="56" s="1"/>
  <c r="F84" i="56"/>
  <c r="G72" i="56"/>
  <c r="G85" i="56" s="1"/>
  <c r="F85" i="56"/>
  <c r="F51" i="56"/>
  <c r="F78" i="56"/>
  <c r="S30" i="57"/>
  <c r="F30" i="57" s="1"/>
  <c r="N30" i="57"/>
  <c r="T31" i="57"/>
  <c r="O31" i="57"/>
  <c r="W139" i="57"/>
  <c r="F139" i="57"/>
  <c r="O104" i="57"/>
  <c r="AX109" i="56"/>
  <c r="AX110" i="56" s="1"/>
  <c r="G15" i="56"/>
  <c r="X15" i="56" s="1"/>
  <c r="AC75" i="56"/>
  <c r="N13" i="56"/>
  <c r="L107" i="56"/>
  <c r="P13" i="56"/>
  <c r="F17" i="56"/>
  <c r="G16" i="56"/>
  <c r="T75" i="56"/>
  <c r="AG75" i="56" s="1"/>
  <c r="L109" i="56"/>
  <c r="AE130" i="56"/>
  <c r="AE131" i="56" s="1"/>
  <c r="O13" i="56"/>
  <c r="S130" i="56"/>
  <c r="S131" i="56" s="1"/>
  <c r="Q13" i="56"/>
  <c r="T130" i="56"/>
  <c r="AA168" i="56"/>
  <c r="AA169" i="56" s="1"/>
  <c r="T13" i="56"/>
  <c r="L108" i="56"/>
  <c r="U130" i="56"/>
  <c r="AH168" i="56"/>
  <c r="AH169" i="56" s="1"/>
  <c r="W13" i="56"/>
  <c r="X130" i="56"/>
  <c r="X131" i="56" s="1"/>
  <c r="AM168" i="56"/>
  <c r="AM169" i="56" s="1"/>
  <c r="AB130" i="56"/>
  <c r="AB131" i="56" s="1"/>
  <c r="AY110" i="56"/>
  <c r="M89" i="57"/>
  <c r="J224" i="57"/>
  <c r="J245" i="57" s="1"/>
  <c r="M224" i="57"/>
  <c r="M29" i="57"/>
  <c r="S84" i="57"/>
  <c r="AP211" i="57"/>
  <c r="E211" i="57"/>
  <c r="M84" i="57"/>
  <c r="G95" i="57"/>
  <c r="U100" i="57"/>
  <c r="BH196" i="57"/>
  <c r="E244" i="57"/>
  <c r="L244" i="57" s="1"/>
  <c r="F224" i="57"/>
  <c r="F245" i="57" s="1"/>
  <c r="AO211" i="57"/>
  <c r="G224" i="57"/>
  <c r="G245" i="57" s="1"/>
  <c r="H224" i="57"/>
  <c r="H245" i="57" s="1"/>
  <c r="I224" i="57"/>
  <c r="I245" i="57" s="1"/>
  <c r="G89" i="57"/>
  <c r="M134" i="57"/>
  <c r="N134" i="57" s="1"/>
  <c r="S24" i="57"/>
  <c r="C35" i="57"/>
  <c r="C41" i="57" s="1"/>
  <c r="K196" i="57"/>
  <c r="AN197" i="57"/>
  <c r="AO197" i="57"/>
  <c r="K210" i="57"/>
  <c r="L197" i="57"/>
  <c r="L196" i="57"/>
  <c r="K211" i="57"/>
  <c r="M34" i="57"/>
  <c r="G79" i="57"/>
  <c r="BE245" i="57"/>
  <c r="C56" i="57"/>
  <c r="C109" i="57" s="1"/>
  <c r="S79" i="57"/>
  <c r="M197" i="57"/>
  <c r="M196" i="57"/>
  <c r="M209" i="57"/>
  <c r="M211" i="57" s="1"/>
  <c r="G83" i="57"/>
  <c r="M95" i="57"/>
  <c r="G98" i="57"/>
  <c r="F132" i="57"/>
  <c r="M83" i="57"/>
  <c r="M98" i="57"/>
  <c r="O100" i="57"/>
  <c r="F133" i="57"/>
  <c r="G133" i="57" s="1"/>
  <c r="BG210" i="57"/>
  <c r="AX224" i="57"/>
  <c r="P100" i="57"/>
  <c r="H211" i="57"/>
  <c r="AY224" i="57"/>
  <c r="F53" i="56"/>
  <c r="K175" i="56" s="1"/>
  <c r="F54" i="56"/>
  <c r="K176" i="56" s="1"/>
  <c r="AG26" i="44"/>
  <c r="S134" i="57"/>
  <c r="T134" i="57" s="1"/>
  <c r="H134" i="57" s="1"/>
  <c r="N38" i="57"/>
  <c r="F58" i="56"/>
  <c r="K180" i="56" s="1"/>
  <c r="C3" i="57"/>
  <c r="S37" i="57"/>
  <c r="N37" i="57"/>
  <c r="E87" i="57"/>
  <c r="E90" i="57" s="1"/>
  <c r="S43" i="57"/>
  <c r="G70" i="56"/>
  <c r="F55" i="56"/>
  <c r="K177" i="56" s="1"/>
  <c r="G71" i="56"/>
  <c r="K99" i="57"/>
  <c r="J84" i="57"/>
  <c r="K95" i="57"/>
  <c r="N16" i="56"/>
  <c r="X16" i="56"/>
  <c r="V16" i="56"/>
  <c r="H16" i="56"/>
  <c r="F52" i="56"/>
  <c r="G66" i="56"/>
  <c r="G79" i="56" s="1"/>
  <c r="AB75" i="56"/>
  <c r="U75" i="56"/>
  <c r="AE75" i="56"/>
  <c r="X75" i="56"/>
  <c r="AK75" i="56" s="1"/>
  <c r="Q16" i="56"/>
  <c r="M107" i="56"/>
  <c r="M108" i="56"/>
  <c r="N106" i="56"/>
  <c r="M109" i="56"/>
  <c r="R16" i="56"/>
  <c r="W15" i="56"/>
  <c r="T16" i="56"/>
  <c r="G65" i="56"/>
  <c r="G78" i="56" s="1"/>
  <c r="N88" i="56"/>
  <c r="T88" i="56" s="1"/>
  <c r="G104" i="56"/>
  <c r="U16" i="56"/>
  <c r="G63" i="56"/>
  <c r="G76" i="56" s="1"/>
  <c r="F43" i="56"/>
  <c r="F46" i="56"/>
  <c r="G64" i="56"/>
  <c r="G77" i="56" s="1"/>
  <c r="G14" i="56"/>
  <c r="W16" i="56"/>
  <c r="V15" i="56"/>
  <c r="T15" i="56"/>
  <c r="R15" i="56"/>
  <c r="P15" i="56"/>
  <c r="C3" i="56"/>
  <c r="R13" i="56"/>
  <c r="U13" i="56"/>
  <c r="H13" i="56"/>
  <c r="V13" i="56"/>
  <c r="W75" i="56"/>
  <c r="AJ75" i="56" s="1"/>
  <c r="K109" i="56"/>
  <c r="K110" i="56" s="1"/>
  <c r="AI168" i="56"/>
  <c r="AI169" i="56" s="1"/>
  <c r="W168" i="56"/>
  <c r="W169" i="56" s="1"/>
  <c r="K168" i="56"/>
  <c r="K169" i="56" s="1"/>
  <c r="AF168" i="56"/>
  <c r="AF169" i="56" s="1"/>
  <c r="T168" i="56"/>
  <c r="T169" i="56" s="1"/>
  <c r="AP130" i="56"/>
  <c r="AP131" i="56" s="1"/>
  <c r="AD130" i="56"/>
  <c r="AD131" i="56" s="1"/>
  <c r="R130" i="56"/>
  <c r="R131" i="56" s="1"/>
  <c r="AQ168" i="56"/>
  <c r="AE168" i="56"/>
  <c r="S168" i="56"/>
  <c r="S169" i="56" s="1"/>
  <c r="AO130" i="56"/>
  <c r="AO131" i="56" s="1"/>
  <c r="AC130" i="56"/>
  <c r="AC131" i="56" s="1"/>
  <c r="Q130" i="56"/>
  <c r="Q131" i="56" s="1"/>
  <c r="AP168" i="56"/>
  <c r="AP169" i="56" s="1"/>
  <c r="AD168" i="56"/>
  <c r="AD169" i="56" s="1"/>
  <c r="R168" i="56"/>
  <c r="R169" i="56" s="1"/>
  <c r="AO168" i="56"/>
  <c r="AO169" i="56" s="1"/>
  <c r="AC168" i="56"/>
  <c r="AC169" i="56" s="1"/>
  <c r="Q168" i="56"/>
  <c r="Q169" i="56" s="1"/>
  <c r="AM130" i="56"/>
  <c r="AM131" i="56" s="1"/>
  <c r="AA130" i="56"/>
  <c r="AA131" i="56" s="1"/>
  <c r="O130" i="56"/>
  <c r="O131" i="56" s="1"/>
  <c r="AN168" i="56"/>
  <c r="AN169" i="56" s="1"/>
  <c r="AB168" i="56"/>
  <c r="AB169" i="56" s="1"/>
  <c r="P168" i="56"/>
  <c r="P169" i="56" s="1"/>
  <c r="AL130" i="56"/>
  <c r="AL131" i="56" s="1"/>
  <c r="Z130" i="56"/>
  <c r="Z131" i="56" s="1"/>
  <c r="N130" i="56"/>
  <c r="N131" i="56" s="1"/>
  <c r="AK168" i="56"/>
  <c r="AK169" i="56" s="1"/>
  <c r="Y168" i="56"/>
  <c r="Y169" i="56" s="1"/>
  <c r="M168" i="56"/>
  <c r="M169" i="56" s="1"/>
  <c r="AI130" i="56"/>
  <c r="AI131" i="56" s="1"/>
  <c r="W130" i="56"/>
  <c r="W131" i="56" s="1"/>
  <c r="K130" i="56"/>
  <c r="K131" i="56" s="1"/>
  <c r="AJ168" i="56"/>
  <c r="AJ169" i="56" s="1"/>
  <c r="X168" i="56"/>
  <c r="X169" i="56" s="1"/>
  <c r="L168" i="56"/>
  <c r="L169" i="56" s="1"/>
  <c r="AH130" i="56"/>
  <c r="AH131" i="56" s="1"/>
  <c r="V130" i="56"/>
  <c r="V131" i="56" s="1"/>
  <c r="J130" i="56"/>
  <c r="J131" i="56" s="1"/>
  <c r="AF130" i="56"/>
  <c r="AF131" i="56" s="1"/>
  <c r="S53" i="57"/>
  <c r="S76" i="57" s="1"/>
  <c r="M53" i="57"/>
  <c r="M76" i="57" s="1"/>
  <c r="G68" i="57"/>
  <c r="M68" i="57"/>
  <c r="S68" i="57"/>
  <c r="T131" i="56"/>
  <c r="AG130" i="56"/>
  <c r="AG131" i="56" s="1"/>
  <c r="N168" i="56"/>
  <c r="N169" i="56" s="1"/>
  <c r="U131" i="56"/>
  <c r="L130" i="56"/>
  <c r="L131" i="56" s="1"/>
  <c r="AJ130" i="56"/>
  <c r="AJ131" i="56" s="1"/>
  <c r="O168" i="56"/>
  <c r="O169" i="56" s="1"/>
  <c r="M130" i="56"/>
  <c r="M131" i="56" s="1"/>
  <c r="AK130" i="56"/>
  <c r="AK131" i="56" s="1"/>
  <c r="U168" i="56"/>
  <c r="U169" i="56" s="1"/>
  <c r="M25" i="57"/>
  <c r="P130" i="56"/>
  <c r="P131" i="56" s="1"/>
  <c r="AN130" i="56"/>
  <c r="AN131" i="56" s="1"/>
  <c r="V168" i="56"/>
  <c r="V169" i="56" s="1"/>
  <c r="Z168" i="56"/>
  <c r="Z169" i="56" s="1"/>
  <c r="AG168" i="56"/>
  <c r="AG169" i="56" s="1"/>
  <c r="S41" i="57"/>
  <c r="F41" i="57" s="1"/>
  <c r="N41" i="57"/>
  <c r="T41" i="57" s="1"/>
  <c r="U41" i="57" s="1"/>
  <c r="V41" i="57" s="1"/>
  <c r="W41" i="57" s="1"/>
  <c r="Y130" i="56"/>
  <c r="Y131" i="56" s="1"/>
  <c r="AE169" i="56"/>
  <c r="AQ169" i="56"/>
  <c r="AL168" i="56"/>
  <c r="AL169" i="56" s="1"/>
  <c r="S27" i="57"/>
  <c r="F27" i="57" s="1"/>
  <c r="N27" i="57"/>
  <c r="T27" i="57" s="1"/>
  <c r="Q21" i="57"/>
  <c r="G48" i="57"/>
  <c r="M48" i="57"/>
  <c r="N48" i="57" s="1"/>
  <c r="O48" i="57" s="1"/>
  <c r="E82" i="57"/>
  <c r="E85" i="57" s="1"/>
  <c r="M36" i="57"/>
  <c r="S48" i="57"/>
  <c r="T48" i="57" s="1"/>
  <c r="U48" i="57" s="1"/>
  <c r="G78" i="57"/>
  <c r="S78" i="57"/>
  <c r="Q103" i="57"/>
  <c r="Q104" i="57" s="1"/>
  <c r="P104" i="57"/>
  <c r="C36" i="57"/>
  <c r="C42" i="57" s="1"/>
  <c r="C55" i="57"/>
  <c r="C86" i="57"/>
  <c r="C101" i="57" s="1"/>
  <c r="C122" i="57" s="1"/>
  <c r="N44" i="57"/>
  <c r="S44" i="57"/>
  <c r="F44" i="57" s="1"/>
  <c r="S42" i="57"/>
  <c r="F42" i="57" s="1"/>
  <c r="N42" i="57"/>
  <c r="T42" i="57" s="1"/>
  <c r="U42" i="57" s="1"/>
  <c r="V42" i="57" s="1"/>
  <c r="W42" i="57" s="1"/>
  <c r="C75" i="57"/>
  <c r="C93" i="57" s="1"/>
  <c r="C114" i="57" s="1"/>
  <c r="S32" i="57"/>
  <c r="F32" i="57" s="1"/>
  <c r="S35" i="57"/>
  <c r="H79" i="57"/>
  <c r="K79" i="57"/>
  <c r="I83" i="57"/>
  <c r="I89" i="57"/>
  <c r="O35" i="57"/>
  <c r="J48" i="57"/>
  <c r="S73" i="57"/>
  <c r="T73" i="57" s="1"/>
  <c r="U73" i="57" s="1"/>
  <c r="V73" i="57" s="1"/>
  <c r="W73" i="57" s="1"/>
  <c r="M73" i="57"/>
  <c r="N73" i="57" s="1"/>
  <c r="O73" i="57" s="1"/>
  <c r="P73" i="57" s="1"/>
  <c r="Q73" i="57" s="1"/>
  <c r="G73" i="57"/>
  <c r="B27" i="57"/>
  <c r="G94" i="57"/>
  <c r="G96" i="57" s="1"/>
  <c r="S94" i="57"/>
  <c r="S96" i="57" s="1"/>
  <c r="F96" i="57"/>
  <c r="H103" i="57"/>
  <c r="H99" i="57"/>
  <c r="K94" i="57"/>
  <c r="J89" i="57"/>
  <c r="J83" i="57"/>
  <c r="H78" i="57"/>
  <c r="J95" i="57"/>
  <c r="I84" i="57"/>
  <c r="K102" i="57"/>
  <c r="H95" i="57"/>
  <c r="J102" i="57"/>
  <c r="K98" i="57"/>
  <c r="I102" i="57"/>
  <c r="J98" i="57"/>
  <c r="K88" i="57"/>
  <c r="J103" i="57"/>
  <c r="J99" i="57"/>
  <c r="H98" i="57"/>
  <c r="I98" i="57"/>
  <c r="H89" i="57"/>
  <c r="H83" i="57"/>
  <c r="K78" i="57"/>
  <c r="I95" i="57"/>
  <c r="K84" i="57"/>
  <c r="H102" i="57"/>
  <c r="I99" i="57"/>
  <c r="J88" i="57"/>
  <c r="H84" i="57"/>
  <c r="J79" i="57"/>
  <c r="K48" i="57"/>
  <c r="I88" i="57"/>
  <c r="I79" i="57"/>
  <c r="I94" i="57"/>
  <c r="H94" i="57"/>
  <c r="K89" i="57"/>
  <c r="K83" i="57"/>
  <c r="S64" i="57"/>
  <c r="M64" i="57"/>
  <c r="M67" i="57"/>
  <c r="N67" i="57" s="1"/>
  <c r="O67" i="57" s="1"/>
  <c r="P67" i="57" s="1"/>
  <c r="G67" i="57"/>
  <c r="J94" i="57"/>
  <c r="S31" i="57"/>
  <c r="F31" i="57" s="1"/>
  <c r="F38" i="57"/>
  <c r="G64" i="57"/>
  <c r="F70" i="57"/>
  <c r="E69" i="57"/>
  <c r="F69" i="57" s="1"/>
  <c r="M94" i="57"/>
  <c r="I103" i="57"/>
  <c r="S40" i="57"/>
  <c r="M40" i="57"/>
  <c r="I78" i="57"/>
  <c r="G88" i="57"/>
  <c r="S88" i="57"/>
  <c r="O134" i="57"/>
  <c r="J231" i="57"/>
  <c r="E50" i="57"/>
  <c r="J78" i="57"/>
  <c r="H88" i="57"/>
  <c r="S99" i="57"/>
  <c r="S100" i="57" s="1"/>
  <c r="M99" i="57"/>
  <c r="M100" i="57" s="1"/>
  <c r="F100" i="57"/>
  <c r="G99" i="57"/>
  <c r="S67" i="57"/>
  <c r="T67" i="57" s="1"/>
  <c r="U67" i="57" s="1"/>
  <c r="V67" i="57" s="1"/>
  <c r="W67" i="57" s="1"/>
  <c r="S102" i="57"/>
  <c r="M102" i="57"/>
  <c r="F104" i="57"/>
  <c r="G102" i="57"/>
  <c r="G104" i="57" s="1"/>
  <c r="M26" i="57"/>
  <c r="S138" i="57"/>
  <c r="M138" i="57"/>
  <c r="S103" i="57"/>
  <c r="M103" i="57"/>
  <c r="E144" i="57"/>
  <c r="F144" i="57" s="1"/>
  <c r="F165" i="57"/>
  <c r="G143" i="57"/>
  <c r="G165" i="57" s="1"/>
  <c r="S143" i="57"/>
  <c r="T143" i="57" s="1"/>
  <c r="U143" i="57" s="1"/>
  <c r="V143" i="57" s="1"/>
  <c r="W143" i="57" s="1"/>
  <c r="F142" i="57"/>
  <c r="M143" i="57"/>
  <c r="N143" i="57" s="1"/>
  <c r="O143" i="57" s="1"/>
  <c r="P143" i="57" s="1"/>
  <c r="Q143" i="57" s="1"/>
  <c r="BE244" i="57"/>
  <c r="BF244" i="57"/>
  <c r="BG217" i="57"/>
  <c r="BH217" i="57" s="1"/>
  <c r="BH203" i="57"/>
  <c r="BI203" i="57" s="1"/>
  <c r="L198" i="57"/>
  <c r="L211" i="57"/>
  <c r="C211" i="57"/>
  <c r="D211" i="57"/>
  <c r="M244" i="57"/>
  <c r="K254" i="57"/>
  <c r="M245" i="57"/>
  <c r="J210" i="57"/>
  <c r="F211" i="57"/>
  <c r="N245" i="57"/>
  <c r="N244" i="57"/>
  <c r="M227" i="57"/>
  <c r="M223" i="57"/>
  <c r="G211" i="57"/>
  <c r="I211" i="57"/>
  <c r="AM211" i="57"/>
  <c r="K223" i="57"/>
  <c r="L254" i="57"/>
  <c r="AN211" i="57"/>
  <c r="L223" i="57"/>
  <c r="L224" i="57"/>
  <c r="D224" i="57"/>
  <c r="BF245" i="57"/>
  <c r="L245" i="57"/>
  <c r="H67" i="56" l="1"/>
  <c r="H80" i="56" s="1"/>
  <c r="AA25" i="58"/>
  <c r="AA67" i="58"/>
  <c r="AA104" i="58" s="1"/>
  <c r="AA6" i="58"/>
  <c r="AA22" i="58"/>
  <c r="AA12" i="58" a="1"/>
  <c r="AA12" i="58" s="1"/>
  <c r="AA11" i="58" s="1"/>
  <c r="AB4" i="58"/>
  <c r="AA7" i="58"/>
  <c r="AA5" i="58"/>
  <c r="Y87" i="58"/>
  <c r="Y76" i="58"/>
  <c r="Y77" i="58"/>
  <c r="Y88" i="58"/>
  <c r="Z8" i="58"/>
  <c r="H69" i="56"/>
  <c r="H82" i="56" s="1"/>
  <c r="T69" i="56"/>
  <c r="U69" i="56" s="1"/>
  <c r="V69" i="56" s="1"/>
  <c r="W69" i="56" s="1"/>
  <c r="N69" i="56"/>
  <c r="O69" i="56" s="1"/>
  <c r="P69" i="56" s="1"/>
  <c r="Q69" i="56" s="1"/>
  <c r="H68" i="56"/>
  <c r="H81" i="56" s="1"/>
  <c r="T68" i="56"/>
  <c r="U68" i="56" s="1"/>
  <c r="V68" i="56" s="1"/>
  <c r="W68" i="56" s="1"/>
  <c r="N68" i="56"/>
  <c r="O68" i="56" s="1"/>
  <c r="P68" i="56" s="1"/>
  <c r="Q68" i="56" s="1"/>
  <c r="F89" i="56"/>
  <c r="N71" i="56"/>
  <c r="O71" i="56" s="1"/>
  <c r="P71" i="56" s="1"/>
  <c r="Q71" i="56" s="1"/>
  <c r="G84" i="56"/>
  <c r="T70" i="56"/>
  <c r="U70" i="56" s="1"/>
  <c r="V70" i="56" s="1"/>
  <c r="W70" i="56" s="1"/>
  <c r="G83" i="56"/>
  <c r="N72" i="56"/>
  <c r="O72" i="56" s="1"/>
  <c r="P72" i="56" s="1"/>
  <c r="R72" i="56" s="1"/>
  <c r="T72" i="56"/>
  <c r="U72" i="56" s="1"/>
  <c r="V72" i="56" s="1"/>
  <c r="X72" i="56" s="1"/>
  <c r="H72" i="56"/>
  <c r="H85" i="56" s="1"/>
  <c r="T67" i="56"/>
  <c r="U67" i="56" s="1"/>
  <c r="V67" i="56" s="1"/>
  <c r="J67" i="56" s="1"/>
  <c r="G80" i="56"/>
  <c r="U15" i="56"/>
  <c r="O15" i="56"/>
  <c r="N15" i="56"/>
  <c r="H15" i="56"/>
  <c r="Q15" i="56"/>
  <c r="O44" i="57"/>
  <c r="P44" i="57" s="1"/>
  <c r="T44" i="57"/>
  <c r="U44" i="57" s="1"/>
  <c r="V44" i="57" s="1"/>
  <c r="W44" i="57" s="1"/>
  <c r="O38" i="57"/>
  <c r="P38" i="57" s="1"/>
  <c r="Q38" i="57" s="1"/>
  <c r="T38" i="57"/>
  <c r="U38" i="57" s="1"/>
  <c r="V38" i="57" s="1"/>
  <c r="W38" i="57" s="1"/>
  <c r="O37" i="57"/>
  <c r="P37" i="57" s="1"/>
  <c r="Q37" i="57" s="1"/>
  <c r="T37" i="57"/>
  <c r="U37" i="57" s="1"/>
  <c r="V37" i="57" s="1"/>
  <c r="W37" i="57" s="1"/>
  <c r="T30" i="57"/>
  <c r="G30" i="57" s="1"/>
  <c r="O30" i="57"/>
  <c r="F37" i="57"/>
  <c r="I48" i="57"/>
  <c r="K143" i="57"/>
  <c r="K73" i="57"/>
  <c r="F35" i="57"/>
  <c r="F77" i="57" s="1"/>
  <c r="F80" i="57" s="1"/>
  <c r="N70" i="56"/>
  <c r="O70" i="56" s="1"/>
  <c r="P70" i="56" s="1"/>
  <c r="L110" i="56"/>
  <c r="M133" i="57"/>
  <c r="N133" i="57" s="1"/>
  <c r="S133" i="57"/>
  <c r="S132" i="57" s="1"/>
  <c r="P16" i="56"/>
  <c r="O16" i="56"/>
  <c r="F18" i="56"/>
  <c r="G17" i="56"/>
  <c r="N209" i="57"/>
  <c r="O196" i="57" s="1"/>
  <c r="M210" i="57"/>
  <c r="M96" i="57"/>
  <c r="K103" i="57"/>
  <c r="K104" i="57" s="1"/>
  <c r="L225" i="57"/>
  <c r="L226" i="57" s="1"/>
  <c r="N198" i="57"/>
  <c r="L199" i="57"/>
  <c r="L203" i="57" s="1"/>
  <c r="N196" i="57"/>
  <c r="N197" i="57"/>
  <c r="BE246" i="57"/>
  <c r="N246" i="57"/>
  <c r="N247" i="57" s="1"/>
  <c r="BF246" i="57"/>
  <c r="BF247" i="57" s="1"/>
  <c r="O197" i="57"/>
  <c r="L212" i="57"/>
  <c r="L213" i="57" s="1"/>
  <c r="G100" i="57"/>
  <c r="G132" i="57"/>
  <c r="F43" i="57"/>
  <c r="N43" i="57"/>
  <c r="T71" i="56"/>
  <c r="U71" i="56" s="1"/>
  <c r="V71" i="56" s="1"/>
  <c r="X71" i="56" s="1"/>
  <c r="H71" i="56"/>
  <c r="H84" i="56" s="1"/>
  <c r="Q67" i="56"/>
  <c r="I73" i="57"/>
  <c r="M87" i="57"/>
  <c r="H104" i="57"/>
  <c r="J100" i="57"/>
  <c r="K96" i="57"/>
  <c r="H70" i="56"/>
  <c r="H83" i="56" s="1"/>
  <c r="J73" i="57"/>
  <c r="S87" i="57"/>
  <c r="H73" i="57"/>
  <c r="H143" i="57"/>
  <c r="K100" i="57"/>
  <c r="H100" i="57"/>
  <c r="O42" i="57"/>
  <c r="S25" i="57"/>
  <c r="F25" i="57" s="1"/>
  <c r="N25" i="57"/>
  <c r="T25" i="57" s="1"/>
  <c r="H63" i="56"/>
  <c r="H76" i="56" s="1"/>
  <c r="N63" i="56"/>
  <c r="O63" i="56" s="1"/>
  <c r="P63" i="56" s="1"/>
  <c r="T63" i="56"/>
  <c r="U63" i="56" s="1"/>
  <c r="V63" i="56" s="1"/>
  <c r="T65" i="56"/>
  <c r="U65" i="56" s="1"/>
  <c r="V65" i="56" s="1"/>
  <c r="N65" i="56"/>
  <c r="O65" i="56" s="1"/>
  <c r="P65" i="56" s="1"/>
  <c r="H65" i="56"/>
  <c r="H78" i="56" s="1"/>
  <c r="M139" i="57"/>
  <c r="J96" i="57"/>
  <c r="I100" i="57"/>
  <c r="J104" i="57"/>
  <c r="M82" i="57"/>
  <c r="M85" i="57" s="1"/>
  <c r="S36" i="57"/>
  <c r="N36" i="57"/>
  <c r="T36" i="57" s="1"/>
  <c r="U36" i="57" s="1"/>
  <c r="V36" i="57" s="1"/>
  <c r="W36" i="57" s="1"/>
  <c r="O27" i="57"/>
  <c r="G42" i="57"/>
  <c r="G27" i="57"/>
  <c r="H66" i="56"/>
  <c r="H79" i="56" s="1"/>
  <c r="T66" i="56"/>
  <c r="U66" i="56" s="1"/>
  <c r="V66" i="56" s="1"/>
  <c r="N66" i="56"/>
  <c r="O66" i="56" s="1"/>
  <c r="P66" i="56" s="1"/>
  <c r="K174" i="56"/>
  <c r="T138" i="57"/>
  <c r="S69" i="57"/>
  <c r="G69" i="57"/>
  <c r="M69" i="57"/>
  <c r="Q67" i="57"/>
  <c r="K67" i="57" s="1"/>
  <c r="J67" i="57"/>
  <c r="O106" i="56"/>
  <c r="N108" i="56"/>
  <c r="N107" i="56"/>
  <c r="N109" i="56"/>
  <c r="P134" i="57"/>
  <c r="M70" i="57"/>
  <c r="N70" i="57" s="1"/>
  <c r="S70" i="57"/>
  <c r="T70" i="57" s="1"/>
  <c r="G70" i="57"/>
  <c r="N64" i="57"/>
  <c r="I96" i="57"/>
  <c r="J13" i="56"/>
  <c r="K16" i="56"/>
  <c r="J16" i="56"/>
  <c r="I15" i="56"/>
  <c r="L13" i="56"/>
  <c r="K13" i="56"/>
  <c r="L16" i="56"/>
  <c r="I13" i="56"/>
  <c r="L15" i="56"/>
  <c r="I16" i="56"/>
  <c r="K15" i="56"/>
  <c r="J15" i="56"/>
  <c r="I67" i="57"/>
  <c r="P14" i="56"/>
  <c r="N14" i="56"/>
  <c r="X14" i="56"/>
  <c r="H14" i="56"/>
  <c r="T14" i="56"/>
  <c r="Q14" i="56"/>
  <c r="V14" i="56"/>
  <c r="W14" i="56"/>
  <c r="R14" i="56"/>
  <c r="L14" i="56" s="1"/>
  <c r="U14" i="56"/>
  <c r="O14" i="56"/>
  <c r="H67" i="57"/>
  <c r="T64" i="57"/>
  <c r="I143" i="57"/>
  <c r="O41" i="57"/>
  <c r="H104" i="56"/>
  <c r="H88" i="56" s="1"/>
  <c r="G88" i="56"/>
  <c r="M110" i="56"/>
  <c r="H64" i="56"/>
  <c r="H77" i="56" s="1"/>
  <c r="T64" i="56"/>
  <c r="U64" i="56" s="1"/>
  <c r="V64" i="56" s="1"/>
  <c r="N64" i="56"/>
  <c r="O64" i="56" s="1"/>
  <c r="P64" i="56" s="1"/>
  <c r="S26" i="57"/>
  <c r="F26" i="57" s="1"/>
  <c r="N26" i="57"/>
  <c r="T26" i="57" s="1"/>
  <c r="U26" i="57" s="1"/>
  <c r="E51" i="57"/>
  <c r="E110" i="57"/>
  <c r="K172" i="56"/>
  <c r="F48" i="56"/>
  <c r="F39" i="56" s="1"/>
  <c r="N39" i="56" s="1"/>
  <c r="K225" i="57"/>
  <c r="K226" i="57" s="1"/>
  <c r="AO212" i="57"/>
  <c r="AO213" i="57" s="1"/>
  <c r="AN198" i="57"/>
  <c r="AN199" i="57" s="1"/>
  <c r="BG212" i="57"/>
  <c r="BG213" i="57" s="1"/>
  <c r="AP212" i="57"/>
  <c r="AP213" i="57" s="1"/>
  <c r="AN212" i="57"/>
  <c r="AN213" i="57" s="1"/>
  <c r="K212" i="57"/>
  <c r="K213" i="57" s="1"/>
  <c r="AM212" i="57"/>
  <c r="AM213" i="57" s="1"/>
  <c r="J212" i="57"/>
  <c r="J213" i="57" s="1"/>
  <c r="AQ198" i="57"/>
  <c r="AQ199" i="57" s="1"/>
  <c r="K198" i="57"/>
  <c r="K199" i="57" s="1"/>
  <c r="BH198" i="57"/>
  <c r="BH199" i="57" s="1"/>
  <c r="AO198" i="57"/>
  <c r="AO199" i="57" s="1"/>
  <c r="M198" i="57"/>
  <c r="M199" i="57" s="1"/>
  <c r="AP198" i="57"/>
  <c r="AP199" i="57" s="1"/>
  <c r="M144" i="57"/>
  <c r="N144" i="57" s="1"/>
  <c r="S144" i="57"/>
  <c r="T144" i="57" s="1"/>
  <c r="G144" i="57"/>
  <c r="G41" i="57"/>
  <c r="S77" i="57"/>
  <c r="S80" i="57" s="1"/>
  <c r="H48" i="57"/>
  <c r="M77" i="57"/>
  <c r="M80" i="57" s="1"/>
  <c r="D245" i="57"/>
  <c r="L246" i="57" s="1"/>
  <c r="L247" i="57" s="1"/>
  <c r="AX225" i="57"/>
  <c r="AX226" i="57" s="1"/>
  <c r="AY225" i="57"/>
  <c r="AY226" i="57" s="1"/>
  <c r="M246" i="57"/>
  <c r="M247" i="57" s="1"/>
  <c r="M225" i="57"/>
  <c r="M226" i="57" s="1"/>
  <c r="O244" i="57"/>
  <c r="M254" i="57"/>
  <c r="O245" i="57"/>
  <c r="O246" i="57"/>
  <c r="N225" i="57"/>
  <c r="N227" i="57"/>
  <c r="N223" i="57"/>
  <c r="N224" i="57"/>
  <c r="N211" i="57"/>
  <c r="N210" i="57"/>
  <c r="BE247" i="57"/>
  <c r="G142" i="57"/>
  <c r="G164" i="57" s="1"/>
  <c r="M142" i="57"/>
  <c r="N142" i="57" s="1"/>
  <c r="S142" i="57"/>
  <c r="T142" i="57" s="1"/>
  <c r="F164" i="57"/>
  <c r="H96" i="57"/>
  <c r="I104" i="57"/>
  <c r="M212" i="57"/>
  <c r="U134" i="57"/>
  <c r="I134" i="57" s="1"/>
  <c r="T132" i="57"/>
  <c r="M104" i="57"/>
  <c r="J143" i="57"/>
  <c r="P31" i="57"/>
  <c r="S104" i="57"/>
  <c r="P35" i="57"/>
  <c r="C108" i="57"/>
  <c r="C81" i="57"/>
  <c r="C97" i="57" s="1"/>
  <c r="C118" i="57" s="1"/>
  <c r="K171" i="56"/>
  <c r="K173" i="56"/>
  <c r="F60" i="56"/>
  <c r="G37" i="57" l="1"/>
  <c r="H44" i="57"/>
  <c r="H38" i="57"/>
  <c r="K69" i="56"/>
  <c r="R68" i="56"/>
  <c r="G44" i="57"/>
  <c r="I68" i="56"/>
  <c r="U142" i="57"/>
  <c r="V142" i="57" s="1"/>
  <c r="W142" i="57" s="1"/>
  <c r="U144" i="57"/>
  <c r="V144" i="57" s="1"/>
  <c r="W144" i="57" s="1"/>
  <c r="J69" i="56"/>
  <c r="I69" i="56"/>
  <c r="G38" i="57"/>
  <c r="K68" i="56"/>
  <c r="H37" i="57"/>
  <c r="J68" i="56"/>
  <c r="K38" i="57"/>
  <c r="J70" i="56"/>
  <c r="E89" i="56"/>
  <c r="H30" i="57"/>
  <c r="AA8" i="58"/>
  <c r="AB67" i="58"/>
  <c r="AB104" i="58" s="1"/>
  <c r="AB22" i="58"/>
  <c r="AB12" i="58" a="1"/>
  <c r="AB12" i="58" s="1"/>
  <c r="AB11" i="58" s="1"/>
  <c r="AB6" i="58"/>
  <c r="AC4" i="58"/>
  <c r="AB5" i="58"/>
  <c r="AB8" i="58" s="1"/>
  <c r="AB7" i="58"/>
  <c r="Z87" i="58"/>
  <c r="Z88" i="58"/>
  <c r="Z76" i="58"/>
  <c r="Z77" i="58"/>
  <c r="AB25" i="58"/>
  <c r="I38" i="57"/>
  <c r="I44" i="57"/>
  <c r="X69" i="56"/>
  <c r="X70" i="56"/>
  <c r="R69" i="56"/>
  <c r="I70" i="56"/>
  <c r="X68" i="56"/>
  <c r="AG76" i="56"/>
  <c r="R71" i="56"/>
  <c r="L71" i="56" s="1"/>
  <c r="Q72" i="56"/>
  <c r="J65" i="56"/>
  <c r="J38" i="57"/>
  <c r="J63" i="56"/>
  <c r="I71" i="56"/>
  <c r="J72" i="56"/>
  <c r="I67" i="56"/>
  <c r="W72" i="56"/>
  <c r="R70" i="56"/>
  <c r="L72" i="56"/>
  <c r="Q70" i="56"/>
  <c r="K70" i="56" s="1"/>
  <c r="I72" i="56"/>
  <c r="W67" i="56"/>
  <c r="K67" i="56" s="1"/>
  <c r="X67" i="56"/>
  <c r="L67" i="56" s="1"/>
  <c r="F36" i="56"/>
  <c r="F28" i="56"/>
  <c r="G28" i="56" s="1"/>
  <c r="K14" i="56"/>
  <c r="J71" i="56"/>
  <c r="J14" i="56"/>
  <c r="I14" i="56"/>
  <c r="J37" i="57"/>
  <c r="I37" i="57"/>
  <c r="K37" i="57"/>
  <c r="F87" i="57"/>
  <c r="F90" i="57" s="1"/>
  <c r="S90" i="57" s="1"/>
  <c r="U30" i="57"/>
  <c r="V30" i="57" s="1"/>
  <c r="W30" i="57" s="1"/>
  <c r="N77" i="57"/>
  <c r="N80" i="57" s="1"/>
  <c r="T43" i="57"/>
  <c r="U43" i="57" s="1"/>
  <c r="V43" i="57" s="1"/>
  <c r="W43" i="57" s="1"/>
  <c r="M132" i="57"/>
  <c r="G31" i="57"/>
  <c r="H31" i="57"/>
  <c r="G35" i="57"/>
  <c r="G77" i="57" s="1"/>
  <c r="G80" i="57" s="1"/>
  <c r="H35" i="57"/>
  <c r="H42" i="57"/>
  <c r="H41" i="57"/>
  <c r="M213" i="57"/>
  <c r="M217" i="57" s="1"/>
  <c r="J104" i="47" s="1"/>
  <c r="M137" i="57"/>
  <c r="S139" i="57"/>
  <c r="S137" i="57" s="1"/>
  <c r="F36" i="57"/>
  <c r="F82" i="57" s="1"/>
  <c r="F85" i="57" s="1"/>
  <c r="H27" i="57"/>
  <c r="O198" i="57"/>
  <c r="O199" i="57" s="1"/>
  <c r="O209" i="57"/>
  <c r="P197" i="57" s="1"/>
  <c r="N212" i="57"/>
  <c r="N213" i="57" s="1"/>
  <c r="I65" i="56"/>
  <c r="O17" i="56"/>
  <c r="I17" i="56" s="1"/>
  <c r="H17" i="56"/>
  <c r="Q17" i="56"/>
  <c r="K17" i="56" s="1"/>
  <c r="R17" i="56"/>
  <c r="X17" i="56"/>
  <c r="P17" i="56"/>
  <c r="J17" i="56" s="1"/>
  <c r="N17" i="56"/>
  <c r="W17" i="56"/>
  <c r="T17" i="56"/>
  <c r="V17" i="56"/>
  <c r="U17" i="56"/>
  <c r="G18" i="56"/>
  <c r="F19" i="56"/>
  <c r="O43" i="57"/>
  <c r="P43" i="57" s="1"/>
  <c r="N199" i="57"/>
  <c r="N204" i="57" s="1"/>
  <c r="W71" i="56"/>
  <c r="K71" i="56" s="1"/>
  <c r="I64" i="56"/>
  <c r="S82" i="57"/>
  <c r="S85" i="57" s="1"/>
  <c r="T39" i="56"/>
  <c r="G39" i="56" s="1"/>
  <c r="O39" i="56"/>
  <c r="N226" i="57"/>
  <c r="O26" i="57"/>
  <c r="H26" i="57"/>
  <c r="I66" i="56"/>
  <c r="T68" i="57"/>
  <c r="T69" i="57"/>
  <c r="U70" i="57"/>
  <c r="U138" i="57"/>
  <c r="F30" i="56"/>
  <c r="G30" i="56" s="1"/>
  <c r="F31" i="56"/>
  <c r="G31" i="56" s="1"/>
  <c r="F32" i="56"/>
  <c r="G32" i="56" s="1"/>
  <c r="F35" i="56"/>
  <c r="G35" i="56" s="1"/>
  <c r="F33" i="56"/>
  <c r="G33" i="56" s="1"/>
  <c r="F34" i="56"/>
  <c r="G34" i="56" s="1"/>
  <c r="N110" i="56"/>
  <c r="R66" i="56"/>
  <c r="Q66" i="56"/>
  <c r="O142" i="57"/>
  <c r="H142" i="57"/>
  <c r="N254" i="57"/>
  <c r="P244" i="57"/>
  <c r="O227" i="57"/>
  <c r="O223" i="57"/>
  <c r="P245" i="57"/>
  <c r="O224" i="57"/>
  <c r="O225" i="57"/>
  <c r="P246" i="57"/>
  <c r="K217" i="57"/>
  <c r="P41" i="57"/>
  <c r="O64" i="57"/>
  <c r="H64" i="57"/>
  <c r="N68" i="57"/>
  <c r="O70" i="57"/>
  <c r="N69" i="57"/>
  <c r="H70" i="57"/>
  <c r="F29" i="56"/>
  <c r="G29" i="56" s="1"/>
  <c r="R64" i="56"/>
  <c r="Q64" i="56"/>
  <c r="I63" i="56"/>
  <c r="O109" i="56"/>
  <c r="O108" i="56"/>
  <c r="P106" i="56"/>
  <c r="O107" i="56"/>
  <c r="U27" i="57"/>
  <c r="I27" i="57" s="1"/>
  <c r="P27" i="57"/>
  <c r="R65" i="56"/>
  <c r="Q65" i="56"/>
  <c r="P42" i="57"/>
  <c r="O247" i="57"/>
  <c r="M203" i="57"/>
  <c r="X64" i="56"/>
  <c r="W64" i="56"/>
  <c r="U31" i="57"/>
  <c r="I31" i="57" s="1"/>
  <c r="J64" i="56"/>
  <c r="X65" i="56"/>
  <c r="W65" i="56"/>
  <c r="N82" i="57"/>
  <c r="N85" i="57" s="1"/>
  <c r="G26" i="57"/>
  <c r="N132" i="57"/>
  <c r="O133" i="57"/>
  <c r="H133" i="57"/>
  <c r="X63" i="56"/>
  <c r="W63" i="56"/>
  <c r="K231" i="57"/>
  <c r="L231" i="57" s="1"/>
  <c r="O144" i="57"/>
  <c r="H144" i="57"/>
  <c r="Q134" i="57"/>
  <c r="U64" i="57"/>
  <c r="R63" i="56"/>
  <c r="Q63" i="56"/>
  <c r="P30" i="57"/>
  <c r="T82" i="57"/>
  <c r="T85" i="57" s="1"/>
  <c r="I42" i="57"/>
  <c r="O36" i="57"/>
  <c r="G36" i="57"/>
  <c r="H36" i="57"/>
  <c r="Q35" i="57"/>
  <c r="Q44" i="57"/>
  <c r="K44" i="57" s="1"/>
  <c r="J44" i="57"/>
  <c r="X66" i="56"/>
  <c r="W66" i="56"/>
  <c r="Q31" i="57"/>
  <c r="F40" i="56"/>
  <c r="J66" i="56"/>
  <c r="O25" i="57"/>
  <c r="G25" i="57"/>
  <c r="H25" i="57"/>
  <c r="U132" i="57"/>
  <c r="V134" i="57"/>
  <c r="J134" i="57" s="1"/>
  <c r="T77" i="57"/>
  <c r="T80" i="57" s="1"/>
  <c r="I41" i="57"/>
  <c r="O138" i="57"/>
  <c r="H138" i="57"/>
  <c r="L217" i="57" l="1"/>
  <c r="I104" i="47" s="1"/>
  <c r="H104" i="47"/>
  <c r="L68" i="56"/>
  <c r="I30" i="57"/>
  <c r="G43" i="57"/>
  <c r="L69" i="56"/>
  <c r="H43" i="57"/>
  <c r="L70" i="56"/>
  <c r="AA76" i="58"/>
  <c r="AA77" i="58"/>
  <c r="AA87" i="58"/>
  <c r="AA88" i="58"/>
  <c r="AB88" i="58"/>
  <c r="AB87" i="58"/>
  <c r="AB76" i="58"/>
  <c r="AB77" i="58"/>
  <c r="AC67" i="58"/>
  <c r="AC104" i="58" s="1"/>
  <c r="AC7" i="58"/>
  <c r="AC5" i="58"/>
  <c r="AC6" i="58"/>
  <c r="AD4" i="58"/>
  <c r="AC12" i="58" a="1"/>
  <c r="AC12" i="58" s="1"/>
  <c r="AC11" i="58" s="1"/>
  <c r="AC22" i="58"/>
  <c r="AC25" i="58"/>
  <c r="K72" i="56"/>
  <c r="L66" i="56"/>
  <c r="K66" i="56"/>
  <c r="K64" i="56"/>
  <c r="K65" i="56"/>
  <c r="K63" i="56"/>
  <c r="L65" i="56"/>
  <c r="L64" i="56"/>
  <c r="T28" i="56"/>
  <c r="N28" i="56"/>
  <c r="O28" i="56" s="1"/>
  <c r="U28" i="56" s="1"/>
  <c r="V28" i="56" s="1"/>
  <c r="W28" i="56" s="1"/>
  <c r="X28" i="56" s="1"/>
  <c r="H28" i="56"/>
  <c r="L17" i="56"/>
  <c r="L63" i="56"/>
  <c r="M90" i="57"/>
  <c r="H77" i="57"/>
  <c r="H80" i="57" s="1"/>
  <c r="I43" i="57"/>
  <c r="P198" i="57"/>
  <c r="G82" i="57"/>
  <c r="G85" i="57" s="1"/>
  <c r="I35" i="57"/>
  <c r="O212" i="57"/>
  <c r="O213" i="57" s="1"/>
  <c r="N203" i="57"/>
  <c r="O203" i="57" s="1"/>
  <c r="H68" i="57"/>
  <c r="M218" i="57"/>
  <c r="H69" i="57"/>
  <c r="O210" i="57"/>
  <c r="O211" i="57"/>
  <c r="P209" i="57"/>
  <c r="Q197" i="57" s="1"/>
  <c r="P196" i="57"/>
  <c r="Q18" i="56"/>
  <c r="P18" i="56"/>
  <c r="X18" i="56"/>
  <c r="W18" i="56"/>
  <c r="V18" i="56"/>
  <c r="O18" i="56"/>
  <c r="I18" i="56" s="1"/>
  <c r="U18" i="56"/>
  <c r="H18" i="56"/>
  <c r="T18" i="56"/>
  <c r="R18" i="56"/>
  <c r="N18" i="56"/>
  <c r="F20" i="56"/>
  <c r="G19" i="56"/>
  <c r="P199" i="57"/>
  <c r="Q196" i="57"/>
  <c r="O82" i="57"/>
  <c r="O85" i="57" s="1"/>
  <c r="G36" i="56"/>
  <c r="T36" i="56" s="1"/>
  <c r="H82" i="57"/>
  <c r="H85" i="57" s="1"/>
  <c r="P25" i="57"/>
  <c r="I25" i="57"/>
  <c r="O204" i="57"/>
  <c r="W134" i="57"/>
  <c r="K134" i="57" s="1"/>
  <c r="V132" i="57"/>
  <c r="Q43" i="57"/>
  <c r="J43" i="57"/>
  <c r="N217" i="57"/>
  <c r="K104" i="47" s="1"/>
  <c r="Q42" i="57"/>
  <c r="O254" i="57"/>
  <c r="Q245" i="57"/>
  <c r="Q246" i="57"/>
  <c r="P225" i="57"/>
  <c r="Q244" i="57"/>
  <c r="P227" i="57"/>
  <c r="P223" i="57"/>
  <c r="P224" i="57"/>
  <c r="N118" i="56"/>
  <c r="M139" i="56" s="1"/>
  <c r="N113" i="56"/>
  <c r="M134" i="56" s="1"/>
  <c r="N111" i="56"/>
  <c r="M132" i="56" s="1"/>
  <c r="N120" i="56"/>
  <c r="M141" i="56" s="1"/>
  <c r="N123" i="56"/>
  <c r="M144" i="56" s="1"/>
  <c r="N119" i="56"/>
  <c r="M140" i="56" s="1"/>
  <c r="N116" i="56"/>
  <c r="M137" i="56" s="1"/>
  <c r="N117" i="56"/>
  <c r="M138" i="56" s="1"/>
  <c r="N114" i="56"/>
  <c r="M135" i="56" s="1"/>
  <c r="N115" i="56"/>
  <c r="M136" i="56" s="1"/>
  <c r="N112" i="56"/>
  <c r="M133" i="56" s="1"/>
  <c r="P26" i="57"/>
  <c r="P138" i="57"/>
  <c r="I138" i="57"/>
  <c r="J35" i="57"/>
  <c r="P144" i="57"/>
  <c r="I144" i="57"/>
  <c r="V27" i="57"/>
  <c r="J27" i="57" s="1"/>
  <c r="P247" i="57"/>
  <c r="H34" i="56"/>
  <c r="T34" i="56"/>
  <c r="N34" i="56"/>
  <c r="M232" i="57"/>
  <c r="M231" i="57"/>
  <c r="O69" i="57"/>
  <c r="O68" i="57"/>
  <c r="P70" i="57"/>
  <c r="I70" i="57"/>
  <c r="U77" i="57"/>
  <c r="U80" i="57" s="1"/>
  <c r="U82" i="57"/>
  <c r="U85" i="57" s="1"/>
  <c r="J42" i="57"/>
  <c r="H132" i="57"/>
  <c r="V31" i="57"/>
  <c r="J31" i="57" s="1"/>
  <c r="U68" i="57"/>
  <c r="U69" i="57"/>
  <c r="V70" i="57"/>
  <c r="Q30" i="57"/>
  <c r="J30" i="57"/>
  <c r="O226" i="57"/>
  <c r="N33" i="56"/>
  <c r="T33" i="56"/>
  <c r="H33" i="56"/>
  <c r="O110" i="56"/>
  <c r="P64" i="57"/>
  <c r="I64" i="57"/>
  <c r="P142" i="57"/>
  <c r="I142" i="57"/>
  <c r="N35" i="56"/>
  <c r="H35" i="56"/>
  <c r="T35" i="56"/>
  <c r="G40" i="56"/>
  <c r="Q106" i="56"/>
  <c r="P109" i="56"/>
  <c r="P107" i="56"/>
  <c r="P108" i="56"/>
  <c r="Q41" i="57"/>
  <c r="H32" i="56"/>
  <c r="T32" i="56"/>
  <c r="N32" i="56"/>
  <c r="P39" i="56"/>
  <c r="O40" i="56"/>
  <c r="V138" i="57"/>
  <c r="U137" i="57"/>
  <c r="P133" i="57"/>
  <c r="O132" i="57"/>
  <c r="I133" i="57"/>
  <c r="Q27" i="57"/>
  <c r="O77" i="57"/>
  <c r="O80" i="57" s="1"/>
  <c r="T31" i="56"/>
  <c r="N31" i="56"/>
  <c r="H31" i="56"/>
  <c r="U39" i="56"/>
  <c r="H39" i="56" s="1"/>
  <c r="V64" i="57"/>
  <c r="P36" i="57"/>
  <c r="I36" i="57"/>
  <c r="T29" i="56"/>
  <c r="N29" i="56"/>
  <c r="H29" i="56"/>
  <c r="Q209" i="57"/>
  <c r="Q198" i="57"/>
  <c r="N30" i="56"/>
  <c r="H30" i="56"/>
  <c r="T30" i="56"/>
  <c r="N218" i="57" l="1"/>
  <c r="K106" i="47" s="1"/>
  <c r="J106" i="47"/>
  <c r="N183" i="56"/>
  <c r="I39" i="56"/>
  <c r="I40" i="56" s="1"/>
  <c r="AD7" i="58"/>
  <c r="AD12" i="58" a="1"/>
  <c r="AD12" i="58" s="1"/>
  <c r="AD11" i="58" s="1"/>
  <c r="AD5" i="58"/>
  <c r="AD67" i="58"/>
  <c r="AD104" i="58" s="1"/>
  <c r="AD6" i="58"/>
  <c r="AD22" i="58"/>
  <c r="AD25" i="58" s="1"/>
  <c r="AE4" i="58"/>
  <c r="AC8" i="58"/>
  <c r="J18" i="56"/>
  <c r="K18" i="56"/>
  <c r="L18" i="56"/>
  <c r="I77" i="57"/>
  <c r="I80" i="57" s="1"/>
  <c r="J41" i="57"/>
  <c r="P210" i="57"/>
  <c r="I68" i="57"/>
  <c r="I69" i="57"/>
  <c r="I26" i="57"/>
  <c r="V26" i="57"/>
  <c r="Q199" i="57"/>
  <c r="P211" i="57"/>
  <c r="P213" i="57" s="1"/>
  <c r="P212" i="57"/>
  <c r="G20" i="56"/>
  <c r="F21" i="56"/>
  <c r="T19" i="56"/>
  <c r="R19" i="56"/>
  <c r="P19" i="56"/>
  <c r="X19" i="56"/>
  <c r="H19" i="56"/>
  <c r="U19" i="56"/>
  <c r="W19" i="56"/>
  <c r="V19" i="56"/>
  <c r="Q19" i="56"/>
  <c r="K19" i="56" s="1"/>
  <c r="O19" i="56"/>
  <c r="N19" i="56"/>
  <c r="R196" i="57"/>
  <c r="R197" i="57"/>
  <c r="I82" i="57"/>
  <c r="I85" i="57" s="1"/>
  <c r="H36" i="56"/>
  <c r="N36" i="56"/>
  <c r="P77" i="57"/>
  <c r="P80" i="57" s="1"/>
  <c r="P82" i="57"/>
  <c r="P85" i="57" s="1"/>
  <c r="V39" i="56"/>
  <c r="J39" i="56" s="1"/>
  <c r="U40" i="56"/>
  <c r="P40" i="56"/>
  <c r="R39" i="56"/>
  <c r="Q39" i="56"/>
  <c r="Q109" i="56"/>
  <c r="Q107" i="56"/>
  <c r="Q108" i="56"/>
  <c r="R106" i="56"/>
  <c r="O35" i="56"/>
  <c r="U35" i="56" s="1"/>
  <c r="N232" i="57"/>
  <c r="N231" i="57"/>
  <c r="Q26" i="57"/>
  <c r="Q142" i="57"/>
  <c r="K142" i="57" s="1"/>
  <c r="J142" i="57"/>
  <c r="W27" i="57"/>
  <c r="K27" i="57" s="1"/>
  <c r="K35" i="57"/>
  <c r="W132" i="57"/>
  <c r="K30" i="57"/>
  <c r="W31" i="57"/>
  <c r="K31" i="57" s="1"/>
  <c r="V77" i="57"/>
  <c r="V80" i="57" s="1"/>
  <c r="K41" i="57"/>
  <c r="O32" i="56"/>
  <c r="U32" i="56" s="1"/>
  <c r="T40" i="56"/>
  <c r="N40" i="56"/>
  <c r="Q70" i="57"/>
  <c r="P68" i="57"/>
  <c r="P69" i="57"/>
  <c r="J70" i="57"/>
  <c r="O218" i="57"/>
  <c r="L106" i="47" s="1"/>
  <c r="O217" i="57"/>
  <c r="L104" i="47" s="1"/>
  <c r="Q210" i="57"/>
  <c r="Q211" i="57"/>
  <c r="R209" i="57"/>
  <c r="Q212" i="57"/>
  <c r="R198" i="57"/>
  <c r="I132" i="57"/>
  <c r="O33" i="56"/>
  <c r="U33" i="56" s="1"/>
  <c r="V82" i="57"/>
  <c r="V85" i="57" s="1"/>
  <c r="O31" i="56"/>
  <c r="U31" i="56" s="1"/>
  <c r="V31" i="56" s="1"/>
  <c r="W31" i="56" s="1"/>
  <c r="X31" i="56" s="1"/>
  <c r="W70" i="57"/>
  <c r="V69" i="57"/>
  <c r="V68" i="57"/>
  <c r="K42" i="57"/>
  <c r="P28" i="56"/>
  <c r="I28" i="56"/>
  <c r="Q25" i="57"/>
  <c r="J25" i="57"/>
  <c r="Q144" i="57"/>
  <c r="K144" i="57" s="1"/>
  <c r="J144" i="57"/>
  <c r="P226" i="57"/>
  <c r="K43" i="57"/>
  <c r="W138" i="57"/>
  <c r="V137" i="57"/>
  <c r="O30" i="56"/>
  <c r="U30" i="56" s="1"/>
  <c r="O29" i="56"/>
  <c r="U29" i="56" s="1"/>
  <c r="H40" i="56"/>
  <c r="O34" i="56"/>
  <c r="U34" i="56" s="1"/>
  <c r="R246" i="57"/>
  <c r="R244" i="57"/>
  <c r="Q224" i="57"/>
  <c r="R245" i="57"/>
  <c r="P254" i="57"/>
  <c r="Q227" i="57"/>
  <c r="Q225" i="57"/>
  <c r="Q223" i="57"/>
  <c r="W64" i="57"/>
  <c r="Q36" i="57"/>
  <c r="K36" i="57" s="1"/>
  <c r="J36" i="57"/>
  <c r="Q133" i="57"/>
  <c r="P132" i="57"/>
  <c r="J133" i="57"/>
  <c r="O117" i="56"/>
  <c r="N138" i="56" s="1"/>
  <c r="O112" i="56"/>
  <c r="N133" i="56" s="1"/>
  <c r="O120" i="56"/>
  <c r="N141" i="56" s="1"/>
  <c r="O119" i="56"/>
  <c r="N140" i="56" s="1"/>
  <c r="O111" i="56"/>
  <c r="N132" i="56" s="1"/>
  <c r="O123" i="56"/>
  <c r="N144" i="56" s="1"/>
  <c r="O116" i="56"/>
  <c r="N137" i="56" s="1"/>
  <c r="O118" i="56"/>
  <c r="N139" i="56" s="1"/>
  <c r="O113" i="56"/>
  <c r="N134" i="56" s="1"/>
  <c r="O114" i="56"/>
  <c r="N135" i="56" s="1"/>
  <c r="O115" i="56"/>
  <c r="N136" i="56" s="1"/>
  <c r="P204" i="57"/>
  <c r="P203" i="57"/>
  <c r="P110" i="56"/>
  <c r="Q64" i="57"/>
  <c r="J64" i="57"/>
  <c r="Q138" i="57"/>
  <c r="J138" i="57"/>
  <c r="Q247" i="57"/>
  <c r="O183" i="56" l="1"/>
  <c r="J68" i="57"/>
  <c r="J69" i="57"/>
  <c r="AD8" i="58"/>
  <c r="AC88" i="58"/>
  <c r="AC76" i="58"/>
  <c r="AC77" i="58"/>
  <c r="AC87" i="58"/>
  <c r="AE67" i="58"/>
  <c r="AE104" i="58" s="1"/>
  <c r="AE22" i="58"/>
  <c r="AE25" i="58" s="1"/>
  <c r="AE12" i="58" a="1"/>
  <c r="AE12" i="58" s="1"/>
  <c r="AE11" i="58" s="1"/>
  <c r="AE7" i="58"/>
  <c r="AE6" i="58"/>
  <c r="AF4" i="58"/>
  <c r="AE5" i="58"/>
  <c r="AE8" i="58" s="1"/>
  <c r="J19" i="56"/>
  <c r="L19" i="56"/>
  <c r="I19" i="56"/>
  <c r="J77" i="57"/>
  <c r="J80" i="57" s="1"/>
  <c r="J26" i="57"/>
  <c r="W26" i="57"/>
  <c r="K26" i="57" s="1"/>
  <c r="R199" i="57"/>
  <c r="F22" i="56"/>
  <c r="G21" i="56"/>
  <c r="H20" i="56"/>
  <c r="P20" i="56"/>
  <c r="J20" i="56" s="1"/>
  <c r="R20" i="56"/>
  <c r="L20" i="56" s="1"/>
  <c r="W20" i="56"/>
  <c r="O20" i="56"/>
  <c r="U20" i="56"/>
  <c r="X20" i="56"/>
  <c r="T20" i="56"/>
  <c r="V20" i="56"/>
  <c r="Q20" i="56"/>
  <c r="K20" i="56" s="1"/>
  <c r="N20" i="56"/>
  <c r="Q110" i="56"/>
  <c r="S197" i="57"/>
  <c r="S196" i="57"/>
  <c r="O36" i="56"/>
  <c r="J82" i="57"/>
  <c r="J85" i="57" s="1"/>
  <c r="U36" i="56"/>
  <c r="K25" i="57"/>
  <c r="P30" i="56"/>
  <c r="I30" i="56"/>
  <c r="Q82" i="57"/>
  <c r="Q85" i="57" s="1"/>
  <c r="Q213" i="57"/>
  <c r="J40" i="56"/>
  <c r="P123" i="56"/>
  <c r="O144" i="56" s="1"/>
  <c r="P116" i="56"/>
  <c r="O137" i="56" s="1"/>
  <c r="P111" i="56"/>
  <c r="O132" i="56" s="1"/>
  <c r="P120" i="56"/>
  <c r="O141" i="56" s="1"/>
  <c r="P119" i="56"/>
  <c r="O140" i="56" s="1"/>
  <c r="P118" i="56"/>
  <c r="O139" i="56" s="1"/>
  <c r="P112" i="56"/>
  <c r="O133" i="56" s="1"/>
  <c r="P113" i="56"/>
  <c r="O134" i="56" s="1"/>
  <c r="P117" i="56"/>
  <c r="O138" i="56" s="1"/>
  <c r="P114" i="56"/>
  <c r="O135" i="56" s="1"/>
  <c r="P115" i="56"/>
  <c r="O136" i="56" s="1"/>
  <c r="P29" i="56"/>
  <c r="I29" i="56"/>
  <c r="Q132" i="57"/>
  <c r="K133" i="57"/>
  <c r="Q226" i="57"/>
  <c r="P34" i="56"/>
  <c r="I34" i="56"/>
  <c r="P31" i="56"/>
  <c r="I31" i="56"/>
  <c r="P32" i="56"/>
  <c r="I32" i="56"/>
  <c r="Q40" i="56"/>
  <c r="V34" i="56"/>
  <c r="W34" i="56" s="1"/>
  <c r="X34" i="56" s="1"/>
  <c r="W82" i="57"/>
  <c r="W85" i="57" s="1"/>
  <c r="Q77" i="57"/>
  <c r="Q80" i="57" s="1"/>
  <c r="V29" i="56"/>
  <c r="W29" i="56" s="1"/>
  <c r="X29" i="56" s="1"/>
  <c r="R40" i="56"/>
  <c r="V33" i="56"/>
  <c r="W33" i="56" s="1"/>
  <c r="X33" i="56" s="1"/>
  <c r="P35" i="56"/>
  <c r="I35" i="56"/>
  <c r="R107" i="56"/>
  <c r="R108" i="56"/>
  <c r="S106" i="56"/>
  <c r="R109" i="56"/>
  <c r="V40" i="56"/>
  <c r="W39" i="56"/>
  <c r="K39" i="56" s="1"/>
  <c r="Q254" i="57"/>
  <c r="S245" i="57"/>
  <c r="S246" i="57"/>
  <c r="S244" i="57"/>
  <c r="R225" i="57"/>
  <c r="R227" i="57"/>
  <c r="R223" i="57"/>
  <c r="R224" i="57"/>
  <c r="V35" i="56"/>
  <c r="W35" i="56" s="1"/>
  <c r="X35" i="56" s="1"/>
  <c r="R247" i="57"/>
  <c r="V30" i="56"/>
  <c r="W30" i="56" s="1"/>
  <c r="X30" i="56" s="1"/>
  <c r="S209" i="57"/>
  <c r="R211" i="57"/>
  <c r="S198" i="57"/>
  <c r="R210" i="57"/>
  <c r="R212" i="57"/>
  <c r="O231" i="57"/>
  <c r="O232" i="57"/>
  <c r="K64" i="57"/>
  <c r="K82" i="57" s="1"/>
  <c r="K85" i="57" s="1"/>
  <c r="J132" i="57"/>
  <c r="W137" i="57"/>
  <c r="R28" i="56"/>
  <c r="Q28" i="56"/>
  <c r="J28" i="56"/>
  <c r="V32" i="56"/>
  <c r="W32" i="56" s="1"/>
  <c r="X32" i="56" s="1"/>
  <c r="W69" i="57"/>
  <c r="W68" i="57"/>
  <c r="P33" i="56"/>
  <c r="I33" i="56"/>
  <c r="K138" i="57"/>
  <c r="Q68" i="57"/>
  <c r="Q69" i="57"/>
  <c r="K70" i="57"/>
  <c r="W77" i="57"/>
  <c r="W80" i="57" s="1"/>
  <c r="P183" i="56" l="1"/>
  <c r="K68" i="57"/>
  <c r="AF22" i="58"/>
  <c r="AF25" i="58" s="1"/>
  <c r="AF5" i="58"/>
  <c r="AF67" i="58"/>
  <c r="AF104" i="58" s="1"/>
  <c r="AG4" i="58"/>
  <c r="AF6" i="58"/>
  <c r="AF12" i="58" a="1"/>
  <c r="AF12" i="58" s="1"/>
  <c r="AF11" i="58" s="1"/>
  <c r="AF7" i="58"/>
  <c r="AD87" i="58"/>
  <c r="AE87" i="58" s="1"/>
  <c r="AD76" i="58"/>
  <c r="AE76" i="58" s="1"/>
  <c r="AD88" i="58"/>
  <c r="AE88" i="58" s="1"/>
  <c r="AD77" i="58"/>
  <c r="AE77" i="58" s="1"/>
  <c r="I20" i="56"/>
  <c r="K77" i="57"/>
  <c r="K80" i="57" s="1"/>
  <c r="K69" i="57"/>
  <c r="X21" i="56"/>
  <c r="T21" i="56"/>
  <c r="R21" i="56"/>
  <c r="L21" i="56" s="1"/>
  <c r="O21" i="56"/>
  <c r="N21" i="56"/>
  <c r="W21" i="56"/>
  <c r="U21" i="56"/>
  <c r="V21" i="56"/>
  <c r="Q21" i="56"/>
  <c r="K21" i="56" s="1"/>
  <c r="P21" i="56"/>
  <c r="H21" i="56"/>
  <c r="G22" i="56"/>
  <c r="F23" i="56"/>
  <c r="R226" i="57"/>
  <c r="T196" i="57"/>
  <c r="T197" i="57"/>
  <c r="S247" i="57"/>
  <c r="P36" i="56"/>
  <c r="R34" i="56"/>
  <c r="Q34" i="56"/>
  <c r="J34" i="56"/>
  <c r="Q30" i="56"/>
  <c r="R30" i="56"/>
  <c r="J30" i="56"/>
  <c r="K40" i="56"/>
  <c r="R31" i="56"/>
  <c r="Q31" i="56"/>
  <c r="J31" i="56"/>
  <c r="K132" i="57"/>
  <c r="S109" i="56"/>
  <c r="S108" i="56"/>
  <c r="T106" i="56"/>
  <c r="S107" i="56"/>
  <c r="L28" i="56"/>
  <c r="R213" i="57"/>
  <c r="R110" i="56"/>
  <c r="T246" i="57"/>
  <c r="T244" i="57"/>
  <c r="R254" i="57"/>
  <c r="S224" i="57"/>
  <c r="T245" i="57"/>
  <c r="S227" i="57"/>
  <c r="S223" i="57"/>
  <c r="S225" i="57"/>
  <c r="V36" i="56"/>
  <c r="S199" i="57"/>
  <c r="R32" i="56"/>
  <c r="Q32" i="56"/>
  <c r="J32" i="56"/>
  <c r="S212" i="57"/>
  <c r="S211" i="57"/>
  <c r="T198" i="57"/>
  <c r="T209" i="57"/>
  <c r="S210" i="57"/>
  <c r="I36" i="56"/>
  <c r="R35" i="56"/>
  <c r="Q35" i="56"/>
  <c r="J35" i="56"/>
  <c r="K28" i="56"/>
  <c r="R33" i="56"/>
  <c r="Q33" i="56"/>
  <c r="J33" i="56"/>
  <c r="X39" i="56"/>
  <c r="L39" i="56" s="1"/>
  <c r="L40" i="56" s="1"/>
  <c r="W40" i="56"/>
  <c r="R29" i="56"/>
  <c r="Q29" i="56"/>
  <c r="J29" i="56"/>
  <c r="AG6" i="58" l="1"/>
  <c r="AG5" i="58"/>
  <c r="AG7" i="58"/>
  <c r="AG67" i="58"/>
  <c r="AG104" i="58" s="1"/>
  <c r="AG12" i="58" a="1"/>
  <c r="AG12" i="58" s="1"/>
  <c r="AG11" i="58" s="1"/>
  <c r="AH4" i="58"/>
  <c r="AG22" i="58"/>
  <c r="AG25" i="58" s="1"/>
  <c r="AF8" i="58"/>
  <c r="I21" i="56"/>
  <c r="J21" i="56"/>
  <c r="R22" i="56"/>
  <c r="X22" i="56"/>
  <c r="T22" i="56"/>
  <c r="U22" i="56" s="1"/>
  <c r="V22" i="56" s="1"/>
  <c r="W22" i="56" s="1"/>
  <c r="H22" i="56"/>
  <c r="N22" i="56"/>
  <c r="O22" i="56" s="1"/>
  <c r="G23" i="56"/>
  <c r="F24" i="56"/>
  <c r="S110" i="56"/>
  <c r="S213" i="57"/>
  <c r="T199" i="57"/>
  <c r="U196" i="57"/>
  <c r="U197" i="57"/>
  <c r="W36" i="56"/>
  <c r="L34" i="56"/>
  <c r="L33" i="56"/>
  <c r="K32" i="56"/>
  <c r="J36" i="56"/>
  <c r="U245" i="57"/>
  <c r="U244" i="57"/>
  <c r="U246" i="57"/>
  <c r="T227" i="57"/>
  <c r="T223" i="57"/>
  <c r="T225" i="57"/>
  <c r="T224" i="57"/>
  <c r="S254" i="57"/>
  <c r="L35" i="56"/>
  <c r="K30" i="56"/>
  <c r="T247" i="57"/>
  <c r="K33" i="56"/>
  <c r="K31" i="56"/>
  <c r="K34" i="56"/>
  <c r="L32" i="56"/>
  <c r="T108" i="56"/>
  <c r="U106" i="56"/>
  <c r="T109" i="56"/>
  <c r="T107" i="56"/>
  <c r="K29" i="56"/>
  <c r="Q36" i="56"/>
  <c r="L30" i="56"/>
  <c r="X40" i="56"/>
  <c r="K35" i="56"/>
  <c r="T212" i="57"/>
  <c r="T211" i="57"/>
  <c r="T210" i="57"/>
  <c r="U209" i="57"/>
  <c r="U198" i="57"/>
  <c r="R36" i="56"/>
  <c r="L29" i="56"/>
  <c r="L31" i="56"/>
  <c r="S226" i="57"/>
  <c r="AG8" i="58" l="1"/>
  <c r="AF87" i="58"/>
  <c r="AF77" i="58"/>
  <c r="AF88" i="58"/>
  <c r="AF76" i="58"/>
  <c r="AH7" i="58"/>
  <c r="AI4" i="58"/>
  <c r="AH67" i="58"/>
  <c r="AH104" i="58" s="1"/>
  <c r="AH6" i="58"/>
  <c r="AH12" i="58" a="1"/>
  <c r="AH12" i="58" s="1"/>
  <c r="AH11" i="58" s="1"/>
  <c r="AH5" i="58"/>
  <c r="AH22" i="58"/>
  <c r="AH25" i="58" s="1"/>
  <c r="L22" i="56"/>
  <c r="G24" i="56"/>
  <c r="F25" i="56"/>
  <c r="G25" i="56" s="1"/>
  <c r="R23" i="56"/>
  <c r="T23" i="56"/>
  <c r="U23" i="56" s="1"/>
  <c r="V23" i="56" s="1"/>
  <c r="W23" i="56" s="1"/>
  <c r="X23" i="56"/>
  <c r="N23" i="56"/>
  <c r="O23" i="56" s="1"/>
  <c r="H23" i="56"/>
  <c r="P22" i="56"/>
  <c r="I22" i="56"/>
  <c r="T110" i="56"/>
  <c r="V196" i="57"/>
  <c r="V197" i="57"/>
  <c r="X36" i="56"/>
  <c r="U227" i="57"/>
  <c r="V246" i="57"/>
  <c r="T254" i="57"/>
  <c r="U224" i="57"/>
  <c r="U225" i="57"/>
  <c r="V244" i="57"/>
  <c r="V245" i="57"/>
  <c r="U223" i="57"/>
  <c r="U199" i="57"/>
  <c r="U212" i="57"/>
  <c r="V209" i="57"/>
  <c r="V198" i="57"/>
  <c r="U210" i="57"/>
  <c r="U211" i="57"/>
  <c r="U247" i="57"/>
  <c r="L36" i="56"/>
  <c r="T213" i="57"/>
  <c r="U108" i="56"/>
  <c r="V106" i="56"/>
  <c r="U109" i="56"/>
  <c r="U107" i="56"/>
  <c r="K36" i="56"/>
  <c r="T226" i="57"/>
  <c r="AG87" i="58" l="1"/>
  <c r="AG88" i="58"/>
  <c r="AG77" i="58"/>
  <c r="AG76" i="58"/>
  <c r="AI12" i="58" a="1"/>
  <c r="AI12" i="58" s="1"/>
  <c r="AI11" i="58" s="1"/>
  <c r="AI22" i="58"/>
  <c r="AI25" i="58" s="1"/>
  <c r="AI5" i="58"/>
  <c r="AI8" i="58" s="1"/>
  <c r="AI7" i="58"/>
  <c r="AI67" i="58"/>
  <c r="AI104" i="58" s="1"/>
  <c r="AJ4" i="58"/>
  <c r="AI6" i="58"/>
  <c r="AH8" i="58"/>
  <c r="L23" i="56"/>
  <c r="V199" i="57"/>
  <c r="J22" i="56"/>
  <c r="Q22" i="56"/>
  <c r="K22" i="56" s="1"/>
  <c r="P23" i="56"/>
  <c r="I23" i="56"/>
  <c r="N25" i="56"/>
  <c r="O25" i="56" s="1"/>
  <c r="R25" i="56"/>
  <c r="T25" i="56"/>
  <c r="U25" i="56" s="1"/>
  <c r="V25" i="56" s="1"/>
  <c r="W25" i="56" s="1"/>
  <c r="X25" i="56"/>
  <c r="H25" i="56"/>
  <c r="R24" i="56"/>
  <c r="L24" i="56" s="1"/>
  <c r="H24" i="56"/>
  <c r="X24" i="56"/>
  <c r="T24" i="56"/>
  <c r="U24" i="56" s="1"/>
  <c r="V24" i="56" s="1"/>
  <c r="W24" i="56" s="1"/>
  <c r="N24" i="56"/>
  <c r="O24" i="56" s="1"/>
  <c r="U226" i="57"/>
  <c r="V247" i="57"/>
  <c r="U213" i="57"/>
  <c r="W196" i="57"/>
  <c r="W197" i="57"/>
  <c r="W209" i="57"/>
  <c r="V211" i="57"/>
  <c r="V210" i="57"/>
  <c r="V212" i="57"/>
  <c r="W198" i="57"/>
  <c r="V109" i="56"/>
  <c r="V107" i="56"/>
  <c r="W106" i="56"/>
  <c r="V108" i="56"/>
  <c r="U110" i="56"/>
  <c r="W244" i="57"/>
  <c r="U254" i="57"/>
  <c r="V223" i="57"/>
  <c r="W245" i="57"/>
  <c r="V225" i="57"/>
  <c r="W246" i="57"/>
  <c r="V227" i="57"/>
  <c r="V224" i="57"/>
  <c r="AH77" i="58" l="1"/>
  <c r="AI77" i="58" s="1"/>
  <c r="AH88" i="58"/>
  <c r="AI88" i="58" s="1"/>
  <c r="AH87" i="58"/>
  <c r="AI87" i="58" s="1"/>
  <c r="AH76" i="58"/>
  <c r="AI76" i="58" s="1"/>
  <c r="AJ67" i="58"/>
  <c r="AJ104" i="58" s="1"/>
  <c r="AJ22" i="58"/>
  <c r="AJ25" i="58" s="1"/>
  <c r="AJ7" i="58"/>
  <c r="AJ6" i="58"/>
  <c r="AJ12" i="58" a="1"/>
  <c r="AJ12" i="58" s="1"/>
  <c r="AJ11" i="58" s="1"/>
  <c r="AJ5" i="58"/>
  <c r="AJ8" i="58" s="1"/>
  <c r="AK4" i="58"/>
  <c r="L25" i="56"/>
  <c r="Q23" i="56"/>
  <c r="K23" i="56" s="1"/>
  <c r="J23" i="56"/>
  <c r="I24" i="56"/>
  <c r="P24" i="56"/>
  <c r="P25" i="56"/>
  <c r="I25" i="56"/>
  <c r="V110" i="56"/>
  <c r="V213" i="57"/>
  <c r="X197" i="57"/>
  <c r="X196" i="57"/>
  <c r="W247" i="57"/>
  <c r="X198" i="57"/>
  <c r="W210" i="57"/>
  <c r="W211" i="57"/>
  <c r="W212" i="57"/>
  <c r="X209" i="57"/>
  <c r="X246" i="57"/>
  <c r="V254" i="57"/>
  <c r="X245" i="57"/>
  <c r="W227" i="57"/>
  <c r="W224" i="57"/>
  <c r="X244" i="57"/>
  <c r="W225" i="57"/>
  <c r="W223" i="57"/>
  <c r="V226" i="57"/>
  <c r="W107" i="56"/>
  <c r="W108" i="56"/>
  <c r="X106" i="56"/>
  <c r="W109" i="56"/>
  <c r="W199" i="57"/>
  <c r="AK25" i="58" l="1"/>
  <c r="AK12" i="58" a="1"/>
  <c r="AK12" i="58" s="1"/>
  <c r="AK11" i="58" s="1"/>
  <c r="AL4" i="58"/>
  <c r="AK67" i="58"/>
  <c r="AK104" i="58" s="1"/>
  <c r="AK6" i="58"/>
  <c r="AK22" i="58"/>
  <c r="AK7" i="58"/>
  <c r="AK5" i="58"/>
  <c r="AK8" i="58" s="1"/>
  <c r="AJ88" i="58"/>
  <c r="AJ76" i="58"/>
  <c r="AJ87" i="58"/>
  <c r="AJ77" i="58"/>
  <c r="Q24" i="56"/>
  <c r="K24" i="56" s="1"/>
  <c r="J24" i="56"/>
  <c r="Q25" i="56"/>
  <c r="K25" i="56" s="1"/>
  <c r="J25" i="56"/>
  <c r="W226" i="57"/>
  <c r="Y196" i="57"/>
  <c r="Y197" i="57"/>
  <c r="X247" i="57"/>
  <c r="X211" i="57"/>
  <c r="X212" i="57"/>
  <c r="X210" i="57"/>
  <c r="Y209" i="57"/>
  <c r="Y198" i="57"/>
  <c r="X199" i="57"/>
  <c r="W110" i="56"/>
  <c r="Y244" i="57"/>
  <c r="W254" i="57"/>
  <c r="Y245" i="57"/>
  <c r="Y246" i="57"/>
  <c r="X225" i="57"/>
  <c r="X224" i="57"/>
  <c r="X223" i="57"/>
  <c r="X227" i="57"/>
  <c r="W213" i="57"/>
  <c r="X108" i="56"/>
  <c r="X107" i="56"/>
  <c r="Y106" i="56"/>
  <c r="X109" i="56"/>
  <c r="AL25" i="58" l="1"/>
  <c r="AL67" i="58"/>
  <c r="AL104" i="58" s="1"/>
  <c r="AL22" i="58"/>
  <c r="AL6" i="58"/>
  <c r="AL12" i="58" a="1"/>
  <c r="AL12" i="58" s="1"/>
  <c r="AL11" i="58" s="1"/>
  <c r="AL5" i="58"/>
  <c r="AM4" i="58"/>
  <c r="AL7" i="58"/>
  <c r="AK87" i="58"/>
  <c r="AK88" i="58"/>
  <c r="AK76" i="58"/>
  <c r="AK77" i="58"/>
  <c r="X110" i="56"/>
  <c r="X226" i="57"/>
  <c r="X213" i="57"/>
  <c r="Z196" i="57"/>
  <c r="Z197" i="57"/>
  <c r="Y199" i="57"/>
  <c r="Y210" i="57"/>
  <c r="Y212" i="57"/>
  <c r="Z209" i="57"/>
  <c r="Z198" i="57"/>
  <c r="Z199" i="57" s="1"/>
  <c r="Y211" i="57"/>
  <c r="Y247" i="57"/>
  <c r="Z246" i="57"/>
  <c r="Z245" i="57"/>
  <c r="X254" i="57"/>
  <c r="Y223" i="57"/>
  <c r="Y225" i="57"/>
  <c r="Y224" i="57"/>
  <c r="Y227" i="57"/>
  <c r="Z244" i="57"/>
  <c r="Y107" i="56"/>
  <c r="Y108" i="56"/>
  <c r="Z106" i="56"/>
  <c r="Y109" i="56"/>
  <c r="AM25" i="58" l="1"/>
  <c r="AM67" i="58"/>
  <c r="AM104" i="58" s="1"/>
  <c r="AM12" i="58" a="1"/>
  <c r="AM12" i="58" s="1"/>
  <c r="AM11" i="58" s="1"/>
  <c r="AM6" i="58"/>
  <c r="AM5" i="58"/>
  <c r="AM8" i="58" s="1"/>
  <c r="AN4" i="58"/>
  <c r="AM22" i="58"/>
  <c r="AM7" i="58"/>
  <c r="AL8" i="58"/>
  <c r="Y213" i="57"/>
  <c r="AA197" i="57"/>
  <c r="AA196" i="57"/>
  <c r="Y226" i="57"/>
  <c r="Z212" i="57"/>
  <c r="Z211" i="57"/>
  <c r="AA209" i="57"/>
  <c r="Z210" i="57"/>
  <c r="AA198" i="57"/>
  <c r="Z109" i="56"/>
  <c r="AA106" i="56"/>
  <c r="Z107" i="56"/>
  <c r="Z108" i="56"/>
  <c r="Y110" i="56"/>
  <c r="Z247" i="57"/>
  <c r="AA244" i="57"/>
  <c r="Y254" i="57"/>
  <c r="AA245" i="57"/>
  <c r="Z225" i="57"/>
  <c r="Z223" i="57"/>
  <c r="Z227" i="57"/>
  <c r="Z224" i="57"/>
  <c r="AA246" i="57"/>
  <c r="AL87" i="58" l="1"/>
  <c r="AM87" i="58" s="1"/>
  <c r="AL88" i="58"/>
  <c r="AM88" i="58" s="1"/>
  <c r="AL76" i="58"/>
  <c r="AM76" i="58" s="1"/>
  <c r="AL77" i="58"/>
  <c r="AM77" i="58" s="1"/>
  <c r="AN25" i="58"/>
  <c r="AN67" i="58"/>
  <c r="AN104" i="58" s="1"/>
  <c r="AN22" i="58"/>
  <c r="AN6" i="58"/>
  <c r="AN5" i="58"/>
  <c r="AN12" i="58" a="1"/>
  <c r="AN12" i="58" s="1"/>
  <c r="AN11" i="58" s="1"/>
  <c r="AO4" i="58"/>
  <c r="AN7" i="58"/>
  <c r="AA199" i="57"/>
  <c r="Z213" i="57"/>
  <c r="AB197" i="57"/>
  <c r="AB196" i="57"/>
  <c r="Z226" i="57"/>
  <c r="Z110" i="56"/>
  <c r="AA109" i="56"/>
  <c r="AA108" i="56"/>
  <c r="AB106" i="56"/>
  <c r="AA107" i="56"/>
  <c r="AA211" i="57"/>
  <c r="AB198" i="57"/>
  <c r="AA212" i="57"/>
  <c r="AB209" i="57"/>
  <c r="AA210" i="57"/>
  <c r="AB244" i="57"/>
  <c r="AA223" i="57"/>
  <c r="AA227" i="57"/>
  <c r="AA224" i="57"/>
  <c r="AB245" i="57"/>
  <c r="AA225" i="57"/>
  <c r="AB246" i="57"/>
  <c r="Z254" i="57"/>
  <c r="AA247" i="57"/>
  <c r="AO67" i="58" l="1"/>
  <c r="AO104" i="58" s="1"/>
  <c r="AO5" i="58"/>
  <c r="AO7" i="58"/>
  <c r="AO22" i="58"/>
  <c r="AO25" i="58" s="1"/>
  <c r="AO6" i="58"/>
  <c r="AO12" i="58" a="1"/>
  <c r="AO12" i="58" s="1"/>
  <c r="AO11" i="58" s="1"/>
  <c r="AP4" i="58"/>
  <c r="AN8" i="58"/>
  <c r="AC196" i="57"/>
  <c r="AC197" i="57"/>
  <c r="AB247" i="57"/>
  <c r="AA213" i="57"/>
  <c r="AB199" i="57"/>
  <c r="AA110" i="56"/>
  <c r="AA254" i="57"/>
  <c r="AC245" i="57"/>
  <c r="AC246" i="57"/>
  <c r="AB225" i="57"/>
  <c r="AB223" i="57"/>
  <c r="AB227" i="57"/>
  <c r="AB224" i="57"/>
  <c r="AC244" i="57"/>
  <c r="AB210" i="57"/>
  <c r="AB212" i="57"/>
  <c r="AC209" i="57"/>
  <c r="AC198" i="57"/>
  <c r="AB211" i="57"/>
  <c r="AA226" i="57"/>
  <c r="AC106" i="56"/>
  <c r="AB109" i="56"/>
  <c r="AB108" i="56"/>
  <c r="AB107" i="56"/>
  <c r="AN88" i="58" l="1"/>
  <c r="AN76" i="58"/>
  <c r="AN77" i="58"/>
  <c r="AN87" i="58"/>
  <c r="AP67" i="58"/>
  <c r="AP104" i="58" s="1"/>
  <c r="AP12" i="58" a="1"/>
  <c r="AP12" i="58" s="1"/>
  <c r="AP11" i="58" s="1"/>
  <c r="AP22" i="58"/>
  <c r="AP25" i="58" s="1"/>
  <c r="AP5" i="58"/>
  <c r="AP8" i="58" s="1"/>
  <c r="AP7" i="58"/>
  <c r="AQ4" i="58"/>
  <c r="AP6" i="58"/>
  <c r="AO8" i="58"/>
  <c r="AB110" i="56"/>
  <c r="AB226" i="57"/>
  <c r="AD196" i="57"/>
  <c r="AD197" i="57"/>
  <c r="AB213" i="57"/>
  <c r="AC210" i="57"/>
  <c r="AC212" i="57"/>
  <c r="AD209" i="57"/>
  <c r="AD198" i="57"/>
  <c r="AC211" i="57"/>
  <c r="AC247" i="57"/>
  <c r="AD246" i="57"/>
  <c r="AD244" i="57"/>
  <c r="AD245" i="57"/>
  <c r="AC227" i="57"/>
  <c r="AC224" i="57"/>
  <c r="AC223" i="57"/>
  <c r="AB254" i="57"/>
  <c r="AC225" i="57"/>
  <c r="AC107" i="56"/>
  <c r="AD106" i="56"/>
  <c r="AC108" i="56"/>
  <c r="AC109" i="56"/>
  <c r="AC199" i="57"/>
  <c r="AO88" i="58" l="1"/>
  <c r="AP88" i="58" s="1"/>
  <c r="AO76" i="58"/>
  <c r="AP76" i="58" s="1"/>
  <c r="AO87" i="58"/>
  <c r="AP87" i="58" s="1"/>
  <c r="AO77" i="58"/>
  <c r="AP77" i="58" s="1"/>
  <c r="AQ67" i="58"/>
  <c r="AQ104" i="58" s="1"/>
  <c r="AQ22" i="58"/>
  <c r="AQ25" i="58" s="1"/>
  <c r="AQ12" i="58" a="1"/>
  <c r="AQ12" i="58" s="1"/>
  <c r="AQ11" i="58" s="1"/>
  <c r="AQ7" i="58"/>
  <c r="AQ5" i="58"/>
  <c r="AR4" i="58"/>
  <c r="AQ6" i="58"/>
  <c r="AC226" i="57"/>
  <c r="AE196" i="57"/>
  <c r="AE197" i="57"/>
  <c r="AD247" i="57"/>
  <c r="AC254" i="57"/>
  <c r="AE245" i="57"/>
  <c r="AE246" i="57"/>
  <c r="AE244" i="57"/>
  <c r="AD225" i="57"/>
  <c r="AD223" i="57"/>
  <c r="AD227" i="57"/>
  <c r="AD224" i="57"/>
  <c r="AD107" i="56"/>
  <c r="AE106" i="56"/>
  <c r="AD109" i="56"/>
  <c r="AD108" i="56"/>
  <c r="AD212" i="57"/>
  <c r="AE209" i="57"/>
  <c r="AD211" i="57"/>
  <c r="AE198" i="57"/>
  <c r="AD210" i="57"/>
  <c r="AC110" i="56"/>
  <c r="AD199" i="57"/>
  <c r="AC213" i="57"/>
  <c r="AR7" i="58" l="1"/>
  <c r="AR67" i="58"/>
  <c r="AR104" i="58" s="1"/>
  <c r="AR22" i="58"/>
  <c r="AR25" i="58" s="1"/>
  <c r="AR5" i="58"/>
  <c r="AR12" i="58" a="1"/>
  <c r="AR12" i="58" s="1"/>
  <c r="AR11" i="58" s="1"/>
  <c r="AS4" i="58"/>
  <c r="AR6" i="58"/>
  <c r="AQ8" i="58"/>
  <c r="AE247" i="57"/>
  <c r="AF197" i="57"/>
  <c r="AF196" i="57"/>
  <c r="AF246" i="57"/>
  <c r="AF244" i="57"/>
  <c r="AE227" i="57"/>
  <c r="AE224" i="57"/>
  <c r="AD254" i="57"/>
  <c r="AF245" i="57"/>
  <c r="AE225" i="57"/>
  <c r="AE223" i="57"/>
  <c r="AD226" i="57"/>
  <c r="AE109" i="56"/>
  <c r="AF106" i="56"/>
  <c r="AE108" i="56"/>
  <c r="AE107" i="56"/>
  <c r="AD110" i="56"/>
  <c r="AD213" i="57"/>
  <c r="AE211" i="57"/>
  <c r="AF198" i="57"/>
  <c r="AF199" i="57" s="1"/>
  <c r="AE210" i="57"/>
  <c r="AF209" i="57"/>
  <c r="AE212" i="57"/>
  <c r="AE199" i="57"/>
  <c r="AS67" i="58" l="1"/>
  <c r="AS104" i="58" s="1"/>
  <c r="AS5" i="58"/>
  <c r="AS8" i="58" s="1"/>
  <c r="AS12" i="58" a="1"/>
  <c r="AS12" i="58" s="1"/>
  <c r="AS11" i="58" s="1"/>
  <c r="AS6" i="58"/>
  <c r="AS7" i="58"/>
  <c r="AS22" i="58"/>
  <c r="AS25" i="58" s="1"/>
  <c r="AT4" i="58"/>
  <c r="AR8" i="58"/>
  <c r="AQ77" i="58"/>
  <c r="AQ88" i="58"/>
  <c r="AQ87" i="58"/>
  <c r="AQ76" i="58"/>
  <c r="AE213" i="57"/>
  <c r="AE226" i="57"/>
  <c r="AG196" i="57"/>
  <c r="AG197" i="57"/>
  <c r="AF212" i="57"/>
  <c r="AF211" i="57"/>
  <c r="AF210" i="57"/>
  <c r="AG209" i="57"/>
  <c r="AG198" i="57"/>
  <c r="AF247" i="57"/>
  <c r="AE110" i="56"/>
  <c r="AG245" i="57"/>
  <c r="AG244" i="57"/>
  <c r="AF223" i="57"/>
  <c r="AE254" i="57"/>
  <c r="AG246" i="57"/>
  <c r="AF227" i="57"/>
  <c r="AF224" i="57"/>
  <c r="AF225" i="57"/>
  <c r="AF108" i="56"/>
  <c r="AG106" i="56"/>
  <c r="AF109" i="56"/>
  <c r="AF107" i="56"/>
  <c r="AT22" i="58" l="1"/>
  <c r="AT25" i="58" s="1"/>
  <c r="AT12" i="58" a="1"/>
  <c r="AT12" i="58" s="1"/>
  <c r="AT11" i="58" s="1"/>
  <c r="AT7" i="58"/>
  <c r="AU4" i="58"/>
  <c r="AT6" i="58"/>
  <c r="AT67" i="58"/>
  <c r="AT104" i="58" s="1"/>
  <c r="AT5" i="58"/>
  <c r="AR87" i="58"/>
  <c r="AS87" i="58" s="1"/>
  <c r="AR77" i="58"/>
  <c r="AS77" i="58" s="1"/>
  <c r="AR76" i="58"/>
  <c r="AS76" i="58" s="1"/>
  <c r="AR88" i="58"/>
  <c r="AS88" i="58" s="1"/>
  <c r="AF110" i="56"/>
  <c r="AF213" i="57"/>
  <c r="AH196" i="57"/>
  <c r="AH197" i="57"/>
  <c r="AG227" i="57"/>
  <c r="AH246" i="57"/>
  <c r="AF254" i="57"/>
  <c r="AH245" i="57"/>
  <c r="AH244" i="57"/>
  <c r="AG224" i="57"/>
  <c r="AG225" i="57"/>
  <c r="AG223" i="57"/>
  <c r="AF226" i="57"/>
  <c r="AH209" i="57"/>
  <c r="AG211" i="57"/>
  <c r="AH198" i="57"/>
  <c r="AG210" i="57"/>
  <c r="AG212" i="57"/>
  <c r="AG247" i="57"/>
  <c r="AG199" i="57"/>
  <c r="AG107" i="56"/>
  <c r="AG108" i="56"/>
  <c r="AH106" i="56"/>
  <c r="AG109" i="56"/>
  <c r="AU12" i="58" l="1" a="1"/>
  <c r="AU12" i="58" s="1"/>
  <c r="AU11" i="58" s="1"/>
  <c r="AU5" i="58"/>
  <c r="AU8" i="58" s="1"/>
  <c r="AU7" i="58"/>
  <c r="AV4" i="58"/>
  <c r="AU67" i="58"/>
  <c r="AU104" i="58" s="1"/>
  <c r="AU22" i="58"/>
  <c r="AU25" i="58" s="1"/>
  <c r="AU6" i="58"/>
  <c r="AT8" i="58"/>
  <c r="AG110" i="56"/>
  <c r="AH199" i="57"/>
  <c r="AG226" i="57"/>
  <c r="AI196" i="57"/>
  <c r="AI197" i="57"/>
  <c r="AI209" i="57"/>
  <c r="AH212" i="57"/>
  <c r="AH210" i="57"/>
  <c r="AH211" i="57"/>
  <c r="AI198" i="57"/>
  <c r="AH109" i="56"/>
  <c r="AH108" i="56"/>
  <c r="AI106" i="56"/>
  <c r="AH107" i="56"/>
  <c r="AH247" i="57"/>
  <c r="AG213" i="57"/>
  <c r="AI244" i="57"/>
  <c r="AG254" i="57"/>
  <c r="AH223" i="57"/>
  <c r="AH227" i="57"/>
  <c r="AI246" i="57"/>
  <c r="AH225" i="57"/>
  <c r="AI245" i="57"/>
  <c r="AH224" i="57"/>
  <c r="AV7" i="58" l="1"/>
  <c r="AV6" i="58"/>
  <c r="AV67" i="58"/>
  <c r="AV104" i="58" s="1"/>
  <c r="AV22" i="58"/>
  <c r="AV25" i="58" s="1"/>
  <c r="AV12" i="58" a="1"/>
  <c r="AV12" i="58" s="1"/>
  <c r="AV11" i="58" s="1"/>
  <c r="AV5" i="58"/>
  <c r="AT77" i="58"/>
  <c r="AU77" i="58" s="1"/>
  <c r="AT87" i="58"/>
  <c r="AU87" i="58" s="1"/>
  <c r="AT76" i="58"/>
  <c r="AU76" i="58" s="1"/>
  <c r="AT88" i="58"/>
  <c r="AU88" i="58" s="1"/>
  <c r="AH213" i="57"/>
  <c r="AJ197" i="57"/>
  <c r="AJ196" i="57"/>
  <c r="AI227" i="57"/>
  <c r="AJ246" i="57"/>
  <c r="AH254" i="57"/>
  <c r="AJ245" i="57"/>
  <c r="AI224" i="57"/>
  <c r="AI225" i="57"/>
  <c r="AJ244" i="57"/>
  <c r="AI223" i="57"/>
  <c r="AH226" i="57"/>
  <c r="AH110" i="56"/>
  <c r="AI107" i="56"/>
  <c r="AI109" i="56"/>
  <c r="AJ106" i="56"/>
  <c r="AI108" i="56"/>
  <c r="AI199" i="57"/>
  <c r="AI247" i="57"/>
  <c r="AI212" i="57"/>
  <c r="AI211" i="57"/>
  <c r="AJ198" i="57"/>
  <c r="AI210" i="57"/>
  <c r="AJ209" i="57"/>
  <c r="AV8" i="58" l="1"/>
  <c r="AR10" i="58"/>
  <c r="AI110" i="56"/>
  <c r="AI213" i="57"/>
  <c r="AK196" i="57"/>
  <c r="AK197" i="57"/>
  <c r="AJ211" i="57"/>
  <c r="AK198" i="57"/>
  <c r="AK209" i="57"/>
  <c r="AJ210" i="57"/>
  <c r="AJ212" i="57"/>
  <c r="AJ199" i="57"/>
  <c r="AJ108" i="56"/>
  <c r="AJ109" i="56"/>
  <c r="AJ107" i="56"/>
  <c r="AK106" i="56"/>
  <c r="AK244" i="57"/>
  <c r="AI254" i="57"/>
  <c r="AK245" i="57"/>
  <c r="AJ225" i="57"/>
  <c r="AK246" i="57"/>
  <c r="AJ224" i="57"/>
  <c r="AJ227" i="57"/>
  <c r="AJ223" i="57"/>
  <c r="AI226" i="57"/>
  <c r="AJ247" i="57"/>
  <c r="AV88" i="58" l="1"/>
  <c r="AV87" i="58"/>
  <c r="AV76" i="58"/>
  <c r="AV77" i="58"/>
  <c r="AS10" i="58"/>
  <c r="AK199" i="57"/>
  <c r="AL197" i="57"/>
  <c r="AL196" i="57"/>
  <c r="AK247" i="57"/>
  <c r="AK107" i="56"/>
  <c r="AK108" i="56"/>
  <c r="AL106" i="56"/>
  <c r="AK109" i="56"/>
  <c r="AJ110" i="56"/>
  <c r="AJ226" i="57"/>
  <c r="AL246" i="57"/>
  <c r="AL245" i="57"/>
  <c r="AK227" i="57"/>
  <c r="AJ254" i="57"/>
  <c r="AK223" i="57"/>
  <c r="AL244" i="57"/>
  <c r="AK224" i="57"/>
  <c r="AK225" i="57"/>
  <c r="AJ213" i="57"/>
  <c r="AK210" i="57"/>
  <c r="AL209" i="57"/>
  <c r="AK212" i="57"/>
  <c r="AL198" i="57"/>
  <c r="AK211" i="57"/>
  <c r="AT10" i="58" l="1"/>
  <c r="AL199" i="57"/>
  <c r="AK110" i="56"/>
  <c r="AM197" i="57"/>
  <c r="AM196" i="57"/>
  <c r="AK226" i="57"/>
  <c r="AL212" i="57"/>
  <c r="AL211" i="57"/>
  <c r="AL210" i="57"/>
  <c r="AM198" i="57"/>
  <c r="AL108" i="56"/>
  <c r="AM106" i="56"/>
  <c r="AL109" i="56"/>
  <c r="AL107" i="56"/>
  <c r="AL247" i="57"/>
  <c r="AK213" i="57"/>
  <c r="AM244" i="57"/>
  <c r="AK254" i="57"/>
  <c r="AM245" i="57"/>
  <c r="AL225" i="57"/>
  <c r="AM246" i="57"/>
  <c r="AL223" i="57"/>
  <c r="AL224" i="57"/>
  <c r="AL227" i="57"/>
  <c r="AU10" i="58" l="1"/>
  <c r="AM199" i="57"/>
  <c r="AL213" i="57"/>
  <c r="AM247" i="57"/>
  <c r="AL110" i="56"/>
  <c r="AL254" i="57"/>
  <c r="AM223" i="57"/>
  <c r="AM224" i="57"/>
  <c r="AN244" i="57"/>
  <c r="AM225" i="57"/>
  <c r="AM227" i="57"/>
  <c r="AN246" i="57"/>
  <c r="AN245" i="57"/>
  <c r="AM109" i="56"/>
  <c r="AM108" i="56"/>
  <c r="AN106" i="56"/>
  <c r="AM107" i="56"/>
  <c r="AL226" i="57"/>
  <c r="AM110" i="56" l="1"/>
  <c r="AM226" i="57"/>
  <c r="AN107" i="56"/>
  <c r="AO106" i="56"/>
  <c r="AN108" i="56"/>
  <c r="AN109" i="56"/>
  <c r="AM254" i="57"/>
  <c r="AO245" i="57"/>
  <c r="AO246" i="57"/>
  <c r="AN225" i="57"/>
  <c r="AN223" i="57"/>
  <c r="AN224" i="57"/>
  <c r="AO244" i="57"/>
  <c r="AN227" i="57"/>
  <c r="AN247" i="57"/>
  <c r="AN110" i="56" l="1"/>
  <c r="AO247" i="57"/>
  <c r="AN226" i="57"/>
  <c r="AP246" i="57"/>
  <c r="AP244" i="57"/>
  <c r="AO224" i="57"/>
  <c r="AO227" i="57"/>
  <c r="AP245" i="57"/>
  <c r="AO223" i="57"/>
  <c r="AN254" i="57"/>
  <c r="AO225" i="57"/>
  <c r="AO108" i="56"/>
  <c r="AP106" i="56"/>
  <c r="AO109" i="56"/>
  <c r="AO107" i="56"/>
  <c r="AO110" i="56" l="1"/>
  <c r="AP247" i="57"/>
  <c r="AO226" i="57"/>
  <c r="AP107" i="56"/>
  <c r="AP108" i="56"/>
  <c r="AP109" i="56"/>
  <c r="AQ106" i="56"/>
  <c r="AO254" i="57"/>
  <c r="AQ245" i="57"/>
  <c r="AQ246" i="57"/>
  <c r="AQ244" i="57"/>
  <c r="AP225" i="57"/>
  <c r="AP223" i="57"/>
  <c r="AP227" i="57"/>
  <c r="AP224" i="57"/>
  <c r="AP110" i="56" l="1"/>
  <c r="AP226" i="57"/>
  <c r="AQ247" i="57"/>
  <c r="AQ109" i="56"/>
  <c r="AR106" i="56"/>
  <c r="AQ107" i="56"/>
  <c r="AQ108" i="56"/>
  <c r="AR246" i="57"/>
  <c r="AR244" i="57"/>
  <c r="AP254" i="57"/>
  <c r="AQ224" i="57"/>
  <c r="AQ227" i="57"/>
  <c r="AR245" i="57"/>
  <c r="AQ223" i="57"/>
  <c r="AQ225" i="57"/>
  <c r="AQ226" i="57" l="1"/>
  <c r="AR223" i="57"/>
  <c r="AQ254" i="57"/>
  <c r="AR227" i="57"/>
  <c r="AR225" i="57"/>
  <c r="AR224" i="57"/>
  <c r="AR247" i="57"/>
  <c r="AQ110" i="56"/>
  <c r="AR108" i="56"/>
  <c r="AS106" i="56"/>
  <c r="AR109" i="56"/>
  <c r="AR107" i="56"/>
  <c r="AR110" i="56" l="1"/>
  <c r="AS109" i="56"/>
  <c r="AS107" i="56"/>
  <c r="AS108" i="56"/>
  <c r="AT106" i="56"/>
  <c r="AS227" i="57"/>
  <c r="AR254" i="57"/>
  <c r="AS224" i="57"/>
  <c r="AS225" i="57"/>
  <c r="AS223" i="57"/>
  <c r="AS245" i="57"/>
  <c r="AS244" i="57"/>
  <c r="AS246" i="57"/>
  <c r="AR226" i="57"/>
  <c r="AS226" i="57" l="1"/>
  <c r="AT246" i="57"/>
  <c r="AS254" i="57"/>
  <c r="AT245" i="57"/>
  <c r="AT244" i="57"/>
  <c r="AS247" i="57"/>
  <c r="AT223" i="57"/>
  <c r="AT227" i="57"/>
  <c r="AT225" i="57"/>
  <c r="AT224" i="57"/>
  <c r="AT109" i="56"/>
  <c r="AU106" i="56"/>
  <c r="AT107" i="56"/>
  <c r="AT108" i="56"/>
  <c r="AS110" i="56"/>
  <c r="AT247" i="57" l="1"/>
  <c r="AU244" i="57"/>
  <c r="AT254" i="57"/>
  <c r="AU245" i="57"/>
  <c r="AU246" i="57"/>
  <c r="AT110" i="56"/>
  <c r="AU107" i="56"/>
  <c r="AV106" i="56"/>
  <c r="AU109" i="56"/>
  <c r="AU108" i="56"/>
  <c r="AU227" i="57"/>
  <c r="AU224" i="57"/>
  <c r="AU225" i="57"/>
  <c r="AU223" i="57"/>
  <c r="AT226" i="57"/>
  <c r="AU226" i="57" l="1"/>
  <c r="AV246" i="57"/>
  <c r="AU254" i="57"/>
  <c r="AV245" i="57"/>
  <c r="AV244" i="57"/>
  <c r="AU247" i="57"/>
  <c r="AV225" i="57"/>
  <c r="AV227" i="57"/>
  <c r="AV224" i="57"/>
  <c r="AV223" i="57"/>
  <c r="AV108" i="56"/>
  <c r="AV107" i="56"/>
  <c r="AV109" i="56"/>
  <c r="AW106" i="56"/>
  <c r="AU110" i="56"/>
  <c r="AV247" i="57" l="1"/>
  <c r="AW223" i="57"/>
  <c r="AW224" i="57"/>
  <c r="AW225" i="57"/>
  <c r="AW244" i="57"/>
  <c r="AW245" i="57"/>
  <c r="AV254" i="57"/>
  <c r="AW246" i="57"/>
  <c r="AW107" i="56"/>
  <c r="AW108" i="56"/>
  <c r="AW109" i="56"/>
  <c r="AV110" i="56"/>
  <c r="AV226" i="57"/>
  <c r="AW226" i="57" l="1"/>
  <c r="AW247" i="57"/>
  <c r="AW110" i="56"/>
  <c r="AX246" i="57"/>
  <c r="AW254" i="57"/>
  <c r="AX245" i="57"/>
  <c r="AX244" i="57"/>
  <c r="AX247" i="57" l="1"/>
  <c r="AY244" i="57"/>
  <c r="AY245" i="57"/>
  <c r="AX254" i="57"/>
  <c r="AY246" i="57"/>
  <c r="AY254" i="57" l="1"/>
  <c r="AZ246" i="57"/>
  <c r="AZ244" i="57"/>
  <c r="AZ245" i="57"/>
  <c r="AY247" i="57"/>
  <c r="BA245" i="57" l="1"/>
  <c r="BA246" i="57"/>
  <c r="AZ254" i="57"/>
  <c r="BA244" i="57"/>
  <c r="AZ247" i="57"/>
  <c r="BA247" i="57" l="1"/>
  <c r="BA254" i="57"/>
  <c r="BB246" i="57"/>
  <c r="BB244" i="57"/>
  <c r="BB245" i="57"/>
  <c r="BB247" i="57" l="1"/>
  <c r="BC245" i="57"/>
  <c r="BC246" i="57"/>
  <c r="BC244" i="57"/>
  <c r="BB254" i="57"/>
  <c r="BC247" i="57" l="1"/>
  <c r="BD246" i="57"/>
  <c r="BD244" i="57"/>
  <c r="BD245" i="57"/>
  <c r="BD247"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M238" i="55" l="1"/>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c r="N10" i="29" s="1"/>
  <c r="O10" i="29" s="1"/>
  <c r="P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AB76" i="32"/>
  <c r="AC76" i="32" s="1"/>
  <c r="AD76" i="32" s="1"/>
  <c r="AE76" i="32" s="1"/>
  <c r="AF76" i="32" s="1"/>
  <c r="AG76" i="32" s="1"/>
  <c r="AH76" i="32" s="1"/>
  <c r="AI76" i="32" s="1"/>
  <c r="AJ76" i="32" s="1"/>
  <c r="AK76" i="32" s="1"/>
  <c r="AL76" i="32" s="1"/>
  <c r="AM76" i="32" s="1"/>
  <c r="AN76" i="32" s="1"/>
  <c r="AO76" i="32" s="1"/>
  <c r="AP76" i="32" s="1"/>
  <c r="AB75" i="32"/>
  <c r="AC75" i="32" s="1"/>
  <c r="AD75" i="32" s="1"/>
  <c r="AE75" i="32" s="1"/>
  <c r="AF75" i="32" s="1"/>
  <c r="AG75" i="32" s="1"/>
  <c r="AH75" i="32" s="1"/>
  <c r="AI75" i="32" s="1"/>
  <c r="AJ75" i="32" s="1"/>
  <c r="AK75" i="32" s="1"/>
  <c r="AL75" i="32" s="1"/>
  <c r="AM75" i="32" s="1"/>
  <c r="AN75" i="32" s="1"/>
  <c r="AO75" i="32" s="1"/>
  <c r="AP75" i="32" s="1"/>
  <c r="K73" i="32"/>
  <c r="K80" i="32" s="1"/>
  <c r="F81" i="47"/>
  <c r="F51" i="30"/>
  <c r="E51" i="30"/>
  <c r="D51" i="30"/>
  <c r="C51" i="30"/>
  <c r="B51" i="30"/>
  <c r="A51" i="30"/>
  <c r="F50" i="30"/>
  <c r="E50" i="30"/>
  <c r="D50" i="30"/>
  <c r="C50" i="30"/>
  <c r="B50" i="30"/>
  <c r="A50" i="30"/>
  <c r="F49" i="30"/>
  <c r="E49" i="30"/>
  <c r="D49" i="30"/>
  <c r="C49" i="30"/>
  <c r="B49" i="30"/>
  <c r="A49" i="30"/>
  <c r="F48" i="30"/>
  <c r="E48" i="30"/>
  <c r="D48" i="30"/>
  <c r="C48" i="30"/>
  <c r="B48" i="30"/>
  <c r="A48" i="30"/>
  <c r="F47" i="30"/>
  <c r="E47" i="30"/>
  <c r="D47" i="30"/>
  <c r="C47" i="30"/>
  <c r="B47" i="30"/>
  <c r="A47" i="30"/>
  <c r="F46" i="30"/>
  <c r="E46" i="30"/>
  <c r="D46" i="30"/>
  <c r="C46" i="30"/>
  <c r="B46" i="30"/>
  <c r="A46" i="30"/>
  <c r="F45" i="30"/>
  <c r="E45" i="30"/>
  <c r="D45" i="30"/>
  <c r="C45" i="30"/>
  <c r="B45" i="30"/>
  <c r="A45" i="30"/>
  <c r="F44" i="30"/>
  <c r="E44" i="30"/>
  <c r="D44" i="30"/>
  <c r="C44" i="30"/>
  <c r="B44" i="30"/>
  <c r="A44" i="30"/>
  <c r="F43" i="30"/>
  <c r="E43" i="30"/>
  <c r="D43" i="30"/>
  <c r="C43" i="30"/>
  <c r="B43" i="30"/>
  <c r="A43" i="30"/>
  <c r="F42" i="30"/>
  <c r="E42" i="30"/>
  <c r="D42" i="30"/>
  <c r="C42" i="30"/>
  <c r="B42" i="30"/>
  <c r="A42" i="30"/>
  <c r="F41" i="30"/>
  <c r="E41" i="30"/>
  <c r="D41" i="30"/>
  <c r="C41" i="30"/>
  <c r="B41" i="30"/>
  <c r="A41" i="30"/>
  <c r="F40" i="30"/>
  <c r="E40" i="30"/>
  <c r="D40" i="30"/>
  <c r="C40" i="30"/>
  <c r="B40" i="30"/>
  <c r="A40" i="30"/>
  <c r="F39" i="30"/>
  <c r="E39" i="30"/>
  <c r="D39" i="30"/>
  <c r="C39" i="30"/>
  <c r="B39" i="30"/>
  <c r="A39" i="30"/>
  <c r="F38" i="30"/>
  <c r="E38" i="30"/>
  <c r="D38" i="30"/>
  <c r="C38" i="30"/>
  <c r="B38" i="30"/>
  <c r="A38" i="30"/>
  <c r="F37" i="30"/>
  <c r="E37" i="30"/>
  <c r="D37" i="30"/>
  <c r="C37" i="30"/>
  <c r="B37" i="30"/>
  <c r="A37" i="30"/>
  <c r="F36" i="30"/>
  <c r="E36" i="30"/>
  <c r="D36" i="30"/>
  <c r="C36" i="30"/>
  <c r="B36" i="30"/>
  <c r="A36" i="30"/>
  <c r="F35" i="30"/>
  <c r="E35" i="30"/>
  <c r="D35" i="30"/>
  <c r="C35" i="30"/>
  <c r="B35" i="30"/>
  <c r="A35" i="30"/>
  <c r="F34" i="30"/>
  <c r="E34" i="30"/>
  <c r="D34" i="30"/>
  <c r="C34" i="30"/>
  <c r="B34" i="30"/>
  <c r="A34" i="30"/>
  <c r="F33" i="30"/>
  <c r="E33" i="30"/>
  <c r="D33" i="30"/>
  <c r="C33" i="30"/>
  <c r="B33" i="30"/>
  <c r="A33" i="30"/>
  <c r="F32" i="30"/>
  <c r="E32" i="30"/>
  <c r="D32" i="30"/>
  <c r="C32" i="30"/>
  <c r="B32" i="30"/>
  <c r="A32" i="30"/>
  <c r="F31" i="30"/>
  <c r="E31" i="30"/>
  <c r="D31" i="30"/>
  <c r="C31" i="30"/>
  <c r="B31" i="30"/>
  <c r="A31" i="30"/>
  <c r="F30" i="30"/>
  <c r="E30" i="30"/>
  <c r="D30" i="30"/>
  <c r="C30" i="30"/>
  <c r="B30" i="30"/>
  <c r="A30" i="30"/>
  <c r="F29" i="30"/>
  <c r="E29" i="30"/>
  <c r="D29" i="30"/>
  <c r="C29" i="30"/>
  <c r="B29" i="30"/>
  <c r="A29" i="30"/>
  <c r="F28" i="30"/>
  <c r="E28" i="30"/>
  <c r="D28" i="30"/>
  <c r="C28" i="30"/>
  <c r="B28" i="30"/>
  <c r="A28" i="30"/>
  <c r="F27" i="30"/>
  <c r="E27" i="30"/>
  <c r="D27" i="30"/>
  <c r="C27" i="30"/>
  <c r="B27" i="30"/>
  <c r="A27" i="30"/>
  <c r="F26" i="30"/>
  <c r="E26" i="30"/>
  <c r="D26" i="30"/>
  <c r="C26" i="30"/>
  <c r="B26" i="30"/>
  <c r="A26" i="30"/>
  <c r="F25" i="30"/>
  <c r="E25" i="30"/>
  <c r="D25" i="30"/>
  <c r="C25" i="30"/>
  <c r="B25" i="30"/>
  <c r="A25" i="30"/>
  <c r="F24" i="30"/>
  <c r="E24" i="30"/>
  <c r="D24" i="30"/>
  <c r="C24" i="30"/>
  <c r="B24" i="30"/>
  <c r="A24" i="30"/>
  <c r="F23" i="30"/>
  <c r="E23" i="30"/>
  <c r="D23" i="30"/>
  <c r="C23" i="30"/>
  <c r="B23" i="30"/>
  <c r="A23" i="30"/>
  <c r="F22" i="30"/>
  <c r="E22" i="30"/>
  <c r="D22" i="30"/>
  <c r="C22" i="30"/>
  <c r="B22" i="30"/>
  <c r="A22" i="30"/>
  <c r="F21" i="30"/>
  <c r="E21" i="30"/>
  <c r="D21" i="30"/>
  <c r="C21" i="30"/>
  <c r="B21" i="30"/>
  <c r="A21" i="30"/>
  <c r="F20" i="30"/>
  <c r="E20" i="30"/>
  <c r="D20" i="30"/>
  <c r="C20" i="30"/>
  <c r="B20" i="30"/>
  <c r="A20" i="30"/>
  <c r="F19" i="30"/>
  <c r="E19" i="30"/>
  <c r="D19" i="30"/>
  <c r="C19" i="30"/>
  <c r="B19" i="30"/>
  <c r="A19" i="30"/>
  <c r="F18" i="30"/>
  <c r="E18" i="30"/>
  <c r="D18" i="30"/>
  <c r="C18" i="30"/>
  <c r="B18" i="30"/>
  <c r="A18" i="30"/>
  <c r="F17" i="30"/>
  <c r="E17" i="30"/>
  <c r="D17" i="30"/>
  <c r="C17" i="30"/>
  <c r="B17" i="30"/>
  <c r="A17" i="30"/>
  <c r="F16" i="30"/>
  <c r="E16" i="30"/>
  <c r="D16" i="30"/>
  <c r="C16" i="30"/>
  <c r="B16" i="30"/>
  <c r="A16" i="30"/>
  <c r="F15" i="30"/>
  <c r="E15" i="30"/>
  <c r="D15" i="30"/>
  <c r="C15" i="30"/>
  <c r="B15" i="30"/>
  <c r="A15" i="30"/>
  <c r="F14" i="30"/>
  <c r="E14" i="30"/>
  <c r="D14" i="30"/>
  <c r="C14" i="30"/>
  <c r="B14" i="30"/>
  <c r="A14" i="30"/>
  <c r="F13" i="30"/>
  <c r="E13" i="30"/>
  <c r="D13" i="30"/>
  <c r="C13" i="30"/>
  <c r="B13" i="30"/>
  <c r="A13" i="30"/>
  <c r="F12" i="30"/>
  <c r="E12" i="30"/>
  <c r="D12" i="30"/>
  <c r="C12" i="30"/>
  <c r="B12" i="30"/>
  <c r="A12" i="30"/>
  <c r="F11" i="30"/>
  <c r="E11" i="30"/>
  <c r="D11" i="30"/>
  <c r="C11" i="30"/>
  <c r="B11" i="30"/>
  <c r="A11" i="30"/>
  <c r="F10" i="30"/>
  <c r="E10" i="30"/>
  <c r="D10" i="30"/>
  <c r="C10" i="30"/>
  <c r="B10" i="30"/>
  <c r="A10" i="30"/>
  <c r="F9" i="30"/>
  <c r="E9" i="30"/>
  <c r="D9" i="30"/>
  <c r="C9" i="30"/>
  <c r="B9" i="30"/>
  <c r="A9" i="30"/>
  <c r="E5" i="32"/>
  <c r="A135" i="32"/>
  <c r="B135" i="32"/>
  <c r="C135" i="32"/>
  <c r="D135" i="32"/>
  <c r="A136" i="32"/>
  <c r="B136" i="32"/>
  <c r="C136" i="32"/>
  <c r="D136" i="32"/>
  <c r="E43" i="32"/>
  <c r="F43" i="32"/>
  <c r="H19" i="57" s="1"/>
  <c r="J21" i="32"/>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R52" i="52" s="1"/>
  <c r="Q18" i="52"/>
  <c r="P18" i="52"/>
  <c r="P52" i="52" s="1"/>
  <c r="O18" i="52"/>
  <c r="N18" i="52"/>
  <c r="M18" i="52"/>
  <c r="L18" i="52"/>
  <c r="L52" i="52" s="1"/>
  <c r="K18" i="52"/>
  <c r="J18" i="52"/>
  <c r="I18" i="52"/>
  <c r="I52" i="52" s="1"/>
  <c r="H18" i="52"/>
  <c r="H52" i="52" s="1"/>
  <c r="G18" i="52"/>
  <c r="F18" i="52"/>
  <c r="F52" i="52" s="1"/>
  <c r="E18" i="52"/>
  <c r="E52" i="52" s="1"/>
  <c r="D18" i="52"/>
  <c r="D52" i="52" s="1"/>
  <c r="S17" i="52"/>
  <c r="R17" i="52"/>
  <c r="Q17" i="52"/>
  <c r="P17" i="52"/>
  <c r="O17" i="52"/>
  <c r="N17" i="52"/>
  <c r="M17" i="52"/>
  <c r="M51" i="52" s="1"/>
  <c r="L17" i="52"/>
  <c r="L51" i="52" s="1"/>
  <c r="K17" i="52"/>
  <c r="J17" i="52"/>
  <c r="J51" i="52" s="1"/>
  <c r="I17" i="52"/>
  <c r="I51" i="52" s="1"/>
  <c r="H17" i="52"/>
  <c r="H51" i="52" s="1"/>
  <c r="G17" i="52"/>
  <c r="F17" i="52"/>
  <c r="E17" i="52"/>
  <c r="D17" i="52"/>
  <c r="D51" i="52" s="1"/>
  <c r="S16" i="52"/>
  <c r="R16" i="52"/>
  <c r="Q16" i="52"/>
  <c r="Q50" i="52" s="1"/>
  <c r="P16" i="52"/>
  <c r="O16" i="52"/>
  <c r="N16" i="52"/>
  <c r="N50" i="52" s="1"/>
  <c r="M16" i="52"/>
  <c r="M50" i="52" s="1"/>
  <c r="L16" i="52"/>
  <c r="L50" i="52" s="1"/>
  <c r="K16" i="52"/>
  <c r="J16" i="52"/>
  <c r="I16" i="52"/>
  <c r="H16" i="52"/>
  <c r="H50" i="52" s="1"/>
  <c r="G16" i="52"/>
  <c r="F16" i="52"/>
  <c r="E16" i="52"/>
  <c r="E50" i="52" s="1"/>
  <c r="D16" i="52"/>
  <c r="D50" i="52" s="1"/>
  <c r="S15" i="52"/>
  <c r="R15" i="52"/>
  <c r="R49" i="52" s="1"/>
  <c r="Q15" i="52"/>
  <c r="P15" i="52"/>
  <c r="O15" i="52"/>
  <c r="N15" i="52"/>
  <c r="M15" i="52"/>
  <c r="L15" i="52"/>
  <c r="L49" i="52" s="1"/>
  <c r="K15" i="52"/>
  <c r="K49" i="52" s="1"/>
  <c r="J15" i="52"/>
  <c r="I15" i="52"/>
  <c r="I49" i="52" s="1"/>
  <c r="H15" i="52"/>
  <c r="G15" i="52"/>
  <c r="F15" i="52"/>
  <c r="F49" i="52" s="1"/>
  <c r="E15" i="52"/>
  <c r="D15" i="52"/>
  <c r="D49" i="52" s="1"/>
  <c r="S14" i="52"/>
  <c r="R14" i="52"/>
  <c r="Q14" i="52"/>
  <c r="P14" i="52"/>
  <c r="P48" i="52" s="1"/>
  <c r="O14" i="52"/>
  <c r="O48" i="52" s="1"/>
  <c r="N14" i="52"/>
  <c r="M14" i="52"/>
  <c r="M48" i="52" s="1"/>
  <c r="L14" i="52"/>
  <c r="L48" i="52" s="1"/>
  <c r="K14" i="52"/>
  <c r="J14" i="52"/>
  <c r="J48" i="52" s="1"/>
  <c r="I14" i="52"/>
  <c r="I48" i="52" s="1"/>
  <c r="H14" i="52"/>
  <c r="H48" i="52" s="1"/>
  <c r="G14" i="52"/>
  <c r="F14" i="52"/>
  <c r="E14" i="52"/>
  <c r="D14" i="52"/>
  <c r="D48" i="52" s="1"/>
  <c r="S13" i="52"/>
  <c r="R13" i="52"/>
  <c r="Q13" i="52"/>
  <c r="Q47" i="52" s="1"/>
  <c r="P13" i="52"/>
  <c r="P47" i="52" s="1"/>
  <c r="O13" i="52"/>
  <c r="N13" i="52"/>
  <c r="N47" i="52" s="1"/>
  <c r="M13" i="52"/>
  <c r="M47" i="52" s="1"/>
  <c r="L13" i="52"/>
  <c r="L47" i="52" s="1"/>
  <c r="K13" i="52"/>
  <c r="J13" i="52"/>
  <c r="I13" i="52"/>
  <c r="H13" i="52"/>
  <c r="H47" i="52" s="1"/>
  <c r="G13" i="52"/>
  <c r="F13" i="52"/>
  <c r="E13" i="52"/>
  <c r="E47" i="52" s="1"/>
  <c r="D13" i="52"/>
  <c r="D47" i="52" s="1"/>
  <c r="S12" i="52"/>
  <c r="R12" i="52"/>
  <c r="R46" i="52" s="1"/>
  <c r="Q12" i="52"/>
  <c r="Q46" i="52" s="1"/>
  <c r="P12" i="52"/>
  <c r="P46" i="52" s="1"/>
  <c r="O12" i="52"/>
  <c r="N12" i="52"/>
  <c r="M12" i="52"/>
  <c r="L12" i="52"/>
  <c r="L46" i="52" s="1"/>
  <c r="K12" i="52"/>
  <c r="J12" i="52"/>
  <c r="I12" i="52"/>
  <c r="I46" i="52" s="1"/>
  <c r="H12" i="52"/>
  <c r="H46" i="52" s="1"/>
  <c r="G12" i="52"/>
  <c r="F12" i="52"/>
  <c r="F46" i="52" s="1"/>
  <c r="E12" i="52"/>
  <c r="D12" i="52"/>
  <c r="D46" i="52" s="1"/>
  <c r="S11" i="52"/>
  <c r="R11" i="52"/>
  <c r="Q11" i="52"/>
  <c r="P11" i="52"/>
  <c r="O11" i="52"/>
  <c r="N11" i="52"/>
  <c r="M11" i="52"/>
  <c r="M45" i="52" s="1"/>
  <c r="L11" i="52"/>
  <c r="K11" i="52"/>
  <c r="J11" i="52"/>
  <c r="J45" i="52" s="1"/>
  <c r="I11" i="52"/>
  <c r="I45" i="52" s="1"/>
  <c r="H11" i="52"/>
  <c r="H45" i="52" s="1"/>
  <c r="G11" i="52"/>
  <c r="F11" i="52"/>
  <c r="E11" i="52"/>
  <c r="D11" i="52"/>
  <c r="D45" i="52" s="1"/>
  <c r="S10" i="52"/>
  <c r="R10" i="52"/>
  <c r="Q10" i="52"/>
  <c r="Q44" i="52" s="1"/>
  <c r="P10" i="52"/>
  <c r="P44" i="52" s="1"/>
  <c r="O10" i="52"/>
  <c r="N10" i="52"/>
  <c r="N44" i="52" s="1"/>
  <c r="M10" i="52"/>
  <c r="M44" i="52" s="1"/>
  <c r="L10" i="52"/>
  <c r="K10" i="52"/>
  <c r="J10" i="52"/>
  <c r="I10" i="52"/>
  <c r="H10" i="52"/>
  <c r="H44" i="52" s="1"/>
  <c r="G10" i="52"/>
  <c r="F10" i="52"/>
  <c r="E10" i="52"/>
  <c r="E44" i="52" s="1"/>
  <c r="D10" i="52"/>
  <c r="D44" i="52" s="1"/>
  <c r="S9" i="52"/>
  <c r="R9" i="52"/>
  <c r="R43" i="52" s="1"/>
  <c r="Q9" i="52"/>
  <c r="Q43" i="52" s="1"/>
  <c r="P9" i="52"/>
  <c r="P43" i="52" s="1"/>
  <c r="O9" i="52"/>
  <c r="N9" i="52"/>
  <c r="M9" i="52"/>
  <c r="L9" i="52"/>
  <c r="L43" i="52" s="1"/>
  <c r="K9" i="52"/>
  <c r="J9" i="52"/>
  <c r="I9" i="52"/>
  <c r="I43" i="52" s="1"/>
  <c r="H9" i="52"/>
  <c r="H43" i="52" s="1"/>
  <c r="G9" i="52"/>
  <c r="F9" i="52"/>
  <c r="F43" i="52" s="1"/>
  <c r="E9" i="52"/>
  <c r="E43" i="52" s="1"/>
  <c r="D9" i="52"/>
  <c r="D43" i="52" s="1"/>
  <c r="S8" i="52"/>
  <c r="R8" i="52"/>
  <c r="Q8" i="52"/>
  <c r="P8" i="52"/>
  <c r="P42" i="52" s="1"/>
  <c r="O8" i="52"/>
  <c r="N8" i="52"/>
  <c r="M8" i="52"/>
  <c r="M42" i="52" s="1"/>
  <c r="L8" i="52"/>
  <c r="L42" i="52" s="1"/>
  <c r="K8" i="52"/>
  <c r="J8" i="52"/>
  <c r="J42" i="52" s="1"/>
  <c r="I8" i="52"/>
  <c r="H8" i="52"/>
  <c r="H42" i="52" s="1"/>
  <c r="G8" i="52"/>
  <c r="F8" i="52"/>
  <c r="E8" i="52"/>
  <c r="D8" i="52"/>
  <c r="D42" i="52" s="1"/>
  <c r="S7" i="52"/>
  <c r="R7" i="52"/>
  <c r="Q7" i="52"/>
  <c r="Q41" i="52" s="1"/>
  <c r="P7" i="52"/>
  <c r="P41" i="52" s="1"/>
  <c r="O7" i="52"/>
  <c r="N7" i="52"/>
  <c r="N41" i="52" s="1"/>
  <c r="M7" i="52"/>
  <c r="L7" i="52"/>
  <c r="L41" i="52" s="1"/>
  <c r="K7" i="52"/>
  <c r="J7" i="52"/>
  <c r="I7" i="52"/>
  <c r="H7" i="52"/>
  <c r="H41" i="52" s="1"/>
  <c r="G7" i="52"/>
  <c r="F7" i="52"/>
  <c r="E7" i="52"/>
  <c r="E41" i="52" s="1"/>
  <c r="D7" i="52"/>
  <c r="D41" i="52" s="1"/>
  <c r="S6" i="52"/>
  <c r="R6" i="52"/>
  <c r="R40" i="52" s="1"/>
  <c r="Q6" i="52"/>
  <c r="Q40" i="52" s="1"/>
  <c r="P6" i="52"/>
  <c r="P40" i="52" s="1"/>
  <c r="O6" i="52"/>
  <c r="N6" i="52"/>
  <c r="M6" i="52"/>
  <c r="L6" i="52"/>
  <c r="L40" i="52" s="1"/>
  <c r="K6" i="52"/>
  <c r="K40" i="52" s="1"/>
  <c r="J6" i="52"/>
  <c r="I6" i="52"/>
  <c r="I40" i="52" s="1"/>
  <c r="H6" i="52"/>
  <c r="H40" i="52" s="1"/>
  <c r="G6" i="52"/>
  <c r="F6" i="52"/>
  <c r="F40" i="52" s="1"/>
  <c r="E6" i="52"/>
  <c r="E40" i="52" s="1"/>
  <c r="D6" i="52"/>
  <c r="D40" i="52" s="1"/>
  <c r="S5" i="52"/>
  <c r="R5" i="52"/>
  <c r="R39" i="52" s="1"/>
  <c r="Q5" i="52"/>
  <c r="P5" i="52"/>
  <c r="O5" i="52"/>
  <c r="O39" i="52" s="1"/>
  <c r="N5" i="52"/>
  <c r="M5" i="52"/>
  <c r="M39" i="52" s="1"/>
  <c r="L5" i="52"/>
  <c r="L39" i="52" s="1"/>
  <c r="K5" i="52"/>
  <c r="J5" i="52"/>
  <c r="J39" i="52" s="1"/>
  <c r="I5" i="52"/>
  <c r="I39" i="52" s="1"/>
  <c r="H5" i="52"/>
  <c r="H39" i="52" s="1"/>
  <c r="G5" i="52"/>
  <c r="F5" i="52"/>
  <c r="E5" i="52"/>
  <c r="D5" i="52"/>
  <c r="D39" i="52" s="1"/>
  <c r="S4" i="52"/>
  <c r="R4" i="52"/>
  <c r="Q4" i="52"/>
  <c r="Q38" i="52" s="1"/>
  <c r="P4" i="52"/>
  <c r="P38" i="52" s="1"/>
  <c r="O4" i="52"/>
  <c r="N4" i="52"/>
  <c r="N38" i="52" s="1"/>
  <c r="M4" i="52"/>
  <c r="M38" i="52" s="1"/>
  <c r="L4" i="52"/>
  <c r="L38" i="52" s="1"/>
  <c r="K4" i="52"/>
  <c r="J4" i="52"/>
  <c r="I4" i="52"/>
  <c r="H4" i="52"/>
  <c r="H38" i="52" s="1"/>
  <c r="G4" i="52"/>
  <c r="F4" i="52"/>
  <c r="E4" i="52"/>
  <c r="E38" i="52" s="1"/>
  <c r="D4" i="52"/>
  <c r="S3" i="52"/>
  <c r="R3" i="52"/>
  <c r="R37" i="52" s="1"/>
  <c r="Q3" i="52"/>
  <c r="P3" i="52"/>
  <c r="P37" i="52" s="1"/>
  <c r="O3" i="52"/>
  <c r="N3" i="52"/>
  <c r="M3" i="52"/>
  <c r="L3" i="52"/>
  <c r="L37" i="52" s="1"/>
  <c r="K3" i="52"/>
  <c r="J3" i="52"/>
  <c r="I3" i="52"/>
  <c r="I37" i="52" s="1"/>
  <c r="H3" i="52"/>
  <c r="H37" i="52" s="1"/>
  <c r="G3" i="52"/>
  <c r="F3" i="52"/>
  <c r="F37" i="52" s="1"/>
  <c r="E3" i="52"/>
  <c r="E37" i="52" s="1"/>
  <c r="D3" i="52"/>
  <c r="D37" i="52" s="1"/>
  <c r="S2" i="52"/>
  <c r="R2" i="52"/>
  <c r="Q2" i="52"/>
  <c r="P2" i="52"/>
  <c r="P36" i="52" s="1"/>
  <c r="O2" i="52"/>
  <c r="N2" i="52"/>
  <c r="M2" i="52"/>
  <c r="M36" i="52" s="1"/>
  <c r="L2" i="52"/>
  <c r="L36" i="52" s="1"/>
  <c r="K2" i="52"/>
  <c r="J2" i="52"/>
  <c r="J36" i="52" s="1"/>
  <c r="I2" i="52"/>
  <c r="I36" i="52" s="1"/>
  <c r="H2" i="52"/>
  <c r="H36" i="52" s="1"/>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L94" i="32"/>
  <c r="J94" i="32"/>
  <c r="J73" i="32" s="1"/>
  <c r="J80" i="32" s="1"/>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35" i="32"/>
  <c r="C35" i="32"/>
  <c r="B36" i="32"/>
  <c r="C36" i="32"/>
  <c r="B37" i="32"/>
  <c r="C37" i="32"/>
  <c r="B38" i="32"/>
  <c r="C38" i="32"/>
  <c r="C34" i="32"/>
  <c r="C95" i="32" s="1"/>
  <c r="B34" i="32"/>
  <c r="A134" i="32"/>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D134" i="32"/>
  <c r="D85" i="32" s="1"/>
  <c r="D91" i="32" s="1"/>
  <c r="C134" i="32"/>
  <c r="B134" i="32"/>
  <c r="D133" i="32"/>
  <c r="C133" i="32"/>
  <c r="B133" i="32"/>
  <c r="D132" i="32"/>
  <c r="C132" i="32"/>
  <c r="B132" i="32"/>
  <c r="D131" i="32"/>
  <c r="C131" i="32"/>
  <c r="B131" i="32"/>
  <c r="D130" i="32"/>
  <c r="C130" i="32"/>
  <c r="B130" i="32"/>
  <c r="D129" i="32"/>
  <c r="C129" i="32"/>
  <c r="B129" i="32"/>
  <c r="D128" i="32"/>
  <c r="C128" i="32"/>
  <c r="B128" i="32"/>
  <c r="D127" i="32"/>
  <c r="D84" i="32" s="1"/>
  <c r="D90" i="32" s="1"/>
  <c r="C127" i="32"/>
  <c r="B127" i="32"/>
  <c r="D126" i="32"/>
  <c r="C126" i="32"/>
  <c r="B126" i="32"/>
  <c r="D125" i="32"/>
  <c r="C125" i="32"/>
  <c r="B125" i="32"/>
  <c r="D124" i="32"/>
  <c r="C124" i="32"/>
  <c r="B124" i="32"/>
  <c r="D123" i="32"/>
  <c r="C123" i="32"/>
  <c r="B123" i="32"/>
  <c r="D122" i="32"/>
  <c r="C122" i="32"/>
  <c r="B122" i="32"/>
  <c r="D121" i="32"/>
  <c r="C121" i="32"/>
  <c r="B121" i="32"/>
  <c r="D120" i="32"/>
  <c r="C120" i="32"/>
  <c r="B120" i="32"/>
  <c r="D119" i="32"/>
  <c r="C119" i="32"/>
  <c r="B119" i="32"/>
  <c r="D118" i="32"/>
  <c r="D83" i="32" s="1"/>
  <c r="D89" i="32" s="1"/>
  <c r="C118" i="32"/>
  <c r="B118" i="32"/>
  <c r="D117" i="32"/>
  <c r="C117" i="32"/>
  <c r="B117" i="32"/>
  <c r="D116" i="32"/>
  <c r="C116" i="32"/>
  <c r="B116" i="32"/>
  <c r="D115" i="32"/>
  <c r="C115" i="32"/>
  <c r="B115" i="32"/>
  <c r="D114" i="32"/>
  <c r="C114" i="32"/>
  <c r="B114" i="32"/>
  <c r="D113" i="32"/>
  <c r="C113" i="32"/>
  <c r="B113" i="32"/>
  <c r="D112" i="32"/>
  <c r="C112" i="32"/>
  <c r="B112" i="32"/>
  <c r="D111" i="32"/>
  <c r="C111" i="32"/>
  <c r="B111" i="32"/>
  <c r="D110" i="32"/>
  <c r="C110" i="32"/>
  <c r="B110" i="32"/>
  <c r="D109" i="32"/>
  <c r="C109" i="32"/>
  <c r="B109" i="32"/>
  <c r="D108" i="32"/>
  <c r="D82" i="32" s="1"/>
  <c r="D88" i="32" s="1"/>
  <c r="C108" i="32"/>
  <c r="B108" i="32"/>
  <c r="D107" i="32"/>
  <c r="C107" i="32"/>
  <c r="B107" i="32"/>
  <c r="D106" i="32"/>
  <c r="C106" i="32"/>
  <c r="B106" i="32"/>
  <c r="D105" i="32"/>
  <c r="C105" i="32"/>
  <c r="B105" i="32"/>
  <c r="D104" i="32"/>
  <c r="C104" i="32"/>
  <c r="B104" i="32"/>
  <c r="D103" i="32"/>
  <c r="C103" i="32"/>
  <c r="B103" i="32"/>
  <c r="D102" i="32"/>
  <c r="C102" i="32"/>
  <c r="B102" i="32"/>
  <c r="D101" i="32"/>
  <c r="C101" i="32"/>
  <c r="B101" i="32"/>
  <c r="D100" i="32"/>
  <c r="C100" i="32"/>
  <c r="B100" i="32"/>
  <c r="D99" i="32"/>
  <c r="C99" i="32"/>
  <c r="B99" i="32"/>
  <c r="D98" i="32"/>
  <c r="D81" i="32" s="1"/>
  <c r="D87" i="32" s="1"/>
  <c r="C98" i="32"/>
  <c r="B98" i="32"/>
  <c r="D97" i="32"/>
  <c r="C97" i="32"/>
  <c r="B97" i="32"/>
  <c r="I96" i="32"/>
  <c r="H96" i="32"/>
  <c r="G96" i="32"/>
  <c r="F96" i="32"/>
  <c r="E96" i="32"/>
  <c r="D96" i="32"/>
  <c r="C96" i="32"/>
  <c r="B96" i="32"/>
  <c r="C60" i="32"/>
  <c r="C69" i="32" s="1"/>
  <c r="B60" i="32"/>
  <c r="C59" i="32"/>
  <c r="C68" i="32" s="1"/>
  <c r="B59" i="32"/>
  <c r="C58" i="32"/>
  <c r="C67" i="32" s="1"/>
  <c r="B58" i="32"/>
  <c r="C57" i="32"/>
  <c r="C66" i="32" s="1"/>
  <c r="B57" i="32"/>
  <c r="C56" i="32"/>
  <c r="C65" i="32" s="1"/>
  <c r="B56" i="32"/>
  <c r="C55" i="32"/>
  <c r="C64" i="32" s="1"/>
  <c r="B55" i="32"/>
  <c r="C54" i="32"/>
  <c r="C63" i="32" s="1"/>
  <c r="B54" i="32"/>
  <c r="A96" i="32"/>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J5" i="32"/>
  <c r="J4" i="32"/>
  <c r="F5" i="32"/>
  <c r="G5" i="32"/>
  <c r="AD6" i="32" s="1"/>
  <c r="H5" i="32"/>
  <c r="I5" i="32"/>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C62" i="32"/>
  <c r="A1" i="32"/>
  <c r="A1" i="35"/>
  <c r="E9" i="29"/>
  <c r="F9" i="29" s="1"/>
  <c r="G9" i="29" s="1"/>
  <c r="H9" i="29" s="1"/>
  <c r="J9" i="29"/>
  <c r="K9" i="29" s="1"/>
  <c r="E11" i="29"/>
  <c r="F11" i="29" s="1"/>
  <c r="G11" i="29" s="1"/>
  <c r="H11" i="29" s="1"/>
  <c r="J11" i="29"/>
  <c r="K11" i="29" s="1"/>
  <c r="D16" i="29"/>
  <c r="E16" i="29" s="1"/>
  <c r="F16" i="29" s="1"/>
  <c r="G16" i="29" s="1"/>
  <c r="H16" i="29" s="1"/>
  <c r="K5" i="32"/>
  <c r="E33" i="32"/>
  <c r="F33" i="32"/>
  <c r="G33" i="32"/>
  <c r="H33" i="32"/>
  <c r="I33" i="32"/>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M4" i="32"/>
  <c r="M5" i="32"/>
  <c r="L4" i="32"/>
  <c r="L5" i="32"/>
  <c r="K4" i="32"/>
  <c r="N5" i="32"/>
  <c r="N4" i="32"/>
  <c r="O4" i="32"/>
  <c r="O5" i="32"/>
  <c r="P4" i="32"/>
  <c r="P5" i="32"/>
  <c r="Q5" i="32"/>
  <c r="Q4" i="32"/>
  <c r="R5" i="32"/>
  <c r="R4" i="32"/>
  <c r="S4" i="32"/>
  <c r="S5" i="32"/>
  <c r="T4" i="32"/>
  <c r="T5" i="32"/>
  <c r="U4" i="32"/>
  <c r="U5" i="32"/>
  <c r="V5" i="32"/>
  <c r="V4" i="32"/>
  <c r="W4" i="32"/>
  <c r="W5" i="32"/>
  <c r="X4" i="32"/>
  <c r="X5" i="32"/>
  <c r="Y4" i="32"/>
  <c r="Y5" i="32"/>
  <c r="Z5" i="32"/>
  <c r="Z4" i="32"/>
  <c r="AA4" i="32"/>
  <c r="AA5" i="32"/>
  <c r="AB4" i="32"/>
  <c r="AB5" i="32"/>
  <c r="AC5" i="32"/>
  <c r="AC4" i="32"/>
  <c r="AD5" i="32"/>
  <c r="AD4" i="32"/>
  <c r="AE4" i="32"/>
  <c r="AE5" i="32"/>
  <c r="AF5" i="32"/>
  <c r="AF4" i="32"/>
  <c r="AG4" i="32"/>
  <c r="AG5" i="32"/>
  <c r="AH5" i="32"/>
  <c r="AH4" i="32"/>
  <c r="AI4" i="32"/>
  <c r="AI5" i="32"/>
  <c r="AJ4" i="32"/>
  <c r="AJ5" i="32"/>
  <c r="AK4" i="32"/>
  <c r="AK5" i="32"/>
  <c r="AL5" i="32"/>
  <c r="AL4" i="32"/>
  <c r="AM5" i="32"/>
  <c r="AM4" i="32"/>
  <c r="AN5" i="32"/>
  <c r="AN4" i="32"/>
  <c r="AN6" i="32"/>
  <c r="AO5" i="32"/>
  <c r="AO4" i="32"/>
  <c r="AO6" i="32"/>
  <c r="AP4" i="32"/>
  <c r="AP6" i="32"/>
  <c r="AP7" i="32" s="1"/>
  <c r="AP5" i="32"/>
  <c r="G44" i="32"/>
  <c r="I20" i="57" s="1"/>
  <c r="I44" i="32"/>
  <c r="K20" i="57" s="1"/>
  <c r="H44" i="32"/>
  <c r="J20" i="57" s="1"/>
  <c r="F44" i="32"/>
  <c r="H20" i="57" s="1"/>
  <c r="E44" i="32"/>
  <c r="G43" i="32"/>
  <c r="I19" i="57" s="1"/>
  <c r="H43" i="32"/>
  <c r="J19" i="57" s="1"/>
  <c r="I43" i="32"/>
  <c r="K19" i="57" s="1"/>
  <c r="AM6" i="32"/>
  <c r="AM7" i="32" s="1"/>
  <c r="AG6" i="32"/>
  <c r="AO7" i="32"/>
  <c r="AA6" i="32"/>
  <c r="AA7" i="32" s="1"/>
  <c r="AH6" i="32"/>
  <c r="AH7" i="32" s="1"/>
  <c r="Z6" i="32"/>
  <c r="Z7" i="32" s="1"/>
  <c r="K6" i="32"/>
  <c r="AI6" i="32"/>
  <c r="AI7" i="32" s="1"/>
  <c r="M94" i="32"/>
  <c r="L73" i="32"/>
  <c r="L80" i="32" s="1"/>
  <c r="D36" i="52"/>
  <c r="P39" i="52"/>
  <c r="P45" i="52"/>
  <c r="P51" i="52"/>
  <c r="L45" i="52"/>
  <c r="O38" i="52"/>
  <c r="Q49" i="52"/>
  <c r="L44" i="52"/>
  <c r="I42" i="52"/>
  <c r="E49" i="52"/>
  <c r="Q52" i="52"/>
  <c r="P49" i="52"/>
  <c r="Q37" i="52"/>
  <c r="M41" i="52"/>
  <c r="H48" i="32"/>
  <c r="E108" i="47"/>
  <c r="G48" i="32"/>
  <c r="K21" i="32"/>
  <c r="D38" i="52"/>
  <c r="H49" i="52"/>
  <c r="P50" i="52"/>
  <c r="E46" i="52"/>
  <c r="E33" i="29"/>
  <c r="J33" i="29" s="1"/>
  <c r="J47" i="29" s="1"/>
  <c r="J36" i="29"/>
  <c r="J51" i="29" s="1"/>
  <c r="S36" i="52" l="1"/>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M73" i="32"/>
  <c r="M80" i="32" s="1"/>
  <c r="N94" i="32"/>
  <c r="N73" i="32" s="1"/>
  <c r="N80" i="32" s="1"/>
  <c r="F19" i="57"/>
  <c r="G19" i="57" s="1"/>
  <c r="E19" i="57"/>
  <c r="F48" i="32"/>
  <c r="F20" i="57"/>
  <c r="G20" i="57" s="1"/>
  <c r="E20" i="57"/>
  <c r="AD7" i="32"/>
  <c r="Q6" i="32"/>
  <c r="M10" i="58"/>
  <c r="L21" i="32"/>
  <c r="L10" i="58"/>
  <c r="D35" i="44"/>
  <c r="K10" i="58"/>
  <c r="K9" i="55"/>
  <c r="G3" i="56"/>
  <c r="L9" i="55"/>
  <c r="M9" i="55"/>
  <c r="F11" i="57"/>
  <c r="J45" i="32"/>
  <c r="E45" i="32" s="1"/>
  <c r="E45" i="52"/>
  <c r="Q45" i="52"/>
  <c r="I50" i="52"/>
  <c r="E51" i="52"/>
  <c r="D7" i="56"/>
  <c r="D9" i="56"/>
  <c r="D8" i="56"/>
  <c r="G15" i="55"/>
  <c r="G19" i="55"/>
  <c r="G10" i="55"/>
  <c r="G22" i="55"/>
  <c r="G14" i="55"/>
  <c r="G13" i="55"/>
  <c r="G20" i="55"/>
  <c r="G12" i="55"/>
  <c r="G21" i="55"/>
  <c r="G16" i="55"/>
  <c r="G17" i="55"/>
  <c r="G18" i="55"/>
  <c r="C97" i="56"/>
  <c r="C81" i="56" s="1"/>
  <c r="C31" i="56"/>
  <c r="C54" i="56" s="1"/>
  <c r="D114" i="56"/>
  <c r="K114" i="56" s="1"/>
  <c r="D135" i="56"/>
  <c r="B16" i="56"/>
  <c r="D142" i="56"/>
  <c r="D121" i="56"/>
  <c r="K121" i="56" s="1"/>
  <c r="B23" i="56"/>
  <c r="D144" i="56"/>
  <c r="D123" i="56"/>
  <c r="K123" i="56" s="1"/>
  <c r="B25" i="56"/>
  <c r="C29" i="56"/>
  <c r="C52" i="56" s="1"/>
  <c r="C95" i="56"/>
  <c r="C79" i="56" s="1"/>
  <c r="B21" i="56"/>
  <c r="D140" i="56"/>
  <c r="D119" i="56"/>
  <c r="K119" i="56" s="1"/>
  <c r="C102" i="56"/>
  <c r="C86" i="56" s="1"/>
  <c r="C36" i="56"/>
  <c r="C59" i="56" s="1"/>
  <c r="D133" i="56"/>
  <c r="D112" i="56"/>
  <c r="K112" i="56" s="1"/>
  <c r="B14" i="56"/>
  <c r="B39" i="56" s="1"/>
  <c r="B46" i="56" s="1"/>
  <c r="C100" i="56"/>
  <c r="C84" i="56" s="1"/>
  <c r="C34" i="56"/>
  <c r="C57" i="56" s="1"/>
  <c r="C39" i="56"/>
  <c r="C46" i="56" s="1"/>
  <c r="C93" i="56"/>
  <c r="C77" i="56" s="1"/>
  <c r="B19" i="56"/>
  <c r="D138" i="56"/>
  <c r="D117" i="56"/>
  <c r="K117" i="56" s="1"/>
  <c r="C98" i="56"/>
  <c r="C82" i="56" s="1"/>
  <c r="C32" i="56"/>
  <c r="C55" i="56" s="1"/>
  <c r="B17" i="56"/>
  <c r="D136" i="56"/>
  <c r="D115" i="56"/>
  <c r="K115" i="56" s="1"/>
  <c r="C96" i="56"/>
  <c r="C80" i="56" s="1"/>
  <c r="C30" i="56"/>
  <c r="C53" i="56" s="1"/>
  <c r="D141" i="56"/>
  <c r="D120" i="56"/>
  <c r="K120" i="56" s="1"/>
  <c r="B22" i="56"/>
  <c r="D143" i="56"/>
  <c r="D122" i="56"/>
  <c r="K122" i="56" s="1"/>
  <c r="B24" i="56"/>
  <c r="B40" i="56" s="1"/>
  <c r="B47" i="56" s="1"/>
  <c r="D134" i="56"/>
  <c r="D113" i="56"/>
  <c r="K113" i="56" s="1"/>
  <c r="B15" i="56"/>
  <c r="C101" i="56"/>
  <c r="C85" i="56" s="1"/>
  <c r="C35" i="56"/>
  <c r="C58" i="56" s="1"/>
  <c r="C103" i="56"/>
  <c r="C87" i="56" s="1"/>
  <c r="C40" i="56"/>
  <c r="C47" i="56" s="1"/>
  <c r="B18" i="56"/>
  <c r="D137" i="56"/>
  <c r="D116" i="56"/>
  <c r="K116" i="56" s="1"/>
  <c r="C94" i="56"/>
  <c r="C78" i="56" s="1"/>
  <c r="C28" i="56"/>
  <c r="C51" i="56" s="1"/>
  <c r="B20" i="56"/>
  <c r="D139" i="56"/>
  <c r="D118" i="56"/>
  <c r="K118" i="56" s="1"/>
  <c r="D132" i="56"/>
  <c r="D111" i="56"/>
  <c r="K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J6" i="32"/>
  <c r="J7" i="32" s="1"/>
  <c r="O94" i="32"/>
  <c r="O73" i="32" s="1"/>
  <c r="O80" i="32" s="1"/>
  <c r="M6" i="32"/>
  <c r="M7" i="32" s="1"/>
  <c r="AL6" i="32"/>
  <c r="AN7" i="32"/>
  <c r="AC6" i="32"/>
  <c r="AC7" i="32" s="1"/>
  <c r="V6" i="32"/>
  <c r="V7" i="32" s="1"/>
  <c r="AF6" i="32"/>
  <c r="AL7" i="32"/>
  <c r="AB6" i="32"/>
  <c r="AB7" i="32" s="1"/>
  <c r="AG7" i="32"/>
  <c r="W6" i="32"/>
  <c r="W7" i="32" s="1"/>
  <c r="AE6" i="32"/>
  <c r="AE7" i="32" s="1"/>
  <c r="S6" i="32"/>
  <c r="S7" i="32" s="1"/>
  <c r="R6" i="32"/>
  <c r="R7" i="32" s="1"/>
  <c r="H49" i="32"/>
  <c r="T6" i="32"/>
  <c r="T7" i="32" s="1"/>
  <c r="U6" i="32"/>
  <c r="X6" i="32"/>
  <c r="X7" i="32" s="1"/>
  <c r="I49" i="32"/>
  <c r="Y6" i="32"/>
  <c r="Y7" i="32" s="1"/>
  <c r="M21" i="32"/>
  <c r="M45" i="32" s="1"/>
  <c r="K3" i="29"/>
  <c r="AJ6" i="32"/>
  <c r="AJ7" i="32" s="1"/>
  <c r="AK6" i="32"/>
  <c r="AK7" i="32" s="1"/>
  <c r="G83" i="47"/>
  <c r="Q7" i="32"/>
  <c r="J93" i="32"/>
  <c r="M11" i="29"/>
  <c r="N11" i="29" s="1"/>
  <c r="O11" i="29" s="1"/>
  <c r="P11" i="29" s="1"/>
  <c r="L11" i="29"/>
  <c r="M9" i="29"/>
  <c r="N9" i="29" s="1"/>
  <c r="O9" i="29" s="1"/>
  <c r="P9" i="29" s="1"/>
  <c r="L9" i="29"/>
  <c r="U45" i="29"/>
  <c r="U46" i="29" s="1"/>
  <c r="AF45" i="29"/>
  <c r="AF46" i="29" s="1"/>
  <c r="S45" i="29"/>
  <c r="S46" i="29" s="1"/>
  <c r="Q45" i="29"/>
  <c r="Q46" i="29" s="1"/>
  <c r="AO45" i="29"/>
  <c r="AO46" i="29" s="1"/>
  <c r="V45" i="29"/>
  <c r="V46" i="29" s="1"/>
  <c r="G25" i="35"/>
  <c r="E25" i="35"/>
  <c r="H25" i="35"/>
  <c r="F25" i="35"/>
  <c r="B25" i="35"/>
  <c r="I25" i="35"/>
  <c r="BB102" i="32"/>
  <c r="B22" i="35"/>
  <c r="I23" i="35"/>
  <c r="G24" i="35"/>
  <c r="E23" i="35"/>
  <c r="F49" i="32"/>
  <c r="P7" i="32"/>
  <c r="I48" i="32"/>
  <c r="G49" i="32"/>
  <c r="N6" i="32"/>
  <c r="N7" i="32" s="1"/>
  <c r="P6" i="32"/>
  <c r="O6" i="32"/>
  <c r="O7" i="32" s="1"/>
  <c r="L6" i="32"/>
  <c r="L7" i="32" s="1"/>
  <c r="U7" i="32"/>
  <c r="K7" i="32"/>
  <c r="AF7" i="32"/>
  <c r="BB126" i="32"/>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P53" i="52"/>
  <c r="K36" i="52"/>
  <c r="G37" i="52"/>
  <c r="S37" i="52"/>
  <c r="K39" i="52"/>
  <c r="G40" i="52"/>
  <c r="S40" i="52"/>
  <c r="O41" i="52"/>
  <c r="K42" i="52"/>
  <c r="G43" i="52"/>
  <c r="S43" i="52"/>
  <c r="O44" i="52"/>
  <c r="K45" i="52"/>
  <c r="G46" i="52"/>
  <c r="S46" i="52"/>
  <c r="O47" i="52"/>
  <c r="K48" i="52"/>
  <c r="G49" i="52"/>
  <c r="S49" i="52"/>
  <c r="K51" i="52"/>
  <c r="G52" i="52"/>
  <c r="S52" i="52"/>
  <c r="J22" i="29"/>
  <c r="D53" i="52"/>
  <c r="C26" i="35"/>
  <c r="F26" i="35"/>
  <c r="B26" i="35"/>
  <c r="E26" i="35"/>
  <c r="E80" i="47"/>
  <c r="BB120" i="32"/>
  <c r="BB123" i="32"/>
  <c r="BB129" i="32"/>
  <c r="BB132" i="32"/>
  <c r="G26" i="35"/>
  <c r="D28" i="29"/>
  <c r="D5" i="29"/>
  <c r="D6" i="35"/>
  <c r="BB122" i="32"/>
  <c r="BB127" i="32"/>
  <c r="BB111" i="32"/>
  <c r="BB114" i="32"/>
  <c r="BB117" i="32"/>
  <c r="BB125" i="32"/>
  <c r="L53" i="52"/>
  <c r="BB116" i="32"/>
  <c r="E69" i="47"/>
  <c r="E68" i="47"/>
  <c r="BB134" i="32"/>
  <c r="BB105" i="32"/>
  <c r="E66" i="47"/>
  <c r="BB103" i="32"/>
  <c r="BB106" i="32"/>
  <c r="BB109" i="32"/>
  <c r="BB112" i="32"/>
  <c r="BB115" i="32"/>
  <c r="BB110" i="32"/>
  <c r="BB101" i="32"/>
  <c r="BB98" i="32"/>
  <c r="E70" i="47"/>
  <c r="BB100" i="32"/>
  <c r="BB130" i="32"/>
  <c r="BB135" i="32"/>
  <c r="BB113" i="32"/>
  <c r="BB121" i="32"/>
  <c r="BB96" i="32"/>
  <c r="BB133" i="32"/>
  <c r="BB128" i="32"/>
  <c r="BB107" i="32"/>
  <c r="E67" i="47"/>
  <c r="BB124" i="32"/>
  <c r="BB119" i="32"/>
  <c r="H53" i="52"/>
  <c r="E78" i="47"/>
  <c r="BB136" i="32"/>
  <c r="BB104" i="32"/>
  <c r="BB131" i="32"/>
  <c r="E64" i="47"/>
  <c r="E82" i="47"/>
  <c r="G22" i="35"/>
  <c r="BB99" i="32"/>
  <c r="E65" i="47"/>
  <c r="E63" i="47"/>
  <c r="E79" i="47"/>
  <c r="H22" i="35"/>
  <c r="E75" i="47"/>
  <c r="E71" i="47"/>
  <c r="E72" i="47"/>
  <c r="E62" i="47"/>
  <c r="E77" i="47"/>
  <c r="E74" i="47"/>
  <c r="E73" i="47"/>
  <c r="F22" i="35"/>
  <c r="E81" i="47"/>
  <c r="B23" i="35"/>
  <c r="G23" i="35"/>
  <c r="I22" i="35"/>
  <c r="BB118" i="32"/>
  <c r="H23" i="35"/>
  <c r="E76" i="47"/>
  <c r="F23" i="35"/>
  <c r="C22" i="35"/>
  <c r="B24" i="35"/>
  <c r="I24" i="35"/>
  <c r="C24" i="35"/>
  <c r="F24" i="35"/>
  <c r="E24" i="35"/>
  <c r="K33" i="29"/>
  <c r="G108" i="47"/>
  <c r="E9" i="47"/>
  <c r="E8" i="47"/>
  <c r="E7" i="47"/>
  <c r="E6" i="47"/>
  <c r="N53" i="52" l="1"/>
  <c r="E97" i="47"/>
  <c r="L45" i="32"/>
  <c r="E21" i="57"/>
  <c r="E68" i="32"/>
  <c r="J68" i="32" s="1"/>
  <c r="E64" i="32"/>
  <c r="J64" i="32" s="1"/>
  <c r="E66" i="32"/>
  <c r="J66" i="32" s="1"/>
  <c r="E65" i="32"/>
  <c r="J65" i="32" s="1"/>
  <c r="E67" i="32"/>
  <c r="J67" i="32" s="1"/>
  <c r="E69" i="32"/>
  <c r="J69" i="32" s="1"/>
  <c r="E63" i="32"/>
  <c r="J63" i="32" s="1"/>
  <c r="F21" i="57"/>
  <c r="K45" i="32"/>
  <c r="G35" i="44"/>
  <c r="N10" i="58"/>
  <c r="D25" i="44"/>
  <c r="D26" i="44" s="1"/>
  <c r="E25" i="44"/>
  <c r="F25" i="44"/>
  <c r="N9" i="55"/>
  <c r="E35" i="44"/>
  <c r="F35" i="44"/>
  <c r="E89" i="47"/>
  <c r="F53" i="52"/>
  <c r="E98" i="47"/>
  <c r="E92" i="47"/>
  <c r="G11" i="55"/>
  <c r="J143" i="56"/>
  <c r="J132" i="56"/>
  <c r="L111" i="56"/>
  <c r="B54" i="56"/>
  <c r="B31" i="56"/>
  <c r="J133" i="56"/>
  <c r="L112" i="56"/>
  <c r="J144" i="56"/>
  <c r="L123" i="56"/>
  <c r="E99" i="47"/>
  <c r="B35" i="56"/>
  <c r="B58" i="56"/>
  <c r="E94" i="47"/>
  <c r="J141" i="56"/>
  <c r="L120" i="56"/>
  <c r="J138" i="56"/>
  <c r="L117" i="56"/>
  <c r="E96" i="47"/>
  <c r="B36" i="56"/>
  <c r="B59" i="56"/>
  <c r="J142" i="56"/>
  <c r="J139" i="56"/>
  <c r="G94" i="47" s="1"/>
  <c r="L118" i="56"/>
  <c r="B32" i="56"/>
  <c r="B55" i="56"/>
  <c r="J140" i="56"/>
  <c r="L119" i="56"/>
  <c r="B52" i="56"/>
  <c r="B29" i="56"/>
  <c r="B56" i="56"/>
  <c r="B33" i="56"/>
  <c r="B51" i="56"/>
  <c r="B28" i="56"/>
  <c r="J134" i="56"/>
  <c r="G89" i="47" s="1"/>
  <c r="L113" i="56"/>
  <c r="J136" i="56"/>
  <c r="L115" i="56"/>
  <c r="E95" i="47"/>
  <c r="B57" i="56"/>
  <c r="B34" i="56"/>
  <c r="J135" i="56"/>
  <c r="L114" i="56"/>
  <c r="E88" i="47"/>
  <c r="E90" i="47"/>
  <c r="E91" i="47"/>
  <c r="B53" i="56"/>
  <c r="B30" i="56"/>
  <c r="J137" i="56"/>
  <c r="G92" i="47" s="1"/>
  <c r="L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J29" i="32"/>
  <c r="K29" i="32" s="1"/>
  <c r="L29" i="32" s="1"/>
  <c r="M29" i="32" s="1"/>
  <c r="J30" i="32"/>
  <c r="AL30" i="32"/>
  <c r="AL29" i="32"/>
  <c r="AN29" i="32"/>
  <c r="AO29" i="32" s="1"/>
  <c r="AP29" i="32" s="1"/>
  <c r="AN30" i="32"/>
  <c r="AO30" i="32" s="1"/>
  <c r="AP30" i="32" s="1"/>
  <c r="P94" i="32"/>
  <c r="Q94" i="32" s="1"/>
  <c r="G85" i="47"/>
  <c r="AB29" i="32"/>
  <c r="AC29" i="32" s="1"/>
  <c r="AD29" i="32" s="1"/>
  <c r="AE29" i="32" s="1"/>
  <c r="AF29" i="32" s="1"/>
  <c r="AB30" i="32"/>
  <c r="AC30" i="32" s="1"/>
  <c r="AD30" i="32" s="1"/>
  <c r="R29" i="32"/>
  <c r="S29" i="32" s="1"/>
  <c r="T29" i="32" s="1"/>
  <c r="U29" i="32" s="1"/>
  <c r="V29" i="32" s="1"/>
  <c r="R30" i="32"/>
  <c r="S30" i="32" s="1"/>
  <c r="T30" i="32" s="1"/>
  <c r="K30" i="32"/>
  <c r="L30" i="32" s="1"/>
  <c r="M30" i="32" s="1"/>
  <c r="N30" i="32" s="1"/>
  <c r="G53" i="52"/>
  <c r="J48" i="29"/>
  <c r="G84" i="47" s="1"/>
  <c r="M33" i="29"/>
  <c r="N33" i="29" s="1"/>
  <c r="L33" i="29"/>
  <c r="P73" i="32"/>
  <c r="P80" i="32" s="1"/>
  <c r="N21" i="32"/>
  <c r="S53" i="52"/>
  <c r="O53" i="52"/>
  <c r="K47" i="29"/>
  <c r="M47" i="29"/>
  <c r="U30" i="32"/>
  <c r="AE30" i="32"/>
  <c r="G6" i="47"/>
  <c r="G8" i="47"/>
  <c r="G9" i="47"/>
  <c r="G7" i="47"/>
  <c r="J87" i="47" l="1"/>
  <c r="K87" i="47"/>
  <c r="L87" i="47"/>
  <c r="J99" i="47"/>
  <c r="K99" i="47"/>
  <c r="L99" i="47"/>
  <c r="J91" i="47"/>
  <c r="K91" i="47"/>
  <c r="L91" i="47"/>
  <c r="J90" i="47"/>
  <c r="K90" i="47"/>
  <c r="L90" i="47"/>
  <c r="J89" i="47"/>
  <c r="K89" i="47"/>
  <c r="L89" i="47"/>
  <c r="J88" i="47"/>
  <c r="K88" i="47"/>
  <c r="L88" i="47"/>
  <c r="J96" i="47"/>
  <c r="K96" i="47"/>
  <c r="L96" i="47"/>
  <c r="G88" i="47"/>
  <c r="G90" i="47"/>
  <c r="G93" i="47"/>
  <c r="J93" i="47"/>
  <c r="K93" i="47"/>
  <c r="L93" i="47"/>
  <c r="J95" i="47"/>
  <c r="K95" i="47"/>
  <c r="L95" i="47"/>
  <c r="G95" i="47"/>
  <c r="G96" i="47"/>
  <c r="G87" i="47"/>
  <c r="J94" i="47"/>
  <c r="K94" i="47"/>
  <c r="L94" i="47"/>
  <c r="G91" i="47"/>
  <c r="J92" i="47"/>
  <c r="K92" i="47"/>
  <c r="L92" i="47"/>
  <c r="K181" i="56"/>
  <c r="G97" i="47"/>
  <c r="K183" i="56"/>
  <c r="G99" i="47"/>
  <c r="K182" i="56"/>
  <c r="G98" i="47"/>
  <c r="R47" i="29"/>
  <c r="S47" i="29" s="1"/>
  <c r="P83" i="47" s="1"/>
  <c r="N45" i="32"/>
  <c r="AM30" i="32"/>
  <c r="F26" i="44"/>
  <c r="O9" i="55"/>
  <c r="E26" i="44"/>
  <c r="G25" i="44"/>
  <c r="G26" i="44" s="1"/>
  <c r="H35" i="44"/>
  <c r="O10" i="58"/>
  <c r="O23" i="58" s="1"/>
  <c r="G11" i="57"/>
  <c r="H3" i="56"/>
  <c r="K135" i="56"/>
  <c r="H90" i="47" s="1"/>
  <c r="M114" i="56"/>
  <c r="L135" i="56" s="1"/>
  <c r="I90" i="47" s="1"/>
  <c r="K133" i="56"/>
  <c r="H88" i="47" s="1"/>
  <c r="M112" i="56"/>
  <c r="L133" i="56" s="1"/>
  <c r="I88" i="47" s="1"/>
  <c r="K140" i="56"/>
  <c r="H95" i="47" s="1"/>
  <c r="M119" i="56"/>
  <c r="L140" i="56" s="1"/>
  <c r="I95" i="47" s="1"/>
  <c r="K138" i="56"/>
  <c r="H93" i="47" s="1"/>
  <c r="M117" i="56"/>
  <c r="L138" i="56" s="1"/>
  <c r="I93" i="47" s="1"/>
  <c r="K141" i="56"/>
  <c r="H96" i="47" s="1"/>
  <c r="M120" i="56"/>
  <c r="L141" i="56" s="1"/>
  <c r="I96" i="47" s="1"/>
  <c r="K132" i="56"/>
  <c r="H87" i="47" s="1"/>
  <c r="M111" i="56"/>
  <c r="L132" i="56" s="1"/>
  <c r="I87" i="47" s="1"/>
  <c r="K137" i="56"/>
  <c r="H92" i="47" s="1"/>
  <c r="M116" i="56"/>
  <c r="L137" i="56" s="1"/>
  <c r="I92" i="47" s="1"/>
  <c r="K136" i="56"/>
  <c r="H91" i="47" s="1"/>
  <c r="M115" i="56"/>
  <c r="L136" i="56" s="1"/>
  <c r="I91" i="47" s="1"/>
  <c r="K134" i="56"/>
  <c r="H89" i="47" s="1"/>
  <c r="M113" i="56"/>
  <c r="L134" i="56" s="1"/>
  <c r="I89" i="47" s="1"/>
  <c r="K139" i="56"/>
  <c r="H94" i="47" s="1"/>
  <c r="M118" i="56"/>
  <c r="L139" i="56" s="1"/>
  <c r="I94" i="47" s="1"/>
  <c r="K144" i="56"/>
  <c r="M123" i="56"/>
  <c r="L144" i="56" s="1"/>
  <c r="L3" i="29"/>
  <c r="AM29" i="32"/>
  <c r="R94" i="32"/>
  <c r="Q73" i="32"/>
  <c r="Q80" i="32" s="1"/>
  <c r="O21" i="32"/>
  <c r="M11" i="55"/>
  <c r="F7" i="56"/>
  <c r="E47" i="57" s="1"/>
  <c r="J13" i="55"/>
  <c r="J14" i="55"/>
  <c r="C33" i="44"/>
  <c r="N47" i="29"/>
  <c r="K83" i="47" s="1"/>
  <c r="H83" i="47"/>
  <c r="L47" i="29"/>
  <c r="I83" i="47" s="1"/>
  <c r="AF30" i="32"/>
  <c r="V30" i="32"/>
  <c r="O30" i="32"/>
  <c r="AG29" i="32"/>
  <c r="N29" i="32"/>
  <c r="W29" i="32"/>
  <c r="AB47" i="29"/>
  <c r="O33" i="29"/>
  <c r="M183" i="56" l="1"/>
  <c r="I99" i="47"/>
  <c r="L183" i="56"/>
  <c r="H99" i="47"/>
  <c r="F74" i="58"/>
  <c r="F70" i="58"/>
  <c r="F72" i="58"/>
  <c r="O30" i="58"/>
  <c r="F71" i="58"/>
  <c r="N24" i="58"/>
  <c r="M24" i="58" s="1"/>
  <c r="L24" i="58" s="1"/>
  <c r="K24" i="58" s="1"/>
  <c r="J24" i="58" s="1"/>
  <c r="F78" i="58"/>
  <c r="F75" i="58"/>
  <c r="F73" i="58"/>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O45" i="32"/>
  <c r="J83" i="47"/>
  <c r="H25" i="44"/>
  <c r="H26" i="44" s="1"/>
  <c r="I35" i="44"/>
  <c r="P10" i="58"/>
  <c r="P9" i="55"/>
  <c r="M13" i="55"/>
  <c r="M14" i="55"/>
  <c r="J5" i="29"/>
  <c r="J24" i="32"/>
  <c r="E24" i="32" s="1"/>
  <c r="E15" i="57"/>
  <c r="M19" i="55"/>
  <c r="J19" i="55"/>
  <c r="M22" i="55"/>
  <c r="J22" i="55"/>
  <c r="G7" i="56"/>
  <c r="G43" i="56" s="1"/>
  <c r="N43" i="56" s="1"/>
  <c r="N76" i="56" s="1"/>
  <c r="J11" i="55"/>
  <c r="M20" i="55"/>
  <c r="M21" i="55"/>
  <c r="J21" i="55"/>
  <c r="J20" i="55"/>
  <c r="F9" i="56"/>
  <c r="J12" i="55"/>
  <c r="J15" i="55"/>
  <c r="J18" i="55"/>
  <c r="J17" i="55"/>
  <c r="J16" i="55"/>
  <c r="M12" i="55"/>
  <c r="G9" i="56"/>
  <c r="N9" i="56" s="1"/>
  <c r="T9" i="56" s="1"/>
  <c r="F8" i="56"/>
  <c r="J10" i="55"/>
  <c r="M18" i="55"/>
  <c r="M15" i="55"/>
  <c r="M16" i="55"/>
  <c r="M17" i="55"/>
  <c r="G8" i="56"/>
  <c r="N8" i="56" s="1"/>
  <c r="T8" i="56" s="1"/>
  <c r="M10" i="55"/>
  <c r="G19" i="47"/>
  <c r="K19" i="47"/>
  <c r="J19" i="47"/>
  <c r="L19" i="47"/>
  <c r="O47" i="29"/>
  <c r="P47" i="29" s="1"/>
  <c r="R73" i="32"/>
  <c r="R80" i="32" s="1"/>
  <c r="S94" i="32"/>
  <c r="P21" i="32"/>
  <c r="P45" i="32" s="1"/>
  <c r="J28" i="29"/>
  <c r="F13" i="57"/>
  <c r="F15" i="57"/>
  <c r="K6" i="35"/>
  <c r="F14" i="57"/>
  <c r="N6" i="35"/>
  <c r="C32" i="44"/>
  <c r="E14" i="57" s="1"/>
  <c r="C31" i="44"/>
  <c r="E13" i="57" s="1"/>
  <c r="K13" i="55"/>
  <c r="K19" i="55"/>
  <c r="K28" i="29"/>
  <c r="K5" i="29"/>
  <c r="K18" i="29" s="1"/>
  <c r="K24" i="32"/>
  <c r="K36" i="32" s="1"/>
  <c r="N12" i="55"/>
  <c r="T47" i="29"/>
  <c r="Q83" i="47" s="1"/>
  <c r="P30" i="32"/>
  <c r="AG30" i="32"/>
  <c r="W30" i="32"/>
  <c r="O29" i="32"/>
  <c r="X29" i="32"/>
  <c r="AH29" i="32"/>
  <c r="P33" i="29"/>
  <c r="AL47" i="29"/>
  <c r="AC47" i="29"/>
  <c r="Z83" i="47" s="1"/>
  <c r="G48" i="56" l="1"/>
  <c r="T48" i="56" s="1"/>
  <c r="P23" i="58"/>
  <c r="P14" i="58"/>
  <c r="O73" i="58"/>
  <c r="G73" i="58"/>
  <c r="F84" i="58"/>
  <c r="K73" i="58"/>
  <c r="K165" i="58" s="1"/>
  <c r="E36" i="32"/>
  <c r="O75" i="58"/>
  <c r="F86" i="58"/>
  <c r="G75" i="58"/>
  <c r="K75" i="58"/>
  <c r="K167" i="58" s="1"/>
  <c r="G78" i="58"/>
  <c r="K78" i="58"/>
  <c r="K170" i="58" s="1"/>
  <c r="O78" i="58"/>
  <c r="F89" i="58"/>
  <c r="O71" i="58"/>
  <c r="G71" i="58"/>
  <c r="F82" i="58"/>
  <c r="K71" i="58"/>
  <c r="K163" i="58" s="1"/>
  <c r="O31" i="58"/>
  <c r="O34" i="58" s="1"/>
  <c r="O72" i="58"/>
  <c r="G72" i="58"/>
  <c r="K72" i="58"/>
  <c r="K164" i="58" s="1"/>
  <c r="F83" i="58"/>
  <c r="G70" i="58"/>
  <c r="F81" i="58"/>
  <c r="O70" i="58"/>
  <c r="K70" i="58"/>
  <c r="K162" i="58" s="1"/>
  <c r="G74" i="58"/>
  <c r="O74" i="58"/>
  <c r="F85" i="58"/>
  <c r="K74" i="58"/>
  <c r="K166" i="58" s="1"/>
  <c r="J36" i="32"/>
  <c r="G60" i="56"/>
  <c r="G51" i="56" s="1"/>
  <c r="I25" i="44"/>
  <c r="I26" i="44" s="1"/>
  <c r="J35" i="44"/>
  <c r="Q10" i="58"/>
  <c r="E81" i="57"/>
  <c r="E108" i="57"/>
  <c r="E55" i="57"/>
  <c r="E97" i="57"/>
  <c r="S14" i="57"/>
  <c r="M14" i="57"/>
  <c r="K12" i="55"/>
  <c r="S15" i="57"/>
  <c r="E56" i="57"/>
  <c r="E109" i="57"/>
  <c r="E101" i="57"/>
  <c r="E86" i="57"/>
  <c r="M15" i="57"/>
  <c r="N7" i="56"/>
  <c r="T7" i="56" s="1"/>
  <c r="M47" i="57" s="1"/>
  <c r="E93" i="57"/>
  <c r="E16" i="57"/>
  <c r="E54" i="57"/>
  <c r="M13" i="57"/>
  <c r="S13" i="57"/>
  <c r="E107" i="57"/>
  <c r="E75" i="57"/>
  <c r="N14" i="55"/>
  <c r="K22" i="55"/>
  <c r="K38" i="55" s="1"/>
  <c r="F47" i="57"/>
  <c r="F49" i="57" s="1"/>
  <c r="S49" i="57" s="1"/>
  <c r="N19" i="55"/>
  <c r="N13" i="55"/>
  <c r="N15" i="55"/>
  <c r="N16" i="55"/>
  <c r="N18" i="55"/>
  <c r="N17" i="55"/>
  <c r="K18" i="55"/>
  <c r="K17" i="55"/>
  <c r="K16" i="55"/>
  <c r="K15" i="55"/>
  <c r="K35" i="55"/>
  <c r="K21" i="55"/>
  <c r="K20" i="55"/>
  <c r="K29" i="55"/>
  <c r="F86" i="57"/>
  <c r="F109" i="57"/>
  <c r="F101" i="57"/>
  <c r="K14" i="55"/>
  <c r="K10" i="55"/>
  <c r="K11" i="55"/>
  <c r="F107" i="57"/>
  <c r="F93" i="57"/>
  <c r="F75" i="57"/>
  <c r="F16" i="57"/>
  <c r="F108" i="57"/>
  <c r="F81" i="57"/>
  <c r="F97" i="57"/>
  <c r="N22" i="55"/>
  <c r="N171" i="56"/>
  <c r="T43" i="56"/>
  <c r="L171" i="56"/>
  <c r="M171" i="56" s="1"/>
  <c r="N21" i="55"/>
  <c r="N20" i="55"/>
  <c r="N10" i="55"/>
  <c r="N11"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Q21" i="32"/>
  <c r="Q45" i="32" s="1"/>
  <c r="T94" i="32"/>
  <c r="S73" i="32"/>
  <c r="S80" i="32" s="1"/>
  <c r="L19" i="55"/>
  <c r="N23" i="32"/>
  <c r="L24" i="32"/>
  <c r="L36" i="32" s="1"/>
  <c r="K23" i="32"/>
  <c r="K35" i="32" s="1"/>
  <c r="K22" i="32"/>
  <c r="L22" i="55"/>
  <c r="J22" i="32"/>
  <c r="M6" i="35"/>
  <c r="L6" i="35"/>
  <c r="J23" i="32"/>
  <c r="L28" i="29"/>
  <c r="O19" i="55"/>
  <c r="M24" i="32"/>
  <c r="M22" i="32"/>
  <c r="H7" i="56"/>
  <c r="H43" i="56" s="1"/>
  <c r="O6" i="35"/>
  <c r="O13" i="55"/>
  <c r="N24" i="32"/>
  <c r="N22" i="32"/>
  <c r="M23" i="32"/>
  <c r="U47" i="29"/>
  <c r="V47" i="29" s="1"/>
  <c r="AH30" i="32"/>
  <c r="Q30" i="32"/>
  <c r="X30" i="32"/>
  <c r="AI29" i="32"/>
  <c r="Y29" i="32"/>
  <c r="P29" i="32"/>
  <c r="AD47" i="29"/>
  <c r="AA83" i="47" s="1"/>
  <c r="M83" i="47"/>
  <c r="Q47" i="29"/>
  <c r="G47" i="56" l="1"/>
  <c r="N48" i="56"/>
  <c r="G46" i="56"/>
  <c r="G59" i="56"/>
  <c r="G86" i="56" s="1"/>
  <c r="G53" i="56"/>
  <c r="N175" i="56" s="1"/>
  <c r="L74" i="58"/>
  <c r="L166" i="58" s="1"/>
  <c r="L73" i="58"/>
  <c r="L165" i="58" s="1"/>
  <c r="L75" i="58"/>
  <c r="L167" i="58" s="1"/>
  <c r="H74" i="58"/>
  <c r="P74" i="58"/>
  <c r="Q74" i="58" s="1"/>
  <c r="R74" i="58"/>
  <c r="L78" i="58"/>
  <c r="F100" i="58"/>
  <c r="G89" i="58"/>
  <c r="K89" i="58"/>
  <c r="O89" i="58"/>
  <c r="L71" i="58"/>
  <c r="L72" i="58"/>
  <c r="O82" i="58"/>
  <c r="F93" i="58"/>
  <c r="G82" i="58"/>
  <c r="K82" i="58"/>
  <c r="H78" i="58"/>
  <c r="P78" i="58"/>
  <c r="Q78" i="58" s="1"/>
  <c r="R78" i="58"/>
  <c r="P31" i="58"/>
  <c r="P34" i="58" s="1"/>
  <c r="P35" i="58" s="1"/>
  <c r="P36" i="58" s="1"/>
  <c r="P24" i="58"/>
  <c r="L70" i="58"/>
  <c r="F94" i="58"/>
  <c r="G83" i="58"/>
  <c r="K83" i="58"/>
  <c r="O83" i="58"/>
  <c r="H71" i="58"/>
  <c r="P71" i="58"/>
  <c r="Q71" i="58" s="1"/>
  <c r="R71" i="58"/>
  <c r="H75" i="58"/>
  <c r="P75" i="58"/>
  <c r="Q75" i="58" s="1"/>
  <c r="R75" i="58"/>
  <c r="F97" i="58"/>
  <c r="G86" i="58"/>
  <c r="K86" i="58"/>
  <c r="O86" i="58"/>
  <c r="H72" i="58"/>
  <c r="P72" i="58"/>
  <c r="Q72" i="58" s="1"/>
  <c r="R72" i="58"/>
  <c r="G84" i="58"/>
  <c r="F95" i="58"/>
  <c r="K84" i="58"/>
  <c r="O84" i="58"/>
  <c r="Q23" i="58"/>
  <c r="Q31" i="58" s="1"/>
  <c r="Q34" i="58" s="1"/>
  <c r="Q35" i="58" s="1"/>
  <c r="Q14" i="58"/>
  <c r="G81" i="58"/>
  <c r="F92" i="58"/>
  <c r="O81" i="58"/>
  <c r="K81" i="58"/>
  <c r="H73" i="58"/>
  <c r="P73" i="58"/>
  <c r="Q73" i="58" s="1"/>
  <c r="R73" i="58"/>
  <c r="G85" i="58"/>
  <c r="F96" i="58"/>
  <c r="O85" i="58"/>
  <c r="K85" i="58"/>
  <c r="H70" i="58"/>
  <c r="P70" i="58"/>
  <c r="Q70" i="58" s="1"/>
  <c r="R70" i="58"/>
  <c r="O35" i="58"/>
  <c r="F98" i="58"/>
  <c r="F99" i="58"/>
  <c r="T60" i="56"/>
  <c r="T51" i="56" s="1"/>
  <c r="N60" i="56"/>
  <c r="N59" i="56" s="1"/>
  <c r="N86" i="56" s="1"/>
  <c r="AA77" i="56" s="1"/>
  <c r="G52" i="56"/>
  <c r="L174" i="56" s="1"/>
  <c r="M174" i="56" s="1"/>
  <c r="G56" i="56"/>
  <c r="L178" i="56" s="1"/>
  <c r="M178" i="56" s="1"/>
  <c r="G58" i="56"/>
  <c r="L180" i="56" s="1"/>
  <c r="M180" i="56" s="1"/>
  <c r="G54" i="56"/>
  <c r="N176" i="56" s="1"/>
  <c r="G57" i="56"/>
  <c r="N179" i="56" s="1"/>
  <c r="G55" i="56"/>
  <c r="N177" i="56" s="1"/>
  <c r="N83" i="47"/>
  <c r="O83" i="47"/>
  <c r="F50" i="57"/>
  <c r="F51" i="57" s="1"/>
  <c r="M49" i="57"/>
  <c r="M50" i="57" s="1"/>
  <c r="E123" i="57"/>
  <c r="M3" i="29"/>
  <c r="K35" i="44"/>
  <c r="S6" i="35"/>
  <c r="R10" i="58"/>
  <c r="J25" i="44"/>
  <c r="J26" i="44" s="1"/>
  <c r="E120" i="57"/>
  <c r="S47" i="57"/>
  <c r="O11" i="55"/>
  <c r="O10" i="55"/>
  <c r="O22" i="55"/>
  <c r="S54" i="57"/>
  <c r="S93" i="57"/>
  <c r="S16" i="57"/>
  <c r="S107" i="57"/>
  <c r="S75" i="57"/>
  <c r="H8" i="56"/>
  <c r="M107" i="57"/>
  <c r="M75" i="57"/>
  <c r="M54" i="57"/>
  <c r="M93" i="57"/>
  <c r="M16" i="57"/>
  <c r="E58" i="57"/>
  <c r="E61" i="57" s="1"/>
  <c r="E163" i="57"/>
  <c r="E162" i="57"/>
  <c r="J229" i="57" s="1"/>
  <c r="E161" i="57"/>
  <c r="E45" i="57"/>
  <c r="E117" i="57"/>
  <c r="E116" i="57"/>
  <c r="E115" i="57"/>
  <c r="M55" i="57"/>
  <c r="M108" i="57"/>
  <c r="M97" i="57"/>
  <c r="M81" i="57"/>
  <c r="E111" i="57"/>
  <c r="S108" i="57"/>
  <c r="S97" i="57"/>
  <c r="S55" i="57"/>
  <c r="S81" i="57"/>
  <c r="L12" i="55"/>
  <c r="L14" i="55"/>
  <c r="O14" i="55"/>
  <c r="S56" i="57"/>
  <c r="S101" i="57"/>
  <c r="S86" i="57"/>
  <c r="S109" i="57"/>
  <c r="M56" i="57"/>
  <c r="M101" i="57"/>
  <c r="M109" i="57"/>
  <c r="M86" i="57"/>
  <c r="E124" i="57"/>
  <c r="E125" i="57"/>
  <c r="E121" i="57"/>
  <c r="E119" i="57"/>
  <c r="L13" i="55"/>
  <c r="L5" i="29"/>
  <c r="L18" i="29" s="1"/>
  <c r="L24" i="29" s="1"/>
  <c r="O171" i="56"/>
  <c r="P171" i="56" s="1"/>
  <c r="T92" i="56"/>
  <c r="T76" i="56"/>
  <c r="F117" i="57"/>
  <c r="F115" i="57"/>
  <c r="F116" i="57"/>
  <c r="O20" i="55"/>
  <c r="O21" i="55"/>
  <c r="H9" i="56"/>
  <c r="O12" i="55"/>
  <c r="N92" i="56"/>
  <c r="L38" i="55"/>
  <c r="M38" i="55" s="1"/>
  <c r="N38" i="55" s="1"/>
  <c r="F125" i="57"/>
  <c r="F123" i="57"/>
  <c r="F124" i="57"/>
  <c r="L15" i="55"/>
  <c r="L16" i="55"/>
  <c r="L18" i="55"/>
  <c r="L17" i="55"/>
  <c r="K26" i="55"/>
  <c r="L35" i="55"/>
  <c r="M35" i="55" s="1"/>
  <c r="N35" i="55" s="1"/>
  <c r="O35" i="55" s="1"/>
  <c r="L10" i="55"/>
  <c r="L11" i="55"/>
  <c r="S50" i="57"/>
  <c r="S57" i="57"/>
  <c r="G103" i="56"/>
  <c r="G87" i="56"/>
  <c r="L172" i="56"/>
  <c r="M172" i="56" s="1"/>
  <c r="N172" i="56"/>
  <c r="N173" i="56"/>
  <c r="L173" i="56"/>
  <c r="M173" i="56" s="1"/>
  <c r="F121" i="57"/>
  <c r="F120" i="57"/>
  <c r="F119" i="57"/>
  <c r="H60" i="56"/>
  <c r="H48" i="56"/>
  <c r="N46" i="56"/>
  <c r="N47" i="56"/>
  <c r="N87" i="56" s="1"/>
  <c r="O16" i="55"/>
  <c r="O17" i="55"/>
  <c r="O18" i="55"/>
  <c r="O15" i="55"/>
  <c r="L21" i="55"/>
  <c r="L20" i="55"/>
  <c r="T46" i="56"/>
  <c r="T47" i="56"/>
  <c r="T87" i="56" s="1"/>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K22" i="29"/>
  <c r="L36" i="29"/>
  <c r="U94" i="32"/>
  <c r="T73" i="32"/>
  <c r="T80" i="32" s="1"/>
  <c r="S21" i="32"/>
  <c r="R21" i="32"/>
  <c r="R45" i="32" s="1"/>
  <c r="N25" i="32"/>
  <c r="N18" i="32" s="1"/>
  <c r="N34" i="32"/>
  <c r="N37" i="32" s="1"/>
  <c r="P13" i="55"/>
  <c r="M35" i="32"/>
  <c r="M38" i="32" s="1"/>
  <c r="M25" i="32"/>
  <c r="M18" i="32" s="1"/>
  <c r="M34" i="32"/>
  <c r="M37" i="32" s="1"/>
  <c r="M36" i="32"/>
  <c r="N35" i="32"/>
  <c r="N38" i="32" s="1"/>
  <c r="N36" i="32"/>
  <c r="P6" i="35"/>
  <c r="K34" i="32"/>
  <c r="K25" i="32"/>
  <c r="P19" i="55"/>
  <c r="K23" i="35"/>
  <c r="H8" i="47" s="1"/>
  <c r="K25" i="35"/>
  <c r="H6" i="47" s="1"/>
  <c r="K26" i="35"/>
  <c r="H7" i="47" s="1"/>
  <c r="K24" i="35"/>
  <c r="H9" i="47" s="1"/>
  <c r="K22" i="35"/>
  <c r="H5" i="47" s="1"/>
  <c r="K38" i="32"/>
  <c r="E22" i="32"/>
  <c r="J34" i="32"/>
  <c r="J37" i="32" s="1"/>
  <c r="J25" i="32"/>
  <c r="J35" i="32"/>
  <c r="E23" i="32"/>
  <c r="L23" i="32"/>
  <c r="L22" i="32"/>
  <c r="R83" i="47"/>
  <c r="Y30" i="32"/>
  <c r="AI30" i="32"/>
  <c r="Z29" i="32"/>
  <c r="AJ29" i="32"/>
  <c r="Q29" i="32"/>
  <c r="AE47" i="29"/>
  <c r="S83" i="47"/>
  <c r="W47" i="29"/>
  <c r="L175" i="56" l="1"/>
  <c r="M175" i="56" s="1"/>
  <c r="L177" i="56"/>
  <c r="M177" i="56" s="1"/>
  <c r="G102" i="56"/>
  <c r="L179" i="56"/>
  <c r="M179" i="56" s="1"/>
  <c r="M73" i="58"/>
  <c r="M75" i="58"/>
  <c r="M167" i="58" s="1"/>
  <c r="G89" i="56"/>
  <c r="T55" i="56"/>
  <c r="N54" i="56"/>
  <c r="N97" i="56" s="1"/>
  <c r="N174" i="56"/>
  <c r="M74" i="58"/>
  <c r="L176" i="56"/>
  <c r="M176" i="56" s="1"/>
  <c r="T58" i="56"/>
  <c r="T101" i="56" s="1"/>
  <c r="N57" i="56"/>
  <c r="N100" i="56" s="1"/>
  <c r="N52" i="56"/>
  <c r="N79" i="56" s="1"/>
  <c r="N53" i="56"/>
  <c r="N96" i="56" s="1"/>
  <c r="N56" i="56"/>
  <c r="N99" i="56" s="1"/>
  <c r="N58" i="56"/>
  <c r="N85" i="56" s="1"/>
  <c r="N55" i="56"/>
  <c r="N82" i="56" s="1"/>
  <c r="T54" i="56"/>
  <c r="T81" i="56" s="1"/>
  <c r="N51" i="56"/>
  <c r="N78" i="56" s="1"/>
  <c r="T53" i="56"/>
  <c r="T96" i="56" s="1"/>
  <c r="T52" i="56"/>
  <c r="T79" i="56" s="1"/>
  <c r="T59" i="56"/>
  <c r="T86" i="56" s="1"/>
  <c r="T57" i="56"/>
  <c r="T100" i="56" s="1"/>
  <c r="T56" i="56"/>
  <c r="T99" i="56" s="1"/>
  <c r="I70" i="58"/>
  <c r="S70" i="58"/>
  <c r="T70" i="58" s="1"/>
  <c r="AB70" i="58"/>
  <c r="L163" i="58"/>
  <c r="M71" i="58"/>
  <c r="I72" i="58"/>
  <c r="S72" i="58"/>
  <c r="T72" i="58" s="1"/>
  <c r="AB72" i="58"/>
  <c r="L84" i="58"/>
  <c r="K189" i="58"/>
  <c r="K177" i="58"/>
  <c r="K200" i="58"/>
  <c r="K211" i="58"/>
  <c r="L85" i="58"/>
  <c r="K201" i="58"/>
  <c r="K212" i="58"/>
  <c r="K178" i="58"/>
  <c r="K190" i="58"/>
  <c r="G95" i="58"/>
  <c r="K95" i="58"/>
  <c r="K154" i="58" s="1"/>
  <c r="O95" i="58"/>
  <c r="O154" i="58" s="1"/>
  <c r="H83" i="58"/>
  <c r="P83" i="58"/>
  <c r="Q83" i="58" s="1"/>
  <c r="R83" i="58"/>
  <c r="L89" i="58"/>
  <c r="K205" i="58"/>
  <c r="K194" i="58"/>
  <c r="K182" i="58"/>
  <c r="K216" i="58"/>
  <c r="L170" i="58"/>
  <c r="M78" i="58"/>
  <c r="H84" i="58"/>
  <c r="P84" i="58"/>
  <c r="Q84" i="58" s="1"/>
  <c r="R84" i="58"/>
  <c r="G94" i="58"/>
  <c r="K94" i="58"/>
  <c r="K153" i="58" s="1"/>
  <c r="O94" i="58"/>
  <c r="O153" i="58" s="1"/>
  <c r="L82" i="58"/>
  <c r="K187" i="58"/>
  <c r="K175" i="58"/>
  <c r="K198" i="58"/>
  <c r="K209" i="58"/>
  <c r="H89" i="58"/>
  <c r="P89" i="58"/>
  <c r="Q89" i="58" s="1"/>
  <c r="R89" i="58"/>
  <c r="G96" i="58"/>
  <c r="K96" i="58"/>
  <c r="K155" i="58" s="1"/>
  <c r="O96" i="58"/>
  <c r="O155" i="58" s="1"/>
  <c r="L86" i="58"/>
  <c r="K179" i="58"/>
  <c r="K213" i="58"/>
  <c r="K202" i="58"/>
  <c r="K191" i="58"/>
  <c r="L162" i="58"/>
  <c r="M70" i="58"/>
  <c r="H82" i="58"/>
  <c r="P82" i="58"/>
  <c r="Q82" i="58" s="1"/>
  <c r="R82" i="58"/>
  <c r="K100" i="58"/>
  <c r="K159" i="58" s="1"/>
  <c r="G100" i="58"/>
  <c r="O100" i="58"/>
  <c r="O159" i="58" s="1"/>
  <c r="I74" i="58"/>
  <c r="S74" i="58"/>
  <c r="T74" i="58" s="1"/>
  <c r="AB74" i="58"/>
  <c r="N178" i="56"/>
  <c r="H85" i="58"/>
  <c r="P85" i="58"/>
  <c r="Q85" i="58" s="1"/>
  <c r="R85" i="58"/>
  <c r="H86" i="58"/>
  <c r="P86" i="58"/>
  <c r="Q86" i="58" s="1"/>
  <c r="R86" i="58"/>
  <c r="O93" i="58"/>
  <c r="O152" i="58" s="1"/>
  <c r="G93" i="58"/>
  <c r="K93" i="58"/>
  <c r="K152" i="58" s="1"/>
  <c r="G99" i="58"/>
  <c r="K99" i="58"/>
  <c r="K158" i="58" s="1"/>
  <c r="K240" i="58" s="1"/>
  <c r="K255" i="58" s="1"/>
  <c r="H116" i="47" s="1"/>
  <c r="O99" i="58"/>
  <c r="O158" i="58" s="1"/>
  <c r="L81" i="58"/>
  <c r="K208" i="58"/>
  <c r="K197" i="58"/>
  <c r="K186" i="58"/>
  <c r="K174" i="58"/>
  <c r="O97" i="58"/>
  <c r="O156" i="58" s="1"/>
  <c r="G97" i="58"/>
  <c r="K97" i="58"/>
  <c r="K156" i="58" s="1"/>
  <c r="I75" i="58"/>
  <c r="S75" i="58"/>
  <c r="T75" i="58" s="1"/>
  <c r="AB75" i="58"/>
  <c r="I78" i="58"/>
  <c r="S78" i="58"/>
  <c r="T78" i="58" s="1"/>
  <c r="AB78" i="58"/>
  <c r="K98" i="58"/>
  <c r="K157" i="58" s="1"/>
  <c r="K239" i="58" s="1"/>
  <c r="K254" i="58" s="1"/>
  <c r="H110" i="47" s="1"/>
  <c r="G98" i="58"/>
  <c r="O98" i="58"/>
  <c r="O157" i="58" s="1"/>
  <c r="Q24" i="58"/>
  <c r="L164" i="58"/>
  <c r="M72" i="58"/>
  <c r="L83" i="58"/>
  <c r="K188" i="58"/>
  <c r="K210" i="58"/>
  <c r="K199" i="58"/>
  <c r="K176" i="58"/>
  <c r="E35" i="32"/>
  <c r="E38" i="32" s="1"/>
  <c r="O168" i="58"/>
  <c r="O164" i="58"/>
  <c r="O162" i="58"/>
  <c r="O166" i="58"/>
  <c r="O165" i="58"/>
  <c r="O167" i="58"/>
  <c r="O163" i="58"/>
  <c r="O170" i="58"/>
  <c r="O169" i="58"/>
  <c r="O36" i="58"/>
  <c r="O41" i="58" s="1"/>
  <c r="I73" i="58"/>
  <c r="S73" i="58"/>
  <c r="T73" i="58" s="1"/>
  <c r="AB73" i="58"/>
  <c r="G92" i="58"/>
  <c r="K92" i="58"/>
  <c r="K151" i="58" s="1"/>
  <c r="O92" i="58"/>
  <c r="O151" i="58" s="1"/>
  <c r="P167" i="58"/>
  <c r="P163" i="58"/>
  <c r="P162" i="58"/>
  <c r="P165" i="58"/>
  <c r="P168" i="58"/>
  <c r="P164" i="58"/>
  <c r="P166" i="58"/>
  <c r="P170" i="58"/>
  <c r="P169" i="58"/>
  <c r="Q36" i="58"/>
  <c r="Q41" i="58" s="1"/>
  <c r="Q167" i="58"/>
  <c r="Q166" i="58"/>
  <c r="Q168" i="58"/>
  <c r="Q170" i="58"/>
  <c r="Q165" i="58"/>
  <c r="Q162" i="58"/>
  <c r="Q164" i="58"/>
  <c r="Q163" i="58"/>
  <c r="Q169" i="58"/>
  <c r="H81" i="58"/>
  <c r="P81" i="58"/>
  <c r="Q81" i="58" s="1"/>
  <c r="R81" i="58"/>
  <c r="I71" i="58"/>
  <c r="S71" i="58"/>
  <c r="T71" i="58" s="1"/>
  <c r="AB71" i="58"/>
  <c r="M165" i="58"/>
  <c r="N73" i="58"/>
  <c r="N165" i="58" s="1"/>
  <c r="R14" i="58"/>
  <c r="R23" i="58"/>
  <c r="F54" i="57"/>
  <c r="F55" i="57"/>
  <c r="S161" i="57"/>
  <c r="F56" i="57"/>
  <c r="F110" i="57"/>
  <c r="F111" i="57" s="1"/>
  <c r="E248" i="57" s="1"/>
  <c r="M255" i="57" s="1"/>
  <c r="N180" i="56"/>
  <c r="M57" i="57"/>
  <c r="M163" i="57" s="1"/>
  <c r="D250" i="57"/>
  <c r="J257" i="57" s="1"/>
  <c r="E149" i="57"/>
  <c r="E151" i="57"/>
  <c r="E188" i="57" s="1"/>
  <c r="E150" i="57"/>
  <c r="E187" i="57" s="1"/>
  <c r="M120" i="57"/>
  <c r="L35" i="44"/>
  <c r="S10" i="58"/>
  <c r="K25" i="44"/>
  <c r="K26" i="44" s="1"/>
  <c r="O38" i="55"/>
  <c r="P12" i="55"/>
  <c r="D249" i="57"/>
  <c r="J256" i="57" s="1"/>
  <c r="P14" i="55"/>
  <c r="L30" i="55"/>
  <c r="M30" i="55" s="1"/>
  <c r="N30" i="55" s="1"/>
  <c r="O30" i="55" s="1"/>
  <c r="D248" i="57"/>
  <c r="J255" i="57" s="1"/>
  <c r="E129" i="57"/>
  <c r="E155" i="57" s="1"/>
  <c r="E128" i="57"/>
  <c r="E156" i="57" s="1"/>
  <c r="E193" i="57" s="1"/>
  <c r="E59" i="57"/>
  <c r="E60" i="57" s="1"/>
  <c r="M123" i="57"/>
  <c r="M124" i="57"/>
  <c r="M125" i="57"/>
  <c r="M117" i="57"/>
  <c r="M116" i="57"/>
  <c r="M115" i="57"/>
  <c r="P11" i="55"/>
  <c r="S121" i="57"/>
  <c r="S119" i="57"/>
  <c r="S120" i="57"/>
  <c r="E127" i="57"/>
  <c r="E154" i="57" s="1"/>
  <c r="P10" i="55"/>
  <c r="F128" i="57"/>
  <c r="F156" i="57" s="1"/>
  <c r="F168" i="57" s="1"/>
  <c r="S115" i="57"/>
  <c r="S117" i="57"/>
  <c r="S116" i="57"/>
  <c r="S124" i="57"/>
  <c r="S123" i="57"/>
  <c r="S125" i="57"/>
  <c r="L16" i="29"/>
  <c r="J228" i="57"/>
  <c r="L17" i="29"/>
  <c r="L26" i="55"/>
  <c r="M26" i="55" s="1"/>
  <c r="N26" i="55" s="1"/>
  <c r="O26" i="55" s="1"/>
  <c r="L29" i="55"/>
  <c r="M29" i="55" s="1"/>
  <c r="N29" i="55" s="1"/>
  <c r="O29" i="55" s="1"/>
  <c r="P29" i="55" s="1"/>
  <c r="P22" i="55"/>
  <c r="M121" i="57"/>
  <c r="M119" i="57"/>
  <c r="J230" i="57"/>
  <c r="N122" i="56"/>
  <c r="M143" i="56" s="1"/>
  <c r="J98" i="47" s="1"/>
  <c r="L122" i="56"/>
  <c r="K143" i="56" s="1"/>
  <c r="H98" i="47" s="1"/>
  <c r="F57" i="57"/>
  <c r="N93" i="56"/>
  <c r="N77" i="56"/>
  <c r="H46" i="56"/>
  <c r="H47" i="56"/>
  <c r="H51" i="56"/>
  <c r="H59" i="56"/>
  <c r="H56" i="56"/>
  <c r="H55" i="56"/>
  <c r="H58" i="56"/>
  <c r="H57" i="56"/>
  <c r="H54" i="56"/>
  <c r="H53" i="56"/>
  <c r="H52" i="56"/>
  <c r="S162" i="57"/>
  <c r="S163" i="57"/>
  <c r="S58" i="57"/>
  <c r="S59" i="57" s="1"/>
  <c r="S60" i="57" s="1"/>
  <c r="M51" i="57"/>
  <c r="M110" i="57"/>
  <c r="M111" i="57" s="1"/>
  <c r="O23" i="32"/>
  <c r="O35" i="32" s="1"/>
  <c r="O38" i="32" s="1"/>
  <c r="G14" i="57"/>
  <c r="S110" i="57"/>
  <c r="S111" i="57" s="1"/>
  <c r="S51" i="57"/>
  <c r="T78" i="56"/>
  <c r="T94" i="56"/>
  <c r="P20" i="55"/>
  <c r="P21" i="55"/>
  <c r="P37" i="55" s="1"/>
  <c r="P16" i="55"/>
  <c r="P32" i="55" s="1"/>
  <c r="P15" i="55"/>
  <c r="P17" i="55"/>
  <c r="P33" i="55" s="1"/>
  <c r="P18" i="55"/>
  <c r="P34" i="55" s="1"/>
  <c r="N81" i="56"/>
  <c r="N94" i="56"/>
  <c r="F127" i="57"/>
  <c r="F154" i="57" s="1"/>
  <c r="N84" i="56"/>
  <c r="T93" i="56"/>
  <c r="T77" i="56"/>
  <c r="P35" i="55"/>
  <c r="O22" i="32"/>
  <c r="G13" i="57"/>
  <c r="O24" i="32"/>
  <c r="O36" i="32" s="1"/>
  <c r="G15" i="57"/>
  <c r="N121" i="56"/>
  <c r="M142" i="56" s="1"/>
  <c r="J97" i="47" s="1"/>
  <c r="L121" i="56"/>
  <c r="K142" i="56" s="1"/>
  <c r="H97" i="47" s="1"/>
  <c r="T82" i="56"/>
  <c r="T98" i="56"/>
  <c r="F129" i="57"/>
  <c r="F155" i="57" s="1"/>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K50" i="29"/>
  <c r="M50" i="29"/>
  <c r="K49" i="29"/>
  <c r="M49" i="29"/>
  <c r="V94" i="32"/>
  <c r="U73" i="32"/>
  <c r="U80" i="32" s="1"/>
  <c r="F45" i="32"/>
  <c r="H21" i="57" s="1"/>
  <c r="R22" i="32"/>
  <c r="R24" i="32"/>
  <c r="R23" i="32"/>
  <c r="M28" i="29"/>
  <c r="M36" i="29" s="1"/>
  <c r="R51" i="29" s="1"/>
  <c r="M5" i="29"/>
  <c r="T6" i="35"/>
  <c r="L51" i="29"/>
  <c r="H108" i="47"/>
  <c r="N19" i="32"/>
  <c r="L25" i="35"/>
  <c r="I6" i="47" s="1"/>
  <c r="N17" i="32"/>
  <c r="J38" i="32"/>
  <c r="M19" i="32"/>
  <c r="L23" i="35"/>
  <c r="K18" i="32"/>
  <c r="K17" i="32"/>
  <c r="K19" i="32"/>
  <c r="L24" i="35"/>
  <c r="K37" i="32"/>
  <c r="K39" i="32" s="1"/>
  <c r="R6" i="35"/>
  <c r="Q6" i="35"/>
  <c r="E34" i="32"/>
  <c r="E37" i="32" s="1"/>
  <c r="E25" i="32"/>
  <c r="E18" i="32" s="1"/>
  <c r="L22" i="35"/>
  <c r="L25" i="32"/>
  <c r="L34" i="32"/>
  <c r="P22" i="32"/>
  <c r="P24" i="32"/>
  <c r="L35" i="32"/>
  <c r="L38" i="32" s="1"/>
  <c r="L26" i="35"/>
  <c r="M17" i="32"/>
  <c r="P23" i="32"/>
  <c r="Q23" i="32"/>
  <c r="K48" i="29"/>
  <c r="H84" i="47" s="1"/>
  <c r="M48" i="29"/>
  <c r="AJ30" i="32"/>
  <c r="Z30" i="32"/>
  <c r="AK29" i="32"/>
  <c r="AA29" i="32"/>
  <c r="AB83" i="47"/>
  <c r="AF47" i="29"/>
  <c r="T83" i="47"/>
  <c r="X47" i="29"/>
  <c r="T95" i="56" l="1"/>
  <c r="T83" i="56"/>
  <c r="T85" i="56"/>
  <c r="M58" i="57"/>
  <c r="N75" i="58"/>
  <c r="N167" i="58" s="1"/>
  <c r="N80" i="56"/>
  <c r="M162" i="57"/>
  <c r="N95" i="56"/>
  <c r="N101" i="56"/>
  <c r="N83" i="56"/>
  <c r="T97" i="56"/>
  <c r="N98" i="56"/>
  <c r="K235" i="58"/>
  <c r="K250" i="58" s="1"/>
  <c r="H112" i="47" s="1"/>
  <c r="M166" i="58"/>
  <c r="N74" i="58"/>
  <c r="N166" i="58" s="1"/>
  <c r="T80" i="56"/>
  <c r="T84" i="56"/>
  <c r="L94" i="58"/>
  <c r="U72" i="58"/>
  <c r="V72" i="58" s="1"/>
  <c r="L100" i="58"/>
  <c r="L159" i="58" s="1"/>
  <c r="U73" i="58"/>
  <c r="U75" i="58"/>
  <c r="U74" i="58"/>
  <c r="AC72" i="58"/>
  <c r="AV72" i="58"/>
  <c r="L186" i="58"/>
  <c r="L208" i="58"/>
  <c r="L197" i="58"/>
  <c r="L174" i="58"/>
  <c r="M81" i="58"/>
  <c r="AC75" i="58"/>
  <c r="AV75" i="58"/>
  <c r="I82" i="58"/>
  <c r="S82" i="58"/>
  <c r="T82" i="58" s="1"/>
  <c r="U82" i="58" s="1"/>
  <c r="V82" i="58" s="1"/>
  <c r="W82" i="58" s="1"/>
  <c r="X82" i="58" s="1"/>
  <c r="Y82" i="58" s="1"/>
  <c r="Z82" i="58" s="1"/>
  <c r="AA82" i="58" s="1"/>
  <c r="AB82" i="58"/>
  <c r="L212" i="58"/>
  <c r="L201" i="58"/>
  <c r="L178" i="58"/>
  <c r="L190" i="58"/>
  <c r="M85" i="58"/>
  <c r="K236" i="58"/>
  <c r="K251" i="58" s="1"/>
  <c r="H113" i="47" s="1"/>
  <c r="M163" i="58"/>
  <c r="N71" i="58"/>
  <c r="N163" i="58" s="1"/>
  <c r="R31" i="58"/>
  <c r="R34" i="58" s="1"/>
  <c r="R35" i="58" s="1"/>
  <c r="R36" i="58" s="1"/>
  <c r="R41" i="58" s="1"/>
  <c r="AC71" i="58"/>
  <c r="AV71" i="58"/>
  <c r="L98" i="58"/>
  <c r="AC78" i="58"/>
  <c r="AV78" i="58"/>
  <c r="M162" i="58"/>
  <c r="N70" i="58"/>
  <c r="N162" i="58" s="1"/>
  <c r="P96" i="58"/>
  <c r="P155" i="58" s="1"/>
  <c r="H96" i="58"/>
  <c r="R96" i="58"/>
  <c r="I83" i="58"/>
  <c r="S83" i="58"/>
  <c r="T83" i="58" s="1"/>
  <c r="U83" i="58" s="1"/>
  <c r="V83" i="58" s="1"/>
  <c r="W83" i="58" s="1"/>
  <c r="X83" i="58" s="1"/>
  <c r="Y83" i="58" s="1"/>
  <c r="Z83" i="58" s="1"/>
  <c r="AA83" i="58" s="1"/>
  <c r="AB83" i="58"/>
  <c r="K223" i="58"/>
  <c r="K261" i="58" s="1"/>
  <c r="H122" i="47" s="1"/>
  <c r="E31" i="32"/>
  <c r="E19" i="32"/>
  <c r="Q43" i="58"/>
  <c r="Q45" i="58"/>
  <c r="Q44" i="58"/>
  <c r="Q46" i="58"/>
  <c r="L92" i="58"/>
  <c r="AC73" i="58"/>
  <c r="AV73" i="58"/>
  <c r="E17" i="32"/>
  <c r="L99" i="58"/>
  <c r="I86" i="58"/>
  <c r="S86" i="58"/>
  <c r="T86" i="58" s="1"/>
  <c r="U86" i="58" s="1"/>
  <c r="V86" i="58" s="1"/>
  <c r="W86" i="58" s="1"/>
  <c r="X86" i="58" s="1"/>
  <c r="Y86" i="58" s="1"/>
  <c r="Z86" i="58" s="1"/>
  <c r="AA86" i="58" s="1"/>
  <c r="AB86" i="58"/>
  <c r="L189" i="58"/>
  <c r="L211" i="58"/>
  <c r="L177" i="58"/>
  <c r="L200" i="58"/>
  <c r="M84" i="58"/>
  <c r="O45" i="58"/>
  <c r="O51" i="58" s="1"/>
  <c r="O46" i="58"/>
  <c r="O52" i="58" s="1"/>
  <c r="O44" i="58"/>
  <c r="O50" i="58" s="1"/>
  <c r="O43" i="58"/>
  <c r="O49" i="58" s="1"/>
  <c r="R98" i="58"/>
  <c r="H98" i="58"/>
  <c r="P98" i="58"/>
  <c r="P157" i="58" s="1"/>
  <c r="P41" i="58"/>
  <c r="L97" i="58"/>
  <c r="AC74" i="58"/>
  <c r="AV74" i="58"/>
  <c r="K225" i="58"/>
  <c r="K263" i="58" s="1"/>
  <c r="H126" i="47" s="1"/>
  <c r="R94" i="58"/>
  <c r="H94" i="58"/>
  <c r="P94" i="58"/>
  <c r="P153" i="58" s="1"/>
  <c r="I81" i="58"/>
  <c r="S81" i="58"/>
  <c r="T81" i="58" s="1"/>
  <c r="U81" i="58" s="1"/>
  <c r="V81" i="58" s="1"/>
  <c r="W81" i="58" s="1"/>
  <c r="X81" i="58" s="1"/>
  <c r="Y81" i="58" s="1"/>
  <c r="Z81" i="58" s="1"/>
  <c r="AA81" i="58" s="1"/>
  <c r="AB81" i="58"/>
  <c r="I89" i="58"/>
  <c r="S89" i="58"/>
  <c r="T89" i="58" s="1"/>
  <c r="U89" i="58" s="1"/>
  <c r="V89" i="58" s="1"/>
  <c r="W89" i="58" s="1"/>
  <c r="X89" i="58" s="1"/>
  <c r="Y89" i="58" s="1"/>
  <c r="Z89" i="58" s="1"/>
  <c r="AA89" i="58" s="1"/>
  <c r="AB89" i="58"/>
  <c r="M170" i="58"/>
  <c r="N78" i="58"/>
  <c r="N170" i="58" s="1"/>
  <c r="L95" i="58"/>
  <c r="H92" i="58"/>
  <c r="P92" i="58"/>
  <c r="P151" i="58" s="1"/>
  <c r="R92" i="58"/>
  <c r="R151" i="58" s="1"/>
  <c r="R97" i="58"/>
  <c r="H97" i="58"/>
  <c r="P97" i="58"/>
  <c r="P156" i="58" s="1"/>
  <c r="R99" i="58"/>
  <c r="H99" i="58"/>
  <c r="P99" i="58"/>
  <c r="P158" i="58" s="1"/>
  <c r="I85" i="58"/>
  <c r="S85" i="58"/>
  <c r="T85" i="58" s="1"/>
  <c r="U85" i="58" s="1"/>
  <c r="V85" i="58" s="1"/>
  <c r="W85" i="58" s="1"/>
  <c r="X85" i="58" s="1"/>
  <c r="Y85" i="58" s="1"/>
  <c r="Z85" i="58" s="1"/>
  <c r="AA85" i="58" s="1"/>
  <c r="AB85" i="58"/>
  <c r="S14" i="58"/>
  <c r="S23" i="58"/>
  <c r="K222" i="58"/>
  <c r="K260" i="58" s="1"/>
  <c r="H121" i="47" s="1"/>
  <c r="K238" i="58"/>
  <c r="K253" i="58" s="1"/>
  <c r="H117" i="47" s="1"/>
  <c r="I84" i="58"/>
  <c r="S84" i="58"/>
  <c r="T84" i="58" s="1"/>
  <c r="U84" i="58" s="1"/>
  <c r="V84" i="58" s="1"/>
  <c r="W84" i="58" s="1"/>
  <c r="X84" i="58" s="1"/>
  <c r="Y84" i="58" s="1"/>
  <c r="Z84" i="58" s="1"/>
  <c r="AA84" i="58" s="1"/>
  <c r="AB84" i="58"/>
  <c r="L176" i="58"/>
  <c r="L210" i="58"/>
  <c r="L199" i="58"/>
  <c r="L188" i="58"/>
  <c r="M83" i="58"/>
  <c r="K233" i="58"/>
  <c r="K248" i="58" s="1"/>
  <c r="H109" i="47" s="1"/>
  <c r="M86" i="58"/>
  <c r="L179" i="58"/>
  <c r="L202" i="58"/>
  <c r="L213" i="58"/>
  <c r="L191" i="58"/>
  <c r="K234" i="58"/>
  <c r="K249" i="58" s="1"/>
  <c r="H111" i="47" s="1"/>
  <c r="K241" i="58"/>
  <c r="K256" i="58" s="1"/>
  <c r="H114" i="47" s="1"/>
  <c r="H95" i="58"/>
  <c r="P95" i="58"/>
  <c r="P154" i="58" s="1"/>
  <c r="R95" i="58"/>
  <c r="U70" i="58"/>
  <c r="M164" i="58"/>
  <c r="N72" i="58"/>
  <c r="N164" i="58" s="1"/>
  <c r="K220" i="58"/>
  <c r="L93" i="58"/>
  <c r="H100" i="58"/>
  <c r="P100" i="58"/>
  <c r="P159" i="58" s="1"/>
  <c r="R100" i="58"/>
  <c r="K221" i="58"/>
  <c r="K259" i="58" s="1"/>
  <c r="H120" i="47" s="1"/>
  <c r="K228" i="58"/>
  <c r="K266" i="58" s="1"/>
  <c r="H123" i="47" s="1"/>
  <c r="K224" i="58"/>
  <c r="K262" i="58" s="1"/>
  <c r="H124" i="47" s="1"/>
  <c r="M82" i="58"/>
  <c r="L198" i="58"/>
  <c r="L175" i="58"/>
  <c r="L187" i="58"/>
  <c r="L209" i="58"/>
  <c r="K237" i="58"/>
  <c r="K252" i="58" s="1"/>
  <c r="H115" i="47" s="1"/>
  <c r="U71" i="58"/>
  <c r="R24" i="58"/>
  <c r="U78" i="58"/>
  <c r="H93" i="58"/>
  <c r="P93" i="58"/>
  <c r="P152" i="58" s="1"/>
  <c r="R93" i="58"/>
  <c r="L96" i="58"/>
  <c r="M89" i="58"/>
  <c r="L194" i="58"/>
  <c r="L205" i="58"/>
  <c r="L182" i="58"/>
  <c r="L216" i="58"/>
  <c r="AC70" i="58"/>
  <c r="AV70" i="58"/>
  <c r="AA76" i="56"/>
  <c r="AA79" i="56" s="1"/>
  <c r="AA80" i="56" s="1"/>
  <c r="P27" i="55"/>
  <c r="M135" i="47" s="1"/>
  <c r="F161" i="57"/>
  <c r="E249" i="57"/>
  <c r="M256" i="57" s="1"/>
  <c r="E250" i="57"/>
  <c r="K257" i="57" s="1"/>
  <c r="L257" i="57" s="1"/>
  <c r="F150" i="57"/>
  <c r="F187" i="57" s="1"/>
  <c r="N201" i="57" s="1"/>
  <c r="F149" i="57"/>
  <c r="F186" i="57" s="1"/>
  <c r="F151" i="57"/>
  <c r="F188" i="57" s="1"/>
  <c r="N202" i="57" s="1"/>
  <c r="M161" i="57"/>
  <c r="J108" i="47"/>
  <c r="F193" i="57"/>
  <c r="N207" i="57" s="1"/>
  <c r="BH201" i="57"/>
  <c r="L187" i="57"/>
  <c r="BG215" i="57"/>
  <c r="J215" i="57"/>
  <c r="G102" i="47" s="1"/>
  <c r="K201" i="57"/>
  <c r="L188" i="57"/>
  <c r="BG216" i="57"/>
  <c r="BH202" i="57"/>
  <c r="J216" i="57"/>
  <c r="G101" i="47" s="1"/>
  <c r="K202" i="57"/>
  <c r="E112" i="57"/>
  <c r="E186" i="57"/>
  <c r="P30" i="55"/>
  <c r="M35" i="44"/>
  <c r="U6" i="35"/>
  <c r="T10" i="58"/>
  <c r="L25" i="44"/>
  <c r="L26" i="44" s="1"/>
  <c r="S22" i="32"/>
  <c r="S24" i="32"/>
  <c r="S36" i="32" s="1"/>
  <c r="S23" i="32"/>
  <c r="S35" i="32" s="1"/>
  <c r="S38" i="32" s="1"/>
  <c r="S45" i="32"/>
  <c r="E153" i="57"/>
  <c r="E165" i="57" s="1"/>
  <c r="M128" i="57"/>
  <c r="M156" i="57" s="1"/>
  <c r="M168" i="57" s="1"/>
  <c r="E168" i="57"/>
  <c r="J235" i="57" s="1"/>
  <c r="D252" i="57"/>
  <c r="J259" i="57" s="1"/>
  <c r="N89" i="56"/>
  <c r="N73" i="56" s="1"/>
  <c r="O25" i="32"/>
  <c r="O18" i="32" s="1"/>
  <c r="K255" i="57"/>
  <c r="L255" i="57" s="1"/>
  <c r="P38" i="55"/>
  <c r="D251" i="57"/>
  <c r="J258" i="57" s="1"/>
  <c r="P26" i="55"/>
  <c r="O34" i="32"/>
  <c r="O37" i="32" s="1"/>
  <c r="M127" i="57"/>
  <c r="M154" i="57" s="1"/>
  <c r="M166" i="57" s="1"/>
  <c r="M129" i="57"/>
  <c r="M152" i="57" s="1"/>
  <c r="M164" i="57" s="1"/>
  <c r="S127" i="57"/>
  <c r="S154" i="57" s="1"/>
  <c r="S166" i="57" s="1"/>
  <c r="E191" i="57"/>
  <c r="E166" i="57"/>
  <c r="E192" i="57"/>
  <c r="E167" i="57"/>
  <c r="BH207" i="57"/>
  <c r="BI207" i="57" s="1"/>
  <c r="L193" i="57"/>
  <c r="BG221" i="57"/>
  <c r="BH221" i="57" s="1"/>
  <c r="S128" i="57"/>
  <c r="S156" i="57" s="1"/>
  <c r="S168" i="57" s="1"/>
  <c r="S129" i="57"/>
  <c r="D253" i="57"/>
  <c r="J260" i="57" s="1"/>
  <c r="S61" i="57"/>
  <c r="N181" i="56"/>
  <c r="M235" i="57"/>
  <c r="P31" i="55"/>
  <c r="O173" i="56"/>
  <c r="P173" i="56" s="1"/>
  <c r="N182" i="56"/>
  <c r="H86" i="56"/>
  <c r="AG77" i="56" s="1"/>
  <c r="AG79" i="56" s="1"/>
  <c r="AG80" i="56" s="1"/>
  <c r="H102" i="56"/>
  <c r="E251" i="57"/>
  <c r="M131" i="47"/>
  <c r="G16" i="57"/>
  <c r="G81" i="57"/>
  <c r="G108" i="57"/>
  <c r="G97" i="57"/>
  <c r="L181" i="56"/>
  <c r="M130" i="47"/>
  <c r="M127" i="47"/>
  <c r="N32" i="57"/>
  <c r="T32" i="57" s="1"/>
  <c r="G21" i="57"/>
  <c r="G101" i="57"/>
  <c r="G86" i="57"/>
  <c r="H87" i="56"/>
  <c r="H103" i="56"/>
  <c r="L182" i="56"/>
  <c r="M134" i="47"/>
  <c r="O174" i="56"/>
  <c r="P174" i="56" s="1"/>
  <c r="O172" i="56"/>
  <c r="P172" i="56" s="1"/>
  <c r="G107" i="57"/>
  <c r="G75" i="57"/>
  <c r="G93" i="57"/>
  <c r="P36" i="55"/>
  <c r="E253" i="57"/>
  <c r="O175" i="56"/>
  <c r="P175" i="56" s="1"/>
  <c r="O176" i="56"/>
  <c r="P176" i="56" s="1"/>
  <c r="O179" i="56"/>
  <c r="P179" i="56" s="1"/>
  <c r="M61" i="57"/>
  <c r="F58" i="57"/>
  <c r="M59" i="57"/>
  <c r="E252" i="57"/>
  <c r="O180" i="56"/>
  <c r="P180" i="56" s="1"/>
  <c r="F191" i="57"/>
  <c r="F166" i="57"/>
  <c r="S151" i="57"/>
  <c r="S149" i="57"/>
  <c r="S150" i="57"/>
  <c r="M151" i="57"/>
  <c r="M150" i="57"/>
  <c r="M149" i="57"/>
  <c r="O177" i="56"/>
  <c r="P177" i="56" s="1"/>
  <c r="F45" i="57"/>
  <c r="F163" i="57"/>
  <c r="F162" i="57"/>
  <c r="F192" i="57"/>
  <c r="F167" i="57"/>
  <c r="M121" i="56"/>
  <c r="L142" i="56" s="1"/>
  <c r="I97" i="47" s="1"/>
  <c r="M128" i="47"/>
  <c r="O178" i="56"/>
  <c r="P178" i="56" s="1"/>
  <c r="M122" i="56"/>
  <c r="L143" i="56" s="1"/>
  <c r="I98" i="47" s="1"/>
  <c r="N49" i="29"/>
  <c r="L49" i="29"/>
  <c r="I85" i="47" s="1"/>
  <c r="H85" i="47"/>
  <c r="N50" i="29"/>
  <c r="L50" i="29"/>
  <c r="I86" i="47" s="1"/>
  <c r="H86" i="47"/>
  <c r="M17" i="29"/>
  <c r="M23" i="29" s="1"/>
  <c r="R49" i="29" s="1"/>
  <c r="M18" i="29"/>
  <c r="M16" i="29"/>
  <c r="M22" i="29" s="1"/>
  <c r="M25" i="35"/>
  <c r="N25" i="35" s="1"/>
  <c r="N51" i="29"/>
  <c r="K108" i="47" s="1"/>
  <c r="R34" i="32"/>
  <c r="R37" i="32" s="1"/>
  <c r="F22" i="32"/>
  <c r="R25" i="32"/>
  <c r="F64" i="32"/>
  <c r="F65" i="32"/>
  <c r="F63" i="32"/>
  <c r="F67" i="32"/>
  <c r="F66" i="32"/>
  <c r="F50" i="32"/>
  <c r="F69" i="32"/>
  <c r="F68" i="32"/>
  <c r="W94" i="32"/>
  <c r="V73" i="32"/>
  <c r="V80" i="32" s="1"/>
  <c r="F23" i="32"/>
  <c r="R35" i="32"/>
  <c r="R38" i="32" s="1"/>
  <c r="R36" i="32"/>
  <c r="F24" i="32"/>
  <c r="L48" i="29"/>
  <c r="I84" i="47" s="1"/>
  <c r="P36" i="32"/>
  <c r="Q24" i="32"/>
  <c r="Q22" i="32"/>
  <c r="I8" i="47"/>
  <c r="M23" i="35"/>
  <c r="M26" i="35"/>
  <c r="I7" i="47"/>
  <c r="P25" i="32"/>
  <c r="P18" i="32" s="1"/>
  <c r="P34" i="32"/>
  <c r="Q35" i="32"/>
  <c r="Q38" i="32" s="1"/>
  <c r="L37" i="32"/>
  <c r="M22" i="35"/>
  <c r="I5" i="47"/>
  <c r="P35" i="32"/>
  <c r="P38" i="32" s="1"/>
  <c r="L19" i="32"/>
  <c r="L18" i="32"/>
  <c r="L17" i="32"/>
  <c r="M24" i="35"/>
  <c r="I9" i="47"/>
  <c r="AK30" i="32"/>
  <c r="AA30" i="32"/>
  <c r="AC83" i="47"/>
  <c r="AG47" i="29"/>
  <c r="U83" i="47"/>
  <c r="Y47" i="29"/>
  <c r="S183" i="57" l="1"/>
  <c r="R152" i="58"/>
  <c r="T89" i="56"/>
  <c r="R153" i="58"/>
  <c r="R154" i="58"/>
  <c r="R159" i="58"/>
  <c r="R158" i="58"/>
  <c r="R157" i="58"/>
  <c r="R156" i="58"/>
  <c r="S25" i="32"/>
  <c r="S19" i="32" s="1"/>
  <c r="L241" i="58"/>
  <c r="L256" i="58" s="1"/>
  <c r="I114" i="47" s="1"/>
  <c r="AD71" i="58"/>
  <c r="AE71" i="58" s="1"/>
  <c r="M100" i="58"/>
  <c r="M159" i="58" s="1"/>
  <c r="Q94" i="58"/>
  <c r="Q153" i="58" s="1"/>
  <c r="Q95" i="58"/>
  <c r="Q154" i="58" s="1"/>
  <c r="S24" i="58"/>
  <c r="L225" i="58"/>
  <c r="L263" i="58" s="1"/>
  <c r="I126" i="47" s="1"/>
  <c r="AD75" i="58"/>
  <c r="AE75" i="58" s="1"/>
  <c r="L221" i="58"/>
  <c r="L259" i="58" s="1"/>
  <c r="I120" i="47" s="1"/>
  <c r="AD72" i="58"/>
  <c r="AE72" i="58" s="1"/>
  <c r="L222" i="58"/>
  <c r="L260" i="58" s="1"/>
  <c r="I121" i="47" s="1"/>
  <c r="Q100" i="58"/>
  <c r="Q159" i="58" s="1"/>
  <c r="L153" i="58"/>
  <c r="L235" i="58" s="1"/>
  <c r="L250" i="58" s="1"/>
  <c r="I112" i="47" s="1"/>
  <c r="M94" i="58"/>
  <c r="AD73" i="58"/>
  <c r="AE73" i="58" s="1"/>
  <c r="AD74" i="58"/>
  <c r="AE74" i="58" s="1"/>
  <c r="Q92" i="58"/>
  <c r="Q151" i="58" s="1"/>
  <c r="L223" i="58"/>
  <c r="L261" i="58" s="1"/>
  <c r="I122" i="47" s="1"/>
  <c r="Q96" i="58"/>
  <c r="Q155" i="58" s="1"/>
  <c r="Q97" i="58"/>
  <c r="Q156" i="58" s="1"/>
  <c r="R46" i="58"/>
  <c r="R43" i="58"/>
  <c r="R44" i="58"/>
  <c r="R45" i="58"/>
  <c r="L228" i="58"/>
  <c r="L266" i="58" s="1"/>
  <c r="I123" i="47" s="1"/>
  <c r="S31" i="58"/>
  <c r="S34" i="58" s="1"/>
  <c r="S35" i="58" s="1"/>
  <c r="S36" i="58" s="1"/>
  <c r="S41" i="58" s="1"/>
  <c r="Q99" i="58"/>
  <c r="Q158" i="58" s="1"/>
  <c r="L154" i="58"/>
  <c r="L236" i="58" s="1"/>
  <c r="L251" i="58" s="1"/>
  <c r="I113" i="47" s="1"/>
  <c r="M95" i="58"/>
  <c r="O213" i="58"/>
  <c r="O216" i="58"/>
  <c r="O212" i="58"/>
  <c r="O215" i="58"/>
  <c r="O210" i="58"/>
  <c r="O214" i="58"/>
  <c r="O211" i="58"/>
  <c r="O209" i="58"/>
  <c r="O208" i="58"/>
  <c r="AC83" i="58"/>
  <c r="AD83" i="58" s="1"/>
  <c r="AE83" i="58" s="1"/>
  <c r="AF83" i="58" s="1"/>
  <c r="AG83" i="58" s="1"/>
  <c r="AH83" i="58" s="1"/>
  <c r="AI83" i="58" s="1"/>
  <c r="AJ83" i="58" s="1"/>
  <c r="AK83" i="58" s="1"/>
  <c r="AL83" i="58" s="1"/>
  <c r="AM83" i="58" s="1"/>
  <c r="AN83" i="58" s="1"/>
  <c r="AO83" i="58" s="1"/>
  <c r="AP83" i="58" s="1"/>
  <c r="AQ83" i="58" s="1"/>
  <c r="AR83" i="58" s="1"/>
  <c r="AS83" i="58" s="1"/>
  <c r="AT83" i="58" s="1"/>
  <c r="AU83" i="58" s="1"/>
  <c r="AV83" i="58"/>
  <c r="M216" i="58"/>
  <c r="M182" i="58"/>
  <c r="M205" i="58"/>
  <c r="M194" i="58"/>
  <c r="N89" i="58"/>
  <c r="I100" i="58"/>
  <c r="S100" i="58"/>
  <c r="AB100" i="58"/>
  <c r="O200" i="58"/>
  <c r="O204" i="58"/>
  <c r="O203" i="58"/>
  <c r="O197" i="58"/>
  <c r="O205" i="58"/>
  <c r="O201" i="58"/>
  <c r="O202" i="58"/>
  <c r="O199" i="58"/>
  <c r="O198" i="58"/>
  <c r="R162" i="58"/>
  <c r="R170" i="58"/>
  <c r="R166" i="58"/>
  <c r="R168" i="58"/>
  <c r="R165" i="58"/>
  <c r="R167" i="58"/>
  <c r="R169" i="58"/>
  <c r="R163" i="58"/>
  <c r="R164" i="58"/>
  <c r="L152" i="58"/>
  <c r="L234" i="58" s="1"/>
  <c r="L249" i="58" s="1"/>
  <c r="I111" i="47" s="1"/>
  <c r="M93" i="58"/>
  <c r="I99" i="58"/>
  <c r="S99" i="58"/>
  <c r="AB99" i="58"/>
  <c r="M211" i="58"/>
  <c r="M177" i="58"/>
  <c r="M189" i="58"/>
  <c r="M200" i="58"/>
  <c r="N84" i="58"/>
  <c r="R155" i="58"/>
  <c r="L220" i="58"/>
  <c r="L155" i="58"/>
  <c r="L237" i="58" s="1"/>
  <c r="L252" i="58" s="1"/>
  <c r="I115" i="47" s="1"/>
  <c r="M96" i="58"/>
  <c r="K245" i="58"/>
  <c r="K258" i="58"/>
  <c r="H118" i="47" s="1"/>
  <c r="AC86" i="58"/>
  <c r="AD86" i="58" s="1"/>
  <c r="AE86" i="58" s="1"/>
  <c r="AF86" i="58" s="1"/>
  <c r="AG86" i="58" s="1"/>
  <c r="AH86" i="58" s="1"/>
  <c r="AI86" i="58" s="1"/>
  <c r="AJ86" i="58" s="1"/>
  <c r="AK86" i="58" s="1"/>
  <c r="AL86" i="58" s="1"/>
  <c r="AM86" i="58" s="1"/>
  <c r="AN86" i="58" s="1"/>
  <c r="AO86" i="58" s="1"/>
  <c r="AP86" i="58" s="1"/>
  <c r="AQ86" i="58" s="1"/>
  <c r="AR86" i="58" s="1"/>
  <c r="AS86" i="58" s="1"/>
  <c r="AT86" i="58" s="1"/>
  <c r="AU86" i="58" s="1"/>
  <c r="AV86" i="58"/>
  <c r="I96" i="58"/>
  <c r="S96" i="58"/>
  <c r="AB96" i="58"/>
  <c r="Q93" i="58"/>
  <c r="Q152" i="58" s="1"/>
  <c r="M209" i="58"/>
  <c r="M187" i="58"/>
  <c r="M198" i="58"/>
  <c r="M175" i="58"/>
  <c r="N82" i="58"/>
  <c r="L156" i="58"/>
  <c r="L238" i="58" s="1"/>
  <c r="L253" i="58" s="1"/>
  <c r="I117" i="47" s="1"/>
  <c r="M97" i="58"/>
  <c r="L158" i="58"/>
  <c r="L240" i="58" s="1"/>
  <c r="L255" i="58" s="1"/>
  <c r="I116" i="47" s="1"/>
  <c r="M99" i="58"/>
  <c r="S34" i="32"/>
  <c r="S37" i="32" s="1"/>
  <c r="F36" i="32"/>
  <c r="M191" i="58"/>
  <c r="M202" i="58"/>
  <c r="M179" i="58"/>
  <c r="M213" i="58"/>
  <c r="N86" i="58"/>
  <c r="P46" i="58"/>
  <c r="P52" i="58" s="1"/>
  <c r="Q52" i="58" s="1"/>
  <c r="P43" i="58"/>
  <c r="P49" i="58" s="1"/>
  <c r="P45" i="58"/>
  <c r="P51" i="58" s="1"/>
  <c r="Q51" i="58" s="1"/>
  <c r="P44" i="58"/>
  <c r="P50" i="58" s="1"/>
  <c r="Q50" i="58" s="1"/>
  <c r="M201" i="58"/>
  <c r="M178" i="58"/>
  <c r="M190" i="58"/>
  <c r="M212" i="58"/>
  <c r="N85" i="58"/>
  <c r="W72" i="58"/>
  <c r="V70" i="58"/>
  <c r="I97" i="58"/>
  <c r="S97" i="58"/>
  <c r="AB97" i="58"/>
  <c r="Q98" i="58"/>
  <c r="Q157" i="58" s="1"/>
  <c r="L224" i="58"/>
  <c r="L262" i="58" s="1"/>
  <c r="I124" i="47" s="1"/>
  <c r="V74" i="58"/>
  <c r="AD70" i="58"/>
  <c r="I93" i="58"/>
  <c r="S93" i="58"/>
  <c r="AB93" i="58"/>
  <c r="M188" i="58"/>
  <c r="M199" i="58"/>
  <c r="M210" i="58"/>
  <c r="M176" i="58"/>
  <c r="N83" i="58"/>
  <c r="AD78" i="58"/>
  <c r="AC82" i="58"/>
  <c r="AD82" i="58" s="1"/>
  <c r="AE82" i="58" s="1"/>
  <c r="AF82" i="58" s="1"/>
  <c r="AG82" i="58" s="1"/>
  <c r="AH82" i="58" s="1"/>
  <c r="AI82" i="58" s="1"/>
  <c r="AJ82" i="58" s="1"/>
  <c r="AK82" i="58" s="1"/>
  <c r="AL82" i="58" s="1"/>
  <c r="AM82" i="58" s="1"/>
  <c r="AN82" i="58" s="1"/>
  <c r="AO82" i="58" s="1"/>
  <c r="AP82" i="58" s="1"/>
  <c r="AQ82" i="58" s="1"/>
  <c r="AR82" i="58" s="1"/>
  <c r="AS82" i="58" s="1"/>
  <c r="AT82" i="58" s="1"/>
  <c r="AU82" i="58" s="1"/>
  <c r="AV82" i="58"/>
  <c r="V78" i="58"/>
  <c r="AC84" i="58"/>
  <c r="AD84" i="58" s="1"/>
  <c r="AE84" i="58" s="1"/>
  <c r="AF84" i="58" s="1"/>
  <c r="AG84" i="58" s="1"/>
  <c r="AH84" i="58" s="1"/>
  <c r="AI84" i="58" s="1"/>
  <c r="AJ84" i="58" s="1"/>
  <c r="AK84" i="58" s="1"/>
  <c r="AL84" i="58" s="1"/>
  <c r="AM84" i="58" s="1"/>
  <c r="AN84" i="58" s="1"/>
  <c r="AO84" i="58" s="1"/>
  <c r="AP84" i="58" s="1"/>
  <c r="AQ84" i="58" s="1"/>
  <c r="AR84" i="58" s="1"/>
  <c r="AS84" i="58" s="1"/>
  <c r="AT84" i="58" s="1"/>
  <c r="AU84" i="58" s="1"/>
  <c r="AV84" i="58"/>
  <c r="AC81" i="58"/>
  <c r="AD81" i="58" s="1"/>
  <c r="AE81" i="58" s="1"/>
  <c r="AF81" i="58" s="1"/>
  <c r="AG81" i="58" s="1"/>
  <c r="AH81" i="58" s="1"/>
  <c r="AI81" i="58" s="1"/>
  <c r="AJ81" i="58" s="1"/>
  <c r="AK81" i="58" s="1"/>
  <c r="AL81" i="58" s="1"/>
  <c r="AM81" i="58" s="1"/>
  <c r="AN81" i="58" s="1"/>
  <c r="AO81" i="58" s="1"/>
  <c r="AP81" i="58" s="1"/>
  <c r="AQ81" i="58" s="1"/>
  <c r="AR81" i="58" s="1"/>
  <c r="AS81" i="58" s="1"/>
  <c r="AT81" i="58" s="1"/>
  <c r="AU81" i="58" s="1"/>
  <c r="AV81" i="58"/>
  <c r="I98" i="58"/>
  <c r="S98" i="58"/>
  <c r="AB98" i="58"/>
  <c r="L151" i="58"/>
  <c r="L233" i="58" s="1"/>
  <c r="L248" i="58" s="1"/>
  <c r="I109" i="47" s="1"/>
  <c r="M92" i="58"/>
  <c r="V75" i="58"/>
  <c r="L157" i="58"/>
  <c r="L239" i="58" s="1"/>
  <c r="L254" i="58" s="1"/>
  <c r="I110" i="47" s="1"/>
  <c r="M98" i="58"/>
  <c r="V71" i="58"/>
  <c r="I95" i="58"/>
  <c r="S95" i="58"/>
  <c r="AB95" i="58"/>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81" i="58"/>
  <c r="O240" i="58" s="1"/>
  <c r="O255" i="58" s="1"/>
  <c r="L116" i="47" s="1"/>
  <c r="O179" i="58"/>
  <c r="O238" i="58" s="1"/>
  <c r="O253" i="58" s="1"/>
  <c r="L117" i="47" s="1"/>
  <c r="O53" i="58"/>
  <c r="O174" i="58"/>
  <c r="O233" i="58" s="1"/>
  <c r="O248" i="58" s="1"/>
  <c r="L109" i="47" s="1"/>
  <c r="M186" i="58"/>
  <c r="M197" i="58"/>
  <c r="M174" i="58"/>
  <c r="M208" i="58"/>
  <c r="N81" i="58"/>
  <c r="V73" i="58"/>
  <c r="F35" i="32"/>
  <c r="F38" i="32" s="1"/>
  <c r="T14" i="58"/>
  <c r="T23" i="58"/>
  <c r="T24" i="58" s="1"/>
  <c r="AC85" i="58"/>
  <c r="AD85" i="58" s="1"/>
  <c r="AE85" i="58" s="1"/>
  <c r="AF85" i="58" s="1"/>
  <c r="AG85" i="58" s="1"/>
  <c r="AH85" i="58" s="1"/>
  <c r="AI85" i="58" s="1"/>
  <c r="AJ85" i="58" s="1"/>
  <c r="AK85" i="58" s="1"/>
  <c r="AL85" i="58" s="1"/>
  <c r="AM85" i="58" s="1"/>
  <c r="AN85" i="58" s="1"/>
  <c r="AO85" i="58" s="1"/>
  <c r="AP85" i="58" s="1"/>
  <c r="AQ85" i="58" s="1"/>
  <c r="AR85" i="58" s="1"/>
  <c r="AS85" i="58" s="1"/>
  <c r="AT85" i="58" s="1"/>
  <c r="AU85" i="58" s="1"/>
  <c r="AV85" i="58"/>
  <c r="I92" i="58"/>
  <c r="S92" i="58"/>
  <c r="AB92" i="58"/>
  <c r="AC89" i="58"/>
  <c r="AD89" i="58" s="1"/>
  <c r="AE89" i="58" s="1"/>
  <c r="AF89" i="58" s="1"/>
  <c r="AG89" i="58" s="1"/>
  <c r="AH89" i="58" s="1"/>
  <c r="AI89" i="58" s="1"/>
  <c r="AJ89" i="58" s="1"/>
  <c r="AK89" i="58" s="1"/>
  <c r="AL89" i="58" s="1"/>
  <c r="AM89" i="58" s="1"/>
  <c r="AN89" i="58" s="1"/>
  <c r="AO89" i="58" s="1"/>
  <c r="AP89" i="58" s="1"/>
  <c r="AQ89" i="58" s="1"/>
  <c r="AR89" i="58" s="1"/>
  <c r="AS89" i="58" s="1"/>
  <c r="AT89" i="58" s="1"/>
  <c r="AU89" i="58" s="1"/>
  <c r="AV89" i="58"/>
  <c r="I94" i="58"/>
  <c r="S94" i="58"/>
  <c r="AB94" i="58"/>
  <c r="O193" i="58"/>
  <c r="O189" i="58"/>
  <c r="O192" i="58"/>
  <c r="O186" i="58"/>
  <c r="O194" i="58"/>
  <c r="O190" i="58"/>
  <c r="O187" i="58"/>
  <c r="O191" i="58"/>
  <c r="O225" i="58" s="1"/>
  <c r="O263" i="58" s="1"/>
  <c r="L126" i="47" s="1"/>
  <c r="O188" i="58"/>
  <c r="F61" i="57"/>
  <c r="M257" i="57"/>
  <c r="E190" i="57"/>
  <c r="BG218" i="57" s="1"/>
  <c r="BH218" i="57" s="1"/>
  <c r="M216" i="57"/>
  <c r="J101" i="47" s="1"/>
  <c r="L207" i="57"/>
  <c r="M207" i="57" s="1"/>
  <c r="M221" i="57"/>
  <c r="J105" i="47" s="1"/>
  <c r="K256" i="57"/>
  <c r="L256" i="57" s="1"/>
  <c r="G117" i="57"/>
  <c r="U32" i="57"/>
  <c r="V32" i="57" s="1"/>
  <c r="T87" i="57"/>
  <c r="T90" i="57" s="1"/>
  <c r="F112" i="57"/>
  <c r="K216" i="57"/>
  <c r="M215" i="57"/>
  <c r="J102" i="47" s="1"/>
  <c r="K215" i="57"/>
  <c r="BI202" i="57"/>
  <c r="BH215" i="57"/>
  <c r="J84" i="47"/>
  <c r="J86" i="47"/>
  <c r="J85" i="47"/>
  <c r="BG214" i="57"/>
  <c r="K214" i="57" s="1"/>
  <c r="H100" i="47" s="1"/>
  <c r="BH200" i="57"/>
  <c r="L186" i="57"/>
  <c r="J214" i="57"/>
  <c r="G100" i="47" s="1"/>
  <c r="K200" i="57"/>
  <c r="L202" i="57"/>
  <c r="M202" i="57" s="1"/>
  <c r="BH216" i="57"/>
  <c r="N200" i="57"/>
  <c r="M214" i="57"/>
  <c r="J100" i="47" s="1"/>
  <c r="BI201" i="57"/>
  <c r="L201" i="57"/>
  <c r="M201" i="57" s="1"/>
  <c r="U21" i="32"/>
  <c r="N35" i="44"/>
  <c r="V6" i="35"/>
  <c r="U10" i="58"/>
  <c r="M25" i="44"/>
  <c r="M26" i="44" s="1"/>
  <c r="K235" i="57"/>
  <c r="L235" i="57" s="1"/>
  <c r="O17" i="32"/>
  <c r="H89" i="56"/>
  <c r="O19" i="32"/>
  <c r="M155" i="57"/>
  <c r="M167" i="57" s="1"/>
  <c r="M153" i="57"/>
  <c r="M165" i="57" s="1"/>
  <c r="K221" i="57"/>
  <c r="S153" i="57"/>
  <c r="S165" i="57" s="1"/>
  <c r="S155" i="57"/>
  <c r="S167" i="57" s="1"/>
  <c r="S152" i="57"/>
  <c r="S164" i="57" s="1"/>
  <c r="J233" i="57"/>
  <c r="K233" i="57" s="1"/>
  <c r="L233" i="57" s="1"/>
  <c r="J232" i="57"/>
  <c r="K232" i="57" s="1"/>
  <c r="L232" i="57" s="1"/>
  <c r="E169" i="57"/>
  <c r="E176" i="57" s="1"/>
  <c r="BG219" i="57"/>
  <c r="BH219" i="57" s="1"/>
  <c r="L191" i="57"/>
  <c r="BH205" i="57"/>
  <c r="BI205" i="57" s="1"/>
  <c r="J234" i="57"/>
  <c r="K234" i="57" s="1"/>
  <c r="L234" i="57" s="1"/>
  <c r="BG220" i="57"/>
  <c r="BH220" i="57" s="1"/>
  <c r="BH206" i="57"/>
  <c r="BI206" i="57" s="1"/>
  <c r="L192" i="57"/>
  <c r="G115" i="57"/>
  <c r="G116" i="57"/>
  <c r="K230" i="57"/>
  <c r="L230" i="57" s="1"/>
  <c r="M230" i="57"/>
  <c r="K260" i="57"/>
  <c r="L260" i="57" s="1"/>
  <c r="M260" i="57"/>
  <c r="K228" i="57"/>
  <c r="L228" i="57" s="1"/>
  <c r="M228" i="57"/>
  <c r="F169" i="57"/>
  <c r="F172" i="57" s="1"/>
  <c r="G123" i="57"/>
  <c r="G124" i="57"/>
  <c r="G120" i="57"/>
  <c r="G121" i="57"/>
  <c r="G119" i="57"/>
  <c r="M258" i="57"/>
  <c r="K258" i="57"/>
  <c r="L258" i="57" s="1"/>
  <c r="O121" i="56"/>
  <c r="N142" i="56" s="1"/>
  <c r="K97" i="47" s="1"/>
  <c r="K229" i="57"/>
  <c r="L229" i="57" s="1"/>
  <c r="M229" i="57"/>
  <c r="M234" i="57"/>
  <c r="M220" i="57"/>
  <c r="J107" i="47" s="1"/>
  <c r="L206" i="57"/>
  <c r="M206" i="57" s="1"/>
  <c r="N206" i="57"/>
  <c r="M60" i="57"/>
  <c r="F60" i="57" s="1"/>
  <c r="F59" i="57"/>
  <c r="H32" i="57"/>
  <c r="G32" i="57"/>
  <c r="N87" i="57"/>
  <c r="N90" i="57" s="1"/>
  <c r="K259" i="57"/>
  <c r="L259" i="57" s="1"/>
  <c r="M259" i="57"/>
  <c r="M129" i="47"/>
  <c r="M133" i="47"/>
  <c r="O122" i="56"/>
  <c r="N143" i="56" s="1"/>
  <c r="K98" i="47" s="1"/>
  <c r="M233" i="57"/>
  <c r="M182" i="56"/>
  <c r="M181" i="56"/>
  <c r="L205" i="57"/>
  <c r="M205" i="57" s="1"/>
  <c r="N205" i="57"/>
  <c r="M219" i="57"/>
  <c r="J103" i="47" s="1"/>
  <c r="N127" i="47"/>
  <c r="I108" i="47"/>
  <c r="O49" i="29"/>
  <c r="K85" i="47"/>
  <c r="O50" i="29"/>
  <c r="K86" i="47"/>
  <c r="M24" i="29"/>
  <c r="R50" i="29" s="1"/>
  <c r="J6" i="47"/>
  <c r="O51" i="29"/>
  <c r="P51" i="29" s="1"/>
  <c r="R66" i="32"/>
  <c r="K66" i="32"/>
  <c r="L66" i="32" s="1"/>
  <c r="M66" i="32" s="1"/>
  <c r="N66" i="32" s="1"/>
  <c r="O66" i="32" s="1"/>
  <c r="P66" i="32" s="1"/>
  <c r="Q66" i="32" s="1"/>
  <c r="R67" i="32"/>
  <c r="K67" i="32"/>
  <c r="L67" i="32" s="1"/>
  <c r="M67" i="32" s="1"/>
  <c r="N67" i="32" s="1"/>
  <c r="O67" i="32" s="1"/>
  <c r="P67" i="32" s="1"/>
  <c r="Q67" i="32" s="1"/>
  <c r="W73" i="32"/>
  <c r="W80" i="32" s="1"/>
  <c r="X94" i="32"/>
  <c r="R63" i="32"/>
  <c r="K63" i="32"/>
  <c r="L63" i="32" s="1"/>
  <c r="M63" i="32" s="1"/>
  <c r="N63" i="32" s="1"/>
  <c r="O63" i="32" s="1"/>
  <c r="P63" i="32" s="1"/>
  <c r="Q63" i="32" s="1"/>
  <c r="K65" i="32"/>
  <c r="L65" i="32" s="1"/>
  <c r="M65" i="32" s="1"/>
  <c r="N65" i="32" s="1"/>
  <c r="O65" i="32" s="1"/>
  <c r="P65" i="32" s="1"/>
  <c r="Q65" i="32" s="1"/>
  <c r="R65" i="32"/>
  <c r="S18" i="32"/>
  <c r="K68" i="32"/>
  <c r="L68" i="32" s="1"/>
  <c r="M68" i="32" s="1"/>
  <c r="N68" i="32" s="1"/>
  <c r="O68" i="32" s="1"/>
  <c r="P68" i="32" s="1"/>
  <c r="Q68" i="32" s="1"/>
  <c r="R68" i="32"/>
  <c r="K64" i="32"/>
  <c r="L64" i="32" s="1"/>
  <c r="M64" i="32" s="1"/>
  <c r="N64" i="32" s="1"/>
  <c r="O64" i="32" s="1"/>
  <c r="P64" i="32" s="1"/>
  <c r="Q64" i="32" s="1"/>
  <c r="R64" i="32"/>
  <c r="R18" i="32"/>
  <c r="R17" i="32"/>
  <c r="R19" i="32"/>
  <c r="F34" i="32"/>
  <c r="F37" i="32" s="1"/>
  <c r="F25" i="32"/>
  <c r="F31" i="32" s="1"/>
  <c r="K69" i="32"/>
  <c r="L69" i="32" s="1"/>
  <c r="M69" i="32" s="1"/>
  <c r="N69" i="32" s="1"/>
  <c r="O69" i="32" s="1"/>
  <c r="P69" i="32" s="1"/>
  <c r="Q69" i="32" s="1"/>
  <c r="R69" i="32"/>
  <c r="P19" i="32"/>
  <c r="N23" i="35"/>
  <c r="J8" i="47"/>
  <c r="N22" i="35"/>
  <c r="J5" i="47"/>
  <c r="O25" i="35"/>
  <c r="K6" i="47"/>
  <c r="P37" i="32"/>
  <c r="P17" i="32"/>
  <c r="N24" i="35"/>
  <c r="J9" i="47"/>
  <c r="Q25" i="32"/>
  <c r="Q18" i="32" s="1"/>
  <c r="Q34" i="32"/>
  <c r="Q37" i="32" s="1"/>
  <c r="J7" i="47"/>
  <c r="N26" i="35"/>
  <c r="Q36" i="32"/>
  <c r="AD83" i="47"/>
  <c r="AH47" i="29"/>
  <c r="V83" i="47"/>
  <c r="Z47" i="29"/>
  <c r="S17" i="32" l="1"/>
  <c r="L215" i="57"/>
  <c r="I102" i="47" s="1"/>
  <c r="H102" i="47"/>
  <c r="L221" i="57"/>
  <c r="I105" i="47" s="1"/>
  <c r="H105" i="47"/>
  <c r="L216" i="57"/>
  <c r="I101" i="47" s="1"/>
  <c r="H101" i="47"/>
  <c r="BH204" i="57"/>
  <c r="BI204" i="57" s="1"/>
  <c r="N100" i="58"/>
  <c r="N159" i="58" s="1"/>
  <c r="S151" i="58"/>
  <c r="O222" i="58"/>
  <c r="O260" i="58" s="1"/>
  <c r="L121" i="47" s="1"/>
  <c r="O221" i="58"/>
  <c r="O259" i="58" s="1"/>
  <c r="L120" i="47" s="1"/>
  <c r="O226" i="58"/>
  <c r="O264" i="58" s="1"/>
  <c r="L119" i="47" s="1"/>
  <c r="S158" i="58"/>
  <c r="O220" i="58"/>
  <c r="O258" i="58" s="1"/>
  <c r="L118" i="47" s="1"/>
  <c r="S159" i="58"/>
  <c r="S154" i="58"/>
  <c r="O223" i="58"/>
  <c r="O261" i="58" s="1"/>
  <c r="L122" i="47" s="1"/>
  <c r="S157" i="58"/>
  <c r="S155" i="58"/>
  <c r="S156" i="58"/>
  <c r="S153" i="58"/>
  <c r="S152" i="58"/>
  <c r="T100" i="58"/>
  <c r="L190" i="57"/>
  <c r="O224" i="58"/>
  <c r="O262" i="58" s="1"/>
  <c r="L124" i="47" s="1"/>
  <c r="O228" i="58"/>
  <c r="O266" i="58" s="1"/>
  <c r="L123" i="47" s="1"/>
  <c r="M153" i="58"/>
  <c r="M235" i="58" s="1"/>
  <c r="M250" i="58" s="1"/>
  <c r="J112" i="47" s="1"/>
  <c r="N94" i="58"/>
  <c r="N153" i="58" s="1"/>
  <c r="O227" i="58"/>
  <c r="O265" i="58" s="1"/>
  <c r="L125" i="47" s="1"/>
  <c r="M225" i="58"/>
  <c r="M263" i="58" s="1"/>
  <c r="J126" i="47" s="1"/>
  <c r="M241" i="58"/>
  <c r="M256" i="58" s="1"/>
  <c r="J114" i="47" s="1"/>
  <c r="L204" i="57"/>
  <c r="M204" i="57" s="1"/>
  <c r="T95" i="58"/>
  <c r="S46" i="58"/>
  <c r="S44" i="58"/>
  <c r="S43" i="58"/>
  <c r="S45" i="58"/>
  <c r="Q199" i="58"/>
  <c r="Q201" i="58"/>
  <c r="Q200" i="58"/>
  <c r="Q203" i="58"/>
  <c r="Q204" i="58"/>
  <c r="Q205" i="58"/>
  <c r="Q197" i="58"/>
  <c r="Q198" i="58"/>
  <c r="Q202" i="58"/>
  <c r="Q191" i="58"/>
  <c r="Q193" i="58"/>
  <c r="Q188" i="58"/>
  <c r="Q194" i="58"/>
  <c r="Q189" i="58"/>
  <c r="Q192" i="58"/>
  <c r="Q190" i="58"/>
  <c r="Q187" i="58"/>
  <c r="Q186" i="58"/>
  <c r="F17" i="32"/>
  <c r="P204" i="58"/>
  <c r="P200" i="58"/>
  <c r="P198" i="58"/>
  <c r="P197" i="58"/>
  <c r="P205" i="58"/>
  <c r="P201" i="58"/>
  <c r="P199" i="58"/>
  <c r="P202" i="58"/>
  <c r="P203" i="58"/>
  <c r="F18" i="32"/>
  <c r="M157" i="58"/>
  <c r="M239" i="58" s="1"/>
  <c r="M254" i="58" s="1"/>
  <c r="J110" i="47" s="1"/>
  <c r="N98" i="58"/>
  <c r="N157" i="58" s="1"/>
  <c r="N239" i="58" s="1"/>
  <c r="N254" i="58" s="1"/>
  <c r="K110" i="47" s="1"/>
  <c r="W78" i="58"/>
  <c r="AF73" i="58"/>
  <c r="AC97" i="58"/>
  <c r="AV97" i="58"/>
  <c r="P176" i="58"/>
  <c r="P235" i="58" s="1"/>
  <c r="P250" i="58" s="1"/>
  <c r="M112" i="47" s="1"/>
  <c r="P179" i="58"/>
  <c r="P238" i="58" s="1"/>
  <c r="P253" i="58" s="1"/>
  <c r="M117" i="47" s="1"/>
  <c r="P175" i="58"/>
  <c r="P234" i="58" s="1"/>
  <c r="P249" i="58" s="1"/>
  <c r="M111" i="47" s="1"/>
  <c r="P181" i="58"/>
  <c r="P240" i="58" s="1"/>
  <c r="P255" i="58" s="1"/>
  <c r="M116" i="47" s="1"/>
  <c r="P182" i="58"/>
  <c r="P241" i="58" s="1"/>
  <c r="P256" i="58" s="1"/>
  <c r="M114" i="47" s="1"/>
  <c r="P53" i="58"/>
  <c r="Q49" i="58"/>
  <c r="R49" i="58" s="1"/>
  <c r="P174" i="58"/>
  <c r="P233" i="58" s="1"/>
  <c r="P248" i="58" s="1"/>
  <c r="M109" i="47" s="1"/>
  <c r="P180" i="58"/>
  <c r="P239" i="58" s="1"/>
  <c r="P254" i="58" s="1"/>
  <c r="M110" i="47" s="1"/>
  <c r="P178" i="58"/>
  <c r="P237" i="58" s="1"/>
  <c r="P252" i="58" s="1"/>
  <c r="M115" i="47" s="1"/>
  <c r="P177" i="58"/>
  <c r="P236" i="58" s="1"/>
  <c r="P251" i="58" s="1"/>
  <c r="M113" i="47" s="1"/>
  <c r="M156" i="58"/>
  <c r="M238" i="58" s="1"/>
  <c r="M253" i="58" s="1"/>
  <c r="J117" i="47" s="1"/>
  <c r="N97" i="58"/>
  <c r="N156" i="58" s="1"/>
  <c r="M155" i="58"/>
  <c r="M237" i="58" s="1"/>
  <c r="M252" i="58" s="1"/>
  <c r="J115" i="47" s="1"/>
  <c r="N96" i="58"/>
  <c r="N155" i="58" s="1"/>
  <c r="M152" i="58"/>
  <c r="M234" i="58" s="1"/>
  <c r="M249" i="58" s="1"/>
  <c r="J111" i="47" s="1"/>
  <c r="N93" i="58"/>
  <c r="N152" i="58" s="1"/>
  <c r="M154" i="58"/>
  <c r="M236" i="58" s="1"/>
  <c r="M251" i="58" s="1"/>
  <c r="J113" i="47" s="1"/>
  <c r="N95" i="58"/>
  <c r="N154" i="58" s="1"/>
  <c r="P216" i="58"/>
  <c r="P209" i="58"/>
  <c r="P212" i="58"/>
  <c r="P208" i="58"/>
  <c r="P211" i="58"/>
  <c r="P215" i="58"/>
  <c r="P214" i="58"/>
  <c r="P210" i="58"/>
  <c r="P213" i="58"/>
  <c r="Q215" i="58"/>
  <c r="Q211" i="58"/>
  <c r="Q214" i="58"/>
  <c r="Q208" i="58"/>
  <c r="Q210" i="58"/>
  <c r="Q213" i="58"/>
  <c r="Q209" i="58"/>
  <c r="Q216" i="58"/>
  <c r="Q212" i="58"/>
  <c r="W70" i="58"/>
  <c r="N213" i="58"/>
  <c r="N202" i="58"/>
  <c r="N191" i="58"/>
  <c r="N179" i="58"/>
  <c r="N175" i="58"/>
  <c r="N187" i="58"/>
  <c r="N209" i="58"/>
  <c r="N198" i="58"/>
  <c r="L258" i="58"/>
  <c r="I118" i="47" s="1"/>
  <c r="L245" i="58"/>
  <c r="W73" i="58"/>
  <c r="AE78" i="58"/>
  <c r="X72" i="58"/>
  <c r="N197" i="58"/>
  <c r="N186" i="58"/>
  <c r="N208" i="58"/>
  <c r="N174" i="58"/>
  <c r="T98" i="58"/>
  <c r="N176" i="58"/>
  <c r="N210" i="58"/>
  <c r="N188" i="58"/>
  <c r="N199" i="58"/>
  <c r="T93" i="58"/>
  <c r="N200" i="58"/>
  <c r="N177" i="58"/>
  <c r="N189" i="58"/>
  <c r="N211" i="58"/>
  <c r="S170" i="58"/>
  <c r="S166" i="58"/>
  <c r="S165" i="58"/>
  <c r="S162" i="58"/>
  <c r="S167" i="58"/>
  <c r="S168" i="58"/>
  <c r="S169" i="58"/>
  <c r="S164" i="58"/>
  <c r="S163" i="58"/>
  <c r="T94" i="58"/>
  <c r="T92" i="58"/>
  <c r="W75" i="58"/>
  <c r="N201" i="58"/>
  <c r="N212" i="58"/>
  <c r="N190" i="58"/>
  <c r="N178" i="58"/>
  <c r="M221" i="58"/>
  <c r="M259" i="58" s="1"/>
  <c r="J120" i="47" s="1"/>
  <c r="T96" i="58"/>
  <c r="AC98" i="58"/>
  <c r="AV98" i="58"/>
  <c r="AC93" i="58"/>
  <c r="AV93" i="58"/>
  <c r="M223" i="58"/>
  <c r="M261" i="58" s="1"/>
  <c r="J122" i="47" s="1"/>
  <c r="R51" i="58"/>
  <c r="AC94" i="58"/>
  <c r="AV94" i="58"/>
  <c r="AC92" i="58"/>
  <c r="AV92" i="58"/>
  <c r="AF75" i="58"/>
  <c r="AE70" i="58"/>
  <c r="M224" i="58"/>
  <c r="M262" i="58" s="1"/>
  <c r="J124" i="47" s="1"/>
  <c r="F19" i="32"/>
  <c r="AC96" i="58"/>
  <c r="AV96" i="58"/>
  <c r="T99" i="58"/>
  <c r="AC100" i="58"/>
  <c r="AV100" i="58"/>
  <c r="R50" i="58"/>
  <c r="M220" i="58"/>
  <c r="AC95" i="58"/>
  <c r="AV95" i="58"/>
  <c r="M151" i="58"/>
  <c r="M233" i="58" s="1"/>
  <c r="M248" i="58" s="1"/>
  <c r="J109" i="47" s="1"/>
  <c r="N92" i="58"/>
  <c r="N151" i="58" s="1"/>
  <c r="M222" i="58"/>
  <c r="M260" i="58" s="1"/>
  <c r="J121" i="47" s="1"/>
  <c r="N216" i="58"/>
  <c r="N182" i="58"/>
  <c r="N241" i="58" s="1"/>
  <c r="N256" i="58" s="1"/>
  <c r="K114" i="47" s="1"/>
  <c r="N194" i="58"/>
  <c r="N205" i="58"/>
  <c r="W74" i="58"/>
  <c r="AF72" i="58"/>
  <c r="AC99" i="58"/>
  <c r="AV99" i="58"/>
  <c r="M228" i="58"/>
  <c r="M266" i="58" s="1"/>
  <c r="J123" i="47" s="1"/>
  <c r="R52" i="58"/>
  <c r="U23" i="58"/>
  <c r="T31" i="58"/>
  <c r="T34" i="58" s="1"/>
  <c r="T35" i="58" s="1"/>
  <c r="T36" i="58" s="1"/>
  <c r="T41" i="58" s="1"/>
  <c r="AF71" i="58"/>
  <c r="W71" i="58"/>
  <c r="T97" i="58"/>
  <c r="P189" i="58"/>
  <c r="P192" i="58"/>
  <c r="P191" i="58"/>
  <c r="P190" i="58"/>
  <c r="P188" i="58"/>
  <c r="P186" i="58"/>
  <c r="P187" i="58"/>
  <c r="P221" i="58" s="1"/>
  <c r="P259" i="58" s="1"/>
  <c r="M120" i="47" s="1"/>
  <c r="P194" i="58"/>
  <c r="P193" i="58"/>
  <c r="M158" i="58"/>
  <c r="M240" i="58" s="1"/>
  <c r="M255" i="58" s="1"/>
  <c r="J116" i="47" s="1"/>
  <c r="N99" i="58"/>
  <c r="N158" i="58" s="1"/>
  <c r="N240" i="58" s="1"/>
  <c r="N255" i="58" s="1"/>
  <c r="K116" i="47" s="1"/>
  <c r="AF74" i="58"/>
  <c r="U87" i="57"/>
  <c r="U90" i="57" s="1"/>
  <c r="BI200" i="57"/>
  <c r="L214" i="57"/>
  <c r="I100" i="47" s="1"/>
  <c r="K219" i="57"/>
  <c r="L200" i="57"/>
  <c r="M200" i="57" s="1"/>
  <c r="BH214" i="57"/>
  <c r="O35" i="44"/>
  <c r="V10" i="58"/>
  <c r="V23" i="58" s="1"/>
  <c r="N25" i="44"/>
  <c r="N26" i="44" s="1"/>
  <c r="U22" i="32"/>
  <c r="U34" i="32" s="1"/>
  <c r="U37" i="32" s="1"/>
  <c r="U24" i="32"/>
  <c r="U36" i="32" s="1"/>
  <c r="U23" i="32"/>
  <c r="U35" i="32" s="1"/>
  <c r="U38" i="32" s="1"/>
  <c r="U45" i="32"/>
  <c r="K220" i="57"/>
  <c r="H107" i="47" s="1"/>
  <c r="S169" i="57"/>
  <c r="S178" i="57" s="1"/>
  <c r="E177" i="57"/>
  <c r="M169" i="57"/>
  <c r="E178" i="57"/>
  <c r="E173" i="57"/>
  <c r="E175" i="57"/>
  <c r="E174" i="57"/>
  <c r="E172" i="57"/>
  <c r="E179" i="57"/>
  <c r="K218" i="57"/>
  <c r="H106" i="47" s="1"/>
  <c r="F177" i="57"/>
  <c r="P121" i="56"/>
  <c r="O142" i="56" s="1"/>
  <c r="F178" i="57"/>
  <c r="P122" i="56"/>
  <c r="O143" i="56" s="1"/>
  <c r="O181" i="56"/>
  <c r="F174" i="57"/>
  <c r="G128" i="57"/>
  <c r="G156" i="57" s="1"/>
  <c r="G127" i="57"/>
  <c r="G154" i="57" s="1"/>
  <c r="G87" i="57"/>
  <c r="G90" i="57" s="1"/>
  <c r="G125" i="57" s="1"/>
  <c r="G129" i="57" s="1"/>
  <c r="G155" i="57" s="1"/>
  <c r="G167" i="57" s="1"/>
  <c r="G109" i="57"/>
  <c r="H87" i="57"/>
  <c r="H90" i="57" s="1"/>
  <c r="O182" i="56"/>
  <c r="O127" i="47"/>
  <c r="F173" i="57"/>
  <c r="F176" i="57"/>
  <c r="F175" i="57"/>
  <c r="F179" i="57"/>
  <c r="P49" i="29"/>
  <c r="L85" i="47"/>
  <c r="P50" i="29"/>
  <c r="L86" i="47"/>
  <c r="L108" i="47"/>
  <c r="W21" i="32"/>
  <c r="W6" i="35"/>
  <c r="V21" i="32"/>
  <c r="X73" i="32"/>
  <c r="X80" i="32" s="1"/>
  <c r="Y94" i="32"/>
  <c r="R48" i="29"/>
  <c r="N48" i="29"/>
  <c r="M108" i="47"/>
  <c r="Q51" i="29"/>
  <c r="O108" i="47" s="1"/>
  <c r="Q19" i="32"/>
  <c r="O23" i="35"/>
  <c r="K8" i="47"/>
  <c r="O26" i="35"/>
  <c r="K7" i="47"/>
  <c r="K9" i="47"/>
  <c r="O24" i="35"/>
  <c r="P25" i="35"/>
  <c r="L6" i="47"/>
  <c r="O22" i="35"/>
  <c r="K5" i="47"/>
  <c r="Q17" i="32"/>
  <c r="AE83" i="47"/>
  <c r="AI47" i="29"/>
  <c r="W83" i="47"/>
  <c r="AA47" i="29"/>
  <c r="P220" i="58" l="1"/>
  <c r="P258" i="58" s="1"/>
  <c r="M118" i="47" s="1"/>
  <c r="P182" i="56"/>
  <c r="L98" i="47"/>
  <c r="L219" i="57"/>
  <c r="I103" i="47" s="1"/>
  <c r="H103" i="47"/>
  <c r="P181" i="56"/>
  <c r="L97" i="47"/>
  <c r="N235" i="58"/>
  <c r="N250" i="58" s="1"/>
  <c r="K112" i="47" s="1"/>
  <c r="P224" i="58"/>
  <c r="P262" i="58" s="1"/>
  <c r="M124" i="47" s="1"/>
  <c r="O245" i="58"/>
  <c r="T168" i="58"/>
  <c r="T169" i="58"/>
  <c r="T163" i="58"/>
  <c r="T167" i="58"/>
  <c r="T162" i="58"/>
  <c r="T166" i="58"/>
  <c r="T170" i="58"/>
  <c r="T164" i="58"/>
  <c r="T165" i="58"/>
  <c r="T159" i="58"/>
  <c r="T154" i="58"/>
  <c r="P222" i="58"/>
  <c r="P260" i="58" s="1"/>
  <c r="M121" i="47" s="1"/>
  <c r="P225" i="58"/>
  <c r="P263" i="58" s="1"/>
  <c r="M126" i="47" s="1"/>
  <c r="N233" i="58"/>
  <c r="N248" i="58" s="1"/>
  <c r="K109" i="47" s="1"/>
  <c r="P226" i="58"/>
  <c r="P264" i="58" s="1"/>
  <c r="M119" i="47" s="1"/>
  <c r="P227" i="58"/>
  <c r="P265" i="58" s="1"/>
  <c r="M125" i="47" s="1"/>
  <c r="P228" i="58"/>
  <c r="P266" i="58" s="1"/>
  <c r="M123" i="47" s="1"/>
  <c r="U95" i="58"/>
  <c r="V95" i="58" s="1"/>
  <c r="U100" i="58"/>
  <c r="V100" i="58" s="1"/>
  <c r="AD92" i="58"/>
  <c r="AE92" i="58" s="1"/>
  <c r="AD96" i="58"/>
  <c r="AD94" i="58"/>
  <c r="AE94" i="58" s="1"/>
  <c r="AD99" i="58"/>
  <c r="P223" i="58"/>
  <c r="P261" i="58" s="1"/>
  <c r="M122" i="47" s="1"/>
  <c r="AD93" i="58"/>
  <c r="AD98" i="58"/>
  <c r="AD97" i="58"/>
  <c r="AD100" i="58"/>
  <c r="AD95" i="58"/>
  <c r="N222" i="58"/>
  <c r="N260" i="58" s="1"/>
  <c r="K121" i="47" s="1"/>
  <c r="X73" i="58"/>
  <c r="X70" i="58"/>
  <c r="N237" i="58"/>
  <c r="N252" i="58" s="1"/>
  <c r="K115" i="47" s="1"/>
  <c r="X75" i="58"/>
  <c r="Q220" i="58"/>
  <c r="X74" i="58"/>
  <c r="U31" i="58"/>
  <c r="U34" i="58" s="1"/>
  <c r="U35" i="58" s="1"/>
  <c r="U36" i="58" s="1"/>
  <c r="U41" i="58" s="1"/>
  <c r="R175" i="58"/>
  <c r="R234" i="58" s="1"/>
  <c r="R249" i="58" s="1"/>
  <c r="O111" i="47" s="1"/>
  <c r="R178" i="58"/>
  <c r="R237" i="58" s="1"/>
  <c r="R252" i="58" s="1"/>
  <c r="O115" i="47" s="1"/>
  <c r="R176" i="58"/>
  <c r="R235" i="58" s="1"/>
  <c r="R250" i="58" s="1"/>
  <c r="O112" i="47" s="1"/>
  <c r="R179" i="58"/>
  <c r="R238" i="58" s="1"/>
  <c r="R253" i="58" s="1"/>
  <c r="O117" i="47" s="1"/>
  <c r="R180" i="58"/>
  <c r="R239" i="58" s="1"/>
  <c r="R254" i="58" s="1"/>
  <c r="O110" i="47" s="1"/>
  <c r="R177" i="58"/>
  <c r="R236" i="58" s="1"/>
  <c r="R251" i="58" s="1"/>
  <c r="O113" i="47" s="1"/>
  <c r="R181" i="58"/>
  <c r="R240" i="58" s="1"/>
  <c r="R255" i="58" s="1"/>
  <c r="O116" i="47" s="1"/>
  <c r="R53" i="58"/>
  <c r="R174" i="58"/>
  <c r="R233" i="58" s="1"/>
  <c r="R248" i="58" s="1"/>
  <c r="O109" i="47" s="1"/>
  <c r="R182" i="58"/>
  <c r="R241" i="58" s="1"/>
  <c r="R256" i="58" s="1"/>
  <c r="O114" i="47" s="1"/>
  <c r="M258" i="58"/>
  <c r="J118" i="47" s="1"/>
  <c r="M245" i="58"/>
  <c r="N238" i="58"/>
  <c r="N253" i="58" s="1"/>
  <c r="K117" i="47" s="1"/>
  <c r="Q221" i="58"/>
  <c r="Q259" i="58" s="1"/>
  <c r="N120" i="47" s="1"/>
  <c r="R210" i="58"/>
  <c r="R212" i="58"/>
  <c r="R213" i="58"/>
  <c r="R209" i="58"/>
  <c r="R211" i="58"/>
  <c r="R215" i="58"/>
  <c r="R214" i="58"/>
  <c r="R208" i="58"/>
  <c r="R216" i="58"/>
  <c r="R194" i="58"/>
  <c r="R191" i="58"/>
  <c r="R187" i="58"/>
  <c r="R188" i="58"/>
  <c r="R190" i="58"/>
  <c r="R186" i="58"/>
  <c r="R189" i="58"/>
  <c r="R192" i="58"/>
  <c r="R193" i="58"/>
  <c r="T157" i="58"/>
  <c r="U98" i="58"/>
  <c r="Q224" i="58"/>
  <c r="Q262" i="58" s="1"/>
  <c r="N124" i="47" s="1"/>
  <c r="N228" i="58"/>
  <c r="N266" i="58" s="1"/>
  <c r="K123" i="47" s="1"/>
  <c r="T151" i="58"/>
  <c r="U92" i="58"/>
  <c r="Q226" i="58"/>
  <c r="Q264" i="58" s="1"/>
  <c r="N119" i="47" s="1"/>
  <c r="T153" i="58"/>
  <c r="U94" i="58"/>
  <c r="Q223" i="58"/>
  <c r="Q261" i="58" s="1"/>
  <c r="N122" i="47" s="1"/>
  <c r="V31" i="58"/>
  <c r="V34" i="58" s="1"/>
  <c r="V35" i="58" s="1"/>
  <c r="V36" i="58" s="1"/>
  <c r="AG74" i="58"/>
  <c r="AF70" i="58"/>
  <c r="N220" i="58"/>
  <c r="N221" i="58"/>
  <c r="N259" i="58" s="1"/>
  <c r="K120" i="47" s="1"/>
  <c r="Q228" i="58"/>
  <c r="Q266" i="58" s="1"/>
  <c r="N123" i="47" s="1"/>
  <c r="T156" i="58"/>
  <c r="U97" i="58"/>
  <c r="AG75" i="58"/>
  <c r="R201" i="58"/>
  <c r="R197" i="58"/>
  <c r="R198" i="58"/>
  <c r="R199" i="58"/>
  <c r="R200" i="58"/>
  <c r="R203" i="58"/>
  <c r="R204" i="58"/>
  <c r="R205" i="58"/>
  <c r="R202" i="58"/>
  <c r="T155" i="58"/>
  <c r="U96" i="58"/>
  <c r="N223" i="58"/>
  <c r="N261" i="58" s="1"/>
  <c r="K122" i="47" s="1"/>
  <c r="Q222" i="58"/>
  <c r="Q260" i="58" s="1"/>
  <c r="N121" i="47" s="1"/>
  <c r="S51" i="58"/>
  <c r="X71" i="58"/>
  <c r="T158" i="58"/>
  <c r="U99" i="58"/>
  <c r="N236" i="58"/>
  <c r="N251" i="58" s="1"/>
  <c r="K113" i="47" s="1"/>
  <c r="Q53" i="58"/>
  <c r="Q177" i="58"/>
  <c r="Q236" i="58" s="1"/>
  <c r="Q251" i="58" s="1"/>
  <c r="N113" i="47" s="1"/>
  <c r="Q175" i="58"/>
  <c r="Q234" i="58" s="1"/>
  <c r="Q249" i="58" s="1"/>
  <c r="N111" i="47" s="1"/>
  <c r="Q174" i="58"/>
  <c r="Q233" i="58" s="1"/>
  <c r="Q248" i="58" s="1"/>
  <c r="N109" i="47" s="1"/>
  <c r="Q179" i="58"/>
  <c r="Q238" i="58" s="1"/>
  <c r="Q253" i="58" s="1"/>
  <c r="N117" i="47" s="1"/>
  <c r="Q178" i="58"/>
  <c r="Q237" i="58" s="1"/>
  <c r="Q252" i="58" s="1"/>
  <c r="N115" i="47" s="1"/>
  <c r="Q180" i="58"/>
  <c r="Q239" i="58" s="1"/>
  <c r="Q254" i="58" s="1"/>
  <c r="N110" i="47" s="1"/>
  <c r="Q176" i="58"/>
  <c r="Q235" i="58" s="1"/>
  <c r="Q250" i="58" s="1"/>
  <c r="N112" i="47" s="1"/>
  <c r="Q182" i="58"/>
  <c r="Q241" i="58" s="1"/>
  <c r="Q256" i="58" s="1"/>
  <c r="N114" i="47" s="1"/>
  <c r="Q181" i="58"/>
  <c r="Q240" i="58" s="1"/>
  <c r="Q255" i="58" s="1"/>
  <c r="N116" i="47" s="1"/>
  <c r="AG73" i="58"/>
  <c r="Q227" i="58"/>
  <c r="Q265" i="58" s="1"/>
  <c r="N125" i="47" s="1"/>
  <c r="S49" i="58"/>
  <c r="Y72" i="58"/>
  <c r="N225" i="58"/>
  <c r="N263" i="58" s="1"/>
  <c r="K126" i="47" s="1"/>
  <c r="Q225" i="58"/>
  <c r="Q263" i="58" s="1"/>
  <c r="N126" i="47" s="1"/>
  <c r="S50" i="58"/>
  <c r="T43" i="58"/>
  <c r="T45" i="58"/>
  <c r="T46" i="58"/>
  <c r="T44" i="58"/>
  <c r="AG71" i="58"/>
  <c r="AG72" i="58"/>
  <c r="N224" i="58"/>
  <c r="N262" i="58" s="1"/>
  <c r="K124" i="47" s="1"/>
  <c r="T152" i="58"/>
  <c r="U93" i="58"/>
  <c r="N234" i="58"/>
  <c r="N249" i="58" s="1"/>
  <c r="K111" i="47" s="1"/>
  <c r="X78" i="58"/>
  <c r="S52" i="58"/>
  <c r="AF78" i="58"/>
  <c r="U24" i="58"/>
  <c r="V24" i="58" s="1"/>
  <c r="E181" i="57"/>
  <c r="E182" i="57" s="1"/>
  <c r="F181" i="57"/>
  <c r="F182" i="57" s="1"/>
  <c r="W32" i="57"/>
  <c r="W87" i="57" s="1"/>
  <c r="W90" i="57" s="1"/>
  <c r="V87" i="57"/>
  <c r="V90" i="57" s="1"/>
  <c r="V45" i="32"/>
  <c r="X83" i="47"/>
  <c r="Y83" i="47"/>
  <c r="L220" i="57"/>
  <c r="I107" i="47" s="1"/>
  <c r="U25" i="32"/>
  <c r="U18" i="32" s="1"/>
  <c r="O25" i="44"/>
  <c r="O26" i="44" s="1"/>
  <c r="P35" i="44"/>
  <c r="W10" i="58"/>
  <c r="W23" i="58" s="1"/>
  <c r="V22" i="32"/>
  <c r="V24" i="32"/>
  <c r="V23" i="32"/>
  <c r="V35" i="32" s="1"/>
  <c r="V38" i="32" s="1"/>
  <c r="S174" i="57"/>
  <c r="S177" i="57"/>
  <c r="S172" i="57"/>
  <c r="S173" i="57"/>
  <c r="S176" i="57"/>
  <c r="S179" i="57"/>
  <c r="S175" i="57"/>
  <c r="M177" i="57"/>
  <c r="M179" i="57"/>
  <c r="M172" i="57"/>
  <c r="M174" i="57"/>
  <c r="M173" i="57"/>
  <c r="M175" i="57"/>
  <c r="M178" i="57"/>
  <c r="M176" i="57"/>
  <c r="L218" i="57"/>
  <c r="I106" i="47" s="1"/>
  <c r="G191" i="57"/>
  <c r="G166" i="57"/>
  <c r="G192" i="57"/>
  <c r="G168" i="57"/>
  <c r="G193" i="57"/>
  <c r="Q49" i="29"/>
  <c r="M85" i="47"/>
  <c r="Q50" i="29"/>
  <c r="O86" i="47" s="1"/>
  <c r="M86" i="47"/>
  <c r="K84" i="47"/>
  <c r="O48" i="29"/>
  <c r="Z94" i="32"/>
  <c r="Y73" i="32"/>
  <c r="Y80" i="32" s="1"/>
  <c r="P26" i="35"/>
  <c r="L7" i="47"/>
  <c r="Q25" i="35"/>
  <c r="M6" i="47"/>
  <c r="P24" i="35"/>
  <c r="L9" i="47"/>
  <c r="L8" i="47"/>
  <c r="P23" i="35"/>
  <c r="P22" i="35"/>
  <c r="L5" i="47"/>
  <c r="AF83" i="47"/>
  <c r="AJ47" i="29"/>
  <c r="U154" i="58" l="1"/>
  <c r="P245" i="58"/>
  <c r="U169" i="58"/>
  <c r="U168" i="58"/>
  <c r="U164" i="58"/>
  <c r="U163" i="58"/>
  <c r="U166" i="58"/>
  <c r="U170" i="58"/>
  <c r="U167" i="58"/>
  <c r="U165" i="58"/>
  <c r="U162" i="58"/>
  <c r="U159" i="58"/>
  <c r="V41" i="58"/>
  <c r="V44" i="58" s="1"/>
  <c r="V169" i="58"/>
  <c r="V168" i="58"/>
  <c r="V164" i="58"/>
  <c r="V170" i="58"/>
  <c r="V167" i="58"/>
  <c r="V166" i="58"/>
  <c r="V162" i="58"/>
  <c r="V165" i="58"/>
  <c r="V163" i="58"/>
  <c r="AE99" i="58"/>
  <c r="AF99" i="58" s="1"/>
  <c r="AE96" i="58"/>
  <c r="AE93" i="58"/>
  <c r="AF93" i="58" s="1"/>
  <c r="AE95" i="58"/>
  <c r="AF95" i="58" s="1"/>
  <c r="AE98" i="58"/>
  <c r="T51" i="58"/>
  <c r="T50" i="58"/>
  <c r="T193" i="58" s="1"/>
  <c r="AE97" i="58"/>
  <c r="U17" i="32"/>
  <c r="R224" i="58"/>
  <c r="R262" i="58" s="1"/>
  <c r="O124" i="47" s="1"/>
  <c r="AE100" i="58"/>
  <c r="AF92" i="58"/>
  <c r="AH75" i="58"/>
  <c r="U151" i="58"/>
  <c r="V92" i="58"/>
  <c r="R227" i="58"/>
  <c r="R265" i="58" s="1"/>
  <c r="O125" i="47" s="1"/>
  <c r="AH71" i="58"/>
  <c r="U155" i="58"/>
  <c r="V96" i="58"/>
  <c r="R226" i="58"/>
  <c r="R264" i="58" s="1"/>
  <c r="O119" i="47" s="1"/>
  <c r="Y74" i="58"/>
  <c r="AF98" i="58"/>
  <c r="R223" i="58"/>
  <c r="R261" i="58" s="1"/>
  <c r="O122" i="47" s="1"/>
  <c r="Q258" i="58"/>
  <c r="N118" i="47" s="1"/>
  <c r="Q245" i="58"/>
  <c r="S211" i="58"/>
  <c r="S214" i="58"/>
  <c r="S216" i="58"/>
  <c r="S212" i="58"/>
  <c r="S215" i="58"/>
  <c r="S209" i="58"/>
  <c r="S213" i="58"/>
  <c r="S210" i="58"/>
  <c r="S208" i="58"/>
  <c r="S53" i="58"/>
  <c r="S177" i="58"/>
  <c r="S236" i="58" s="1"/>
  <c r="S251" i="58" s="1"/>
  <c r="P113" i="47" s="1"/>
  <c r="S174" i="58"/>
  <c r="S233" i="58" s="1"/>
  <c r="S248" i="58" s="1"/>
  <c r="P109" i="47" s="1"/>
  <c r="S178" i="58"/>
  <c r="S237" i="58" s="1"/>
  <c r="S252" i="58" s="1"/>
  <c r="P115" i="47" s="1"/>
  <c r="S179" i="58"/>
  <c r="S238" i="58" s="1"/>
  <c r="S253" i="58" s="1"/>
  <c r="P117" i="47" s="1"/>
  <c r="S176" i="58"/>
  <c r="S235" i="58" s="1"/>
  <c r="S250" i="58" s="1"/>
  <c r="P112" i="47" s="1"/>
  <c r="S175" i="58"/>
  <c r="S234" i="58" s="1"/>
  <c r="S249" i="58" s="1"/>
  <c r="P111" i="47" s="1"/>
  <c r="S180" i="58"/>
  <c r="S239" i="58" s="1"/>
  <c r="S254" i="58" s="1"/>
  <c r="P110" i="47" s="1"/>
  <c r="S181" i="58"/>
  <c r="S240" i="58" s="1"/>
  <c r="S255" i="58" s="1"/>
  <c r="P116" i="47" s="1"/>
  <c r="S182" i="58"/>
  <c r="S241" i="58" s="1"/>
  <c r="S256" i="58" s="1"/>
  <c r="P114" i="47" s="1"/>
  <c r="U156" i="58"/>
  <c r="V97" i="58"/>
  <c r="V159" i="58"/>
  <c r="W100" i="58"/>
  <c r="R220" i="58"/>
  <c r="T52" i="58"/>
  <c r="Y75" i="58"/>
  <c r="Y78" i="58"/>
  <c r="T203" i="58"/>
  <c r="T204" i="58"/>
  <c r="T198" i="58"/>
  <c r="T201" i="58"/>
  <c r="T197" i="58"/>
  <c r="T199" i="58"/>
  <c r="T205" i="58"/>
  <c r="T202" i="58"/>
  <c r="T200" i="58"/>
  <c r="AH73" i="58"/>
  <c r="U153" i="58"/>
  <c r="V94" i="58"/>
  <c r="R222" i="58"/>
  <c r="R260" i="58" s="1"/>
  <c r="O121" i="47" s="1"/>
  <c r="T49" i="58"/>
  <c r="U158" i="58"/>
  <c r="V99" i="58"/>
  <c r="R221" i="58"/>
  <c r="R259" i="58" s="1"/>
  <c r="O120" i="47" s="1"/>
  <c r="U152" i="58"/>
  <c r="V93" i="58"/>
  <c r="S187" i="58"/>
  <c r="S186" i="58"/>
  <c r="S190" i="58"/>
  <c r="S191" i="58"/>
  <c r="S188" i="58"/>
  <c r="S194" i="58"/>
  <c r="S192" i="58"/>
  <c r="S193" i="58"/>
  <c r="S189" i="58"/>
  <c r="N258" i="58"/>
  <c r="K118" i="47" s="1"/>
  <c r="N245" i="58"/>
  <c r="R225" i="58"/>
  <c r="R263" i="58" s="1"/>
  <c r="O126" i="47" s="1"/>
  <c r="W24" i="58"/>
  <c r="AG70" i="58"/>
  <c r="AF94" i="58"/>
  <c r="V98" i="58"/>
  <c r="U157" i="58"/>
  <c r="R228" i="58"/>
  <c r="R266" i="58" s="1"/>
  <c r="O123" i="47" s="1"/>
  <c r="AG78" i="58"/>
  <c r="Y71" i="58"/>
  <c r="Y70" i="58"/>
  <c r="Z72" i="58"/>
  <c r="S197" i="58"/>
  <c r="S204" i="58"/>
  <c r="S203" i="58"/>
  <c r="S200" i="58"/>
  <c r="S198" i="58"/>
  <c r="S202" i="58"/>
  <c r="S205" i="58"/>
  <c r="S199" i="58"/>
  <c r="S201" i="58"/>
  <c r="AH74" i="58"/>
  <c r="V154" i="58"/>
  <c r="W95" i="58"/>
  <c r="U44" i="58"/>
  <c r="U43" i="58"/>
  <c r="U49" i="58" s="1"/>
  <c r="U45" i="58"/>
  <c r="U51" i="58" s="1"/>
  <c r="U46" i="58"/>
  <c r="W31" i="58"/>
  <c r="W34" i="58" s="1"/>
  <c r="W35" i="58" s="1"/>
  <c r="AH72" i="58"/>
  <c r="Y73" i="58"/>
  <c r="S181" i="57"/>
  <c r="S182" i="57" s="1"/>
  <c r="M181" i="57"/>
  <c r="M182" i="57" s="1"/>
  <c r="U19" i="32"/>
  <c r="N85" i="47"/>
  <c r="O85" i="47"/>
  <c r="P25" i="44"/>
  <c r="P26" i="44" s="1"/>
  <c r="W22" i="32"/>
  <c r="W34" i="32" s="1"/>
  <c r="W37" i="32" s="1"/>
  <c r="W24" i="32"/>
  <c r="W36" i="32" s="1"/>
  <c r="W23" i="32"/>
  <c r="W35" i="32" s="1"/>
  <c r="W38" i="32" s="1"/>
  <c r="Q35" i="44"/>
  <c r="X10" i="58"/>
  <c r="X23" i="58" s="1"/>
  <c r="X6" i="35"/>
  <c r="W45" i="32"/>
  <c r="O206" i="57"/>
  <c r="P206" i="57" s="1"/>
  <c r="N220" i="57"/>
  <c r="K107" i="47" s="1"/>
  <c r="N234" i="57"/>
  <c r="O234" i="57" s="1"/>
  <c r="O207" i="57"/>
  <c r="P207" i="57" s="1"/>
  <c r="N221" i="57"/>
  <c r="K105" i="47" s="1"/>
  <c r="N235" i="57"/>
  <c r="O235" i="57" s="1"/>
  <c r="N233" i="57"/>
  <c r="O233" i="57" s="1"/>
  <c r="O205" i="57"/>
  <c r="P205" i="57" s="1"/>
  <c r="N219" i="57"/>
  <c r="K103" i="47" s="1"/>
  <c r="N86" i="47"/>
  <c r="N108" i="47"/>
  <c r="Y6" i="35"/>
  <c r="V36" i="32"/>
  <c r="P48" i="29"/>
  <c r="L84" i="47"/>
  <c r="V34" i="32"/>
  <c r="V37" i="32" s="1"/>
  <c r="V25" i="32"/>
  <c r="V18" i="32" s="1"/>
  <c r="AA94" i="32"/>
  <c r="Z73" i="32"/>
  <c r="Z80" i="32" s="1"/>
  <c r="Q24" i="35"/>
  <c r="M9" i="47"/>
  <c r="R25" i="35"/>
  <c r="N6" i="47"/>
  <c r="Q22" i="35"/>
  <c r="M5" i="47"/>
  <c r="Q23" i="35"/>
  <c r="M8" i="47"/>
  <c r="Q26" i="35"/>
  <c r="M7" i="47"/>
  <c r="AG83" i="47"/>
  <c r="AK47" i="29"/>
  <c r="V43" i="58" l="1"/>
  <c r="V49" i="58" s="1"/>
  <c r="V45" i="58"/>
  <c r="V51" i="58" s="1"/>
  <c r="V46" i="58"/>
  <c r="W169" i="58"/>
  <c r="W168" i="58"/>
  <c r="W164" i="58"/>
  <c r="W166" i="58"/>
  <c r="W165" i="58"/>
  <c r="W163" i="58"/>
  <c r="W170" i="58"/>
  <c r="W162" i="58"/>
  <c r="W167" i="58"/>
  <c r="W36" i="58"/>
  <c r="W41" i="58" s="1"/>
  <c r="W44" i="58" s="1"/>
  <c r="T187" i="58"/>
  <c r="AF96" i="58"/>
  <c r="T186" i="58"/>
  <c r="T189" i="58"/>
  <c r="U50" i="58"/>
  <c r="T192" i="58"/>
  <c r="T194" i="58"/>
  <c r="T191" i="58"/>
  <c r="T190" i="58"/>
  <c r="T188" i="58"/>
  <c r="AF97" i="58"/>
  <c r="S221" i="58"/>
  <c r="S259" i="58" s="1"/>
  <c r="P120" i="47" s="1"/>
  <c r="AF100" i="58"/>
  <c r="S228" i="58"/>
  <c r="S266" i="58" s="1"/>
  <c r="P123" i="47" s="1"/>
  <c r="S225" i="58"/>
  <c r="S263" i="58" s="1"/>
  <c r="P126" i="47" s="1"/>
  <c r="Z73" i="58"/>
  <c r="U176" i="58"/>
  <c r="U235" i="58" s="1"/>
  <c r="U250" i="58" s="1"/>
  <c r="R112" i="47" s="1"/>
  <c r="U174" i="58"/>
  <c r="U233" i="58" s="1"/>
  <c r="U248" i="58" s="1"/>
  <c r="R109" i="47" s="1"/>
  <c r="U179" i="58"/>
  <c r="U238" i="58" s="1"/>
  <c r="U253" i="58" s="1"/>
  <c r="R117" i="47" s="1"/>
  <c r="U181" i="58"/>
  <c r="U240" i="58" s="1"/>
  <c r="U255" i="58" s="1"/>
  <c r="R116" i="47" s="1"/>
  <c r="U178" i="58"/>
  <c r="U237" i="58" s="1"/>
  <c r="U252" i="58" s="1"/>
  <c r="R115" i="47" s="1"/>
  <c r="U177" i="58"/>
  <c r="U236" i="58" s="1"/>
  <c r="U251" i="58" s="1"/>
  <c r="R113" i="47" s="1"/>
  <c r="U175" i="58"/>
  <c r="U234" i="58" s="1"/>
  <c r="U249" i="58" s="1"/>
  <c r="R111" i="47" s="1"/>
  <c r="U182" i="58"/>
  <c r="U241" i="58" s="1"/>
  <c r="U256" i="58" s="1"/>
  <c r="R114" i="47" s="1"/>
  <c r="U180" i="58"/>
  <c r="U239" i="58" s="1"/>
  <c r="U254" i="58" s="1"/>
  <c r="R110" i="47" s="1"/>
  <c r="S226" i="58"/>
  <c r="S264" i="58" s="1"/>
  <c r="P119" i="47" s="1"/>
  <c r="T182" i="58"/>
  <c r="T241" i="58" s="1"/>
  <c r="T256" i="58" s="1"/>
  <c r="Q114" i="47" s="1"/>
  <c r="T174" i="58"/>
  <c r="T233" i="58" s="1"/>
  <c r="T248" i="58" s="1"/>
  <c r="Q109" i="47" s="1"/>
  <c r="T179" i="58"/>
  <c r="T238" i="58" s="1"/>
  <c r="T253" i="58" s="1"/>
  <c r="Q117" i="47" s="1"/>
  <c r="T181" i="58"/>
  <c r="T240" i="58" s="1"/>
  <c r="T255" i="58" s="1"/>
  <c r="Q116" i="47" s="1"/>
  <c r="T180" i="58"/>
  <c r="T239" i="58" s="1"/>
  <c r="T254" i="58" s="1"/>
  <c r="Q110" i="47" s="1"/>
  <c r="T176" i="58"/>
  <c r="T235" i="58" s="1"/>
  <c r="T250" i="58" s="1"/>
  <c r="Q112" i="47" s="1"/>
  <c r="T177" i="58"/>
  <c r="T236" i="58" s="1"/>
  <c r="T251" i="58" s="1"/>
  <c r="Q113" i="47" s="1"/>
  <c r="T178" i="58"/>
  <c r="T237" i="58" s="1"/>
  <c r="T252" i="58" s="1"/>
  <c r="Q115" i="47" s="1"/>
  <c r="T53" i="58"/>
  <c r="T175" i="58"/>
  <c r="T234" i="58" s="1"/>
  <c r="T249" i="58" s="1"/>
  <c r="Q111" i="47" s="1"/>
  <c r="AG99" i="58"/>
  <c r="U192" i="58"/>
  <c r="U193" i="58"/>
  <c r="U189" i="58"/>
  <c r="U187" i="58"/>
  <c r="U186" i="58"/>
  <c r="U194" i="58"/>
  <c r="U188" i="58"/>
  <c r="U190" i="58"/>
  <c r="U191" i="58"/>
  <c r="V157" i="58"/>
  <c r="W98" i="58"/>
  <c r="V156" i="58"/>
  <c r="W97" i="58"/>
  <c r="W154" i="58"/>
  <c r="X95" i="58"/>
  <c r="AG94" i="58"/>
  <c r="S222" i="58"/>
  <c r="S260" i="58" s="1"/>
  <c r="P121" i="47" s="1"/>
  <c r="V153" i="58"/>
  <c r="W94" i="58"/>
  <c r="AG95" i="58"/>
  <c r="V151" i="58"/>
  <c r="W92" i="58"/>
  <c r="AA72" i="58"/>
  <c r="Z78" i="58"/>
  <c r="AI72" i="58"/>
  <c r="AJ72" i="58" s="1"/>
  <c r="AI74" i="58"/>
  <c r="AJ74" i="58" s="1"/>
  <c r="AH70" i="58"/>
  <c r="S224" i="58"/>
  <c r="S262" i="58" s="1"/>
  <c r="P124" i="47" s="1"/>
  <c r="AI73" i="58"/>
  <c r="AJ73" i="58" s="1"/>
  <c r="Z74" i="58"/>
  <c r="Z70" i="58"/>
  <c r="S220" i="58"/>
  <c r="Z75" i="58"/>
  <c r="V50" i="58"/>
  <c r="AG93" i="58"/>
  <c r="X24" i="58"/>
  <c r="V152" i="58"/>
  <c r="W93" i="58"/>
  <c r="T215" i="58"/>
  <c r="T227" i="58" s="1"/>
  <c r="T265" i="58" s="1"/>
  <c r="Q125" i="47" s="1"/>
  <c r="T211" i="58"/>
  <c r="T223" i="58" s="1"/>
  <c r="T261" i="58" s="1"/>
  <c r="Q122" i="47" s="1"/>
  <c r="T214" i="58"/>
  <c r="T208" i="58"/>
  <c r="T216" i="58"/>
  <c r="T213" i="58"/>
  <c r="T212" i="58"/>
  <c r="T210" i="58"/>
  <c r="T209" i="58"/>
  <c r="T221" i="58" s="1"/>
  <c r="T259" i="58" s="1"/>
  <c r="Q120" i="47" s="1"/>
  <c r="V155" i="58"/>
  <c r="W96" i="58"/>
  <c r="X31" i="58"/>
  <c r="X34" i="58" s="1"/>
  <c r="X35" i="58" s="1"/>
  <c r="Z71" i="58"/>
  <c r="W25" i="32"/>
  <c r="W18" i="32" s="1"/>
  <c r="R245" i="58"/>
  <c r="R258" i="58"/>
  <c r="O118" i="47" s="1"/>
  <c r="AI75" i="58"/>
  <c r="AJ75" i="58" s="1"/>
  <c r="AH78" i="58"/>
  <c r="AI71" i="58"/>
  <c r="AJ71" i="58" s="1"/>
  <c r="U52" i="58"/>
  <c r="V52" i="58" s="1"/>
  <c r="S223" i="58"/>
  <c r="S261" i="58" s="1"/>
  <c r="P122" i="47" s="1"/>
  <c r="V158" i="58"/>
  <c r="W99" i="58"/>
  <c r="AG98" i="58"/>
  <c r="AG92" i="58"/>
  <c r="U201" i="58"/>
  <c r="U205" i="58"/>
  <c r="U197" i="58"/>
  <c r="U199" i="58"/>
  <c r="U203" i="58"/>
  <c r="U200" i="58"/>
  <c r="U204" i="58"/>
  <c r="U198" i="58"/>
  <c r="U202" i="58"/>
  <c r="S227" i="58"/>
  <c r="S265" i="58" s="1"/>
  <c r="P125" i="47" s="1"/>
  <c r="W159" i="58"/>
  <c r="X100" i="58"/>
  <c r="AH83" i="47"/>
  <c r="AI83" i="47"/>
  <c r="R35" i="44"/>
  <c r="Y10" i="58"/>
  <c r="Y23" i="58" s="1"/>
  <c r="Z6" i="35"/>
  <c r="Q25" i="44"/>
  <c r="Q26" i="44" s="1"/>
  <c r="O220" i="57"/>
  <c r="L107" i="47" s="1"/>
  <c r="O219" i="57"/>
  <c r="L103" i="47" s="1"/>
  <c r="O221" i="57"/>
  <c r="L105" i="47" s="1"/>
  <c r="V17" i="32"/>
  <c r="V19" i="32"/>
  <c r="AA73" i="32"/>
  <c r="AA80" i="32" s="1"/>
  <c r="AB94" i="32"/>
  <c r="M84" i="47"/>
  <c r="Q48" i="29"/>
  <c r="S25" i="35"/>
  <c r="O6" i="47"/>
  <c r="R24" i="35"/>
  <c r="N9" i="47"/>
  <c r="N7" i="47"/>
  <c r="R26" i="35"/>
  <c r="N8" i="47"/>
  <c r="R23" i="35"/>
  <c r="N5" i="47"/>
  <c r="R22" i="35"/>
  <c r="T228" i="58" l="1"/>
  <c r="T266" i="58" s="1"/>
  <c r="Q123" i="47" s="1"/>
  <c r="T226" i="58"/>
  <c r="T264" i="58" s="1"/>
  <c r="Q119" i="47" s="1"/>
  <c r="W45" i="58"/>
  <c r="W51" i="58" s="1"/>
  <c r="W46" i="58"/>
  <c r="W52" i="58" s="1"/>
  <c r="W43" i="58"/>
  <c r="X169" i="58"/>
  <c r="X168" i="58"/>
  <c r="X164" i="58"/>
  <c r="X165" i="58"/>
  <c r="X163" i="58"/>
  <c r="X166" i="58"/>
  <c r="X167" i="58"/>
  <c r="X162" i="58"/>
  <c r="X170" i="58"/>
  <c r="X36" i="58"/>
  <c r="X41" i="58" s="1"/>
  <c r="X45" i="58" s="1"/>
  <c r="U53" i="58"/>
  <c r="T224" i="58"/>
  <c r="T262" i="58" s="1"/>
  <c r="Q124" i="47" s="1"/>
  <c r="T220" i="58"/>
  <c r="T222" i="58"/>
  <c r="T260" i="58" s="1"/>
  <c r="Q121" i="47" s="1"/>
  <c r="T225" i="58"/>
  <c r="T263" i="58" s="1"/>
  <c r="Q126" i="47" s="1"/>
  <c r="AG96" i="58"/>
  <c r="W17" i="32"/>
  <c r="W19" i="32"/>
  <c r="AG97" i="58"/>
  <c r="AG100" i="58"/>
  <c r="U210" i="58"/>
  <c r="U222" i="58" s="1"/>
  <c r="U260" i="58" s="1"/>
  <c r="R121" i="47" s="1"/>
  <c r="U212" i="58"/>
  <c r="U224" i="58" s="1"/>
  <c r="U262" i="58" s="1"/>
  <c r="R124" i="47" s="1"/>
  <c r="U216" i="58"/>
  <c r="U228" i="58" s="1"/>
  <c r="U266" i="58" s="1"/>
  <c r="R123" i="47" s="1"/>
  <c r="U213" i="58"/>
  <c r="U225" i="58" s="1"/>
  <c r="U263" i="58" s="1"/>
  <c r="R126" i="47" s="1"/>
  <c r="U209" i="58"/>
  <c r="U208" i="58"/>
  <c r="U220" i="58" s="1"/>
  <c r="U211" i="58"/>
  <c r="U223" i="58" s="1"/>
  <c r="U261" i="58" s="1"/>
  <c r="R122" i="47" s="1"/>
  <c r="U215" i="58"/>
  <c r="U227" i="58" s="1"/>
  <c r="U265" i="58" s="1"/>
  <c r="R125" i="47" s="1"/>
  <c r="U214" i="58"/>
  <c r="W153" i="58"/>
  <c r="X94" i="58"/>
  <c r="X98" i="58"/>
  <c r="W157" i="58"/>
  <c r="AK75" i="58"/>
  <c r="V174" i="58"/>
  <c r="V233" i="58" s="1"/>
  <c r="V248" i="58" s="1"/>
  <c r="S109" i="47" s="1"/>
  <c r="V182" i="58"/>
  <c r="V241" i="58" s="1"/>
  <c r="V256" i="58" s="1"/>
  <c r="S114" i="47" s="1"/>
  <c r="V179" i="58"/>
  <c r="V238" i="58" s="1"/>
  <c r="V253" i="58" s="1"/>
  <c r="S117" i="47" s="1"/>
  <c r="V181" i="58"/>
  <c r="V240" i="58" s="1"/>
  <c r="V255" i="58" s="1"/>
  <c r="S116" i="47" s="1"/>
  <c r="V175" i="58"/>
  <c r="V234" i="58" s="1"/>
  <c r="V249" i="58" s="1"/>
  <c r="S111" i="47" s="1"/>
  <c r="V178" i="58"/>
  <c r="V237" i="58" s="1"/>
  <c r="V252" i="58" s="1"/>
  <c r="S115" i="47" s="1"/>
  <c r="V177" i="58"/>
  <c r="V236" i="58" s="1"/>
  <c r="V251" i="58" s="1"/>
  <c r="S113" i="47" s="1"/>
  <c r="V176" i="58"/>
  <c r="V235" i="58" s="1"/>
  <c r="V250" i="58" s="1"/>
  <c r="S112" i="47" s="1"/>
  <c r="V180" i="58"/>
  <c r="V239" i="58" s="1"/>
  <c r="V254" i="58" s="1"/>
  <c r="S110" i="47" s="1"/>
  <c r="V53" i="58"/>
  <c r="V210" i="58"/>
  <c r="V212" i="58"/>
  <c r="V216" i="58"/>
  <c r="V215" i="58"/>
  <c r="V211" i="58"/>
  <c r="V214" i="58"/>
  <c r="V213" i="58"/>
  <c r="V209" i="58"/>
  <c r="V208" i="58"/>
  <c r="AK72" i="58"/>
  <c r="AK71" i="58"/>
  <c r="AA74" i="58"/>
  <c r="Y24" i="58"/>
  <c r="AA78" i="58"/>
  <c r="AH94" i="58"/>
  <c r="AH93" i="58"/>
  <c r="X159" i="58"/>
  <c r="Y100" i="58"/>
  <c r="AH92" i="58"/>
  <c r="X154" i="58"/>
  <c r="Y95" i="58"/>
  <c r="AI78" i="58"/>
  <c r="AJ78" i="58" s="1"/>
  <c r="AA71" i="58"/>
  <c r="V193" i="58"/>
  <c r="V192" i="58"/>
  <c r="V187" i="58"/>
  <c r="V189" i="58"/>
  <c r="V188" i="58"/>
  <c r="V191" i="58"/>
  <c r="V186" i="58"/>
  <c r="V190" i="58"/>
  <c r="V194" i="58"/>
  <c r="AK73" i="58"/>
  <c r="X92" i="58"/>
  <c r="W151" i="58"/>
  <c r="U221" i="58"/>
  <c r="U259" i="58" s="1"/>
  <c r="R120" i="47" s="1"/>
  <c r="Y31" i="58"/>
  <c r="Y34" i="58" s="1"/>
  <c r="Y35" i="58" s="1"/>
  <c r="W50" i="58"/>
  <c r="AA75" i="58"/>
  <c r="AI70" i="58"/>
  <c r="AJ70" i="58" s="1"/>
  <c r="W158" i="58"/>
  <c r="X99" i="58"/>
  <c r="AH95" i="58"/>
  <c r="AH98" i="58"/>
  <c r="V202" i="58"/>
  <c r="V201" i="58"/>
  <c r="V200" i="58"/>
  <c r="V205" i="58"/>
  <c r="V197" i="58"/>
  <c r="V199" i="58"/>
  <c r="V198" i="58"/>
  <c r="V203" i="58"/>
  <c r="V204" i="58"/>
  <c r="S245" i="58"/>
  <c r="S258" i="58"/>
  <c r="P118" i="47" s="1"/>
  <c r="W156" i="58"/>
  <c r="X97" i="58"/>
  <c r="U226" i="58"/>
  <c r="U264" i="58" s="1"/>
  <c r="R119" i="47" s="1"/>
  <c r="AA73" i="58"/>
  <c r="W49" i="58"/>
  <c r="X96" i="58"/>
  <c r="W155" i="58"/>
  <c r="X93" i="58"/>
  <c r="W152" i="58"/>
  <c r="AA70" i="58"/>
  <c r="AK74" i="58"/>
  <c r="AH99" i="58"/>
  <c r="N84" i="47"/>
  <c r="O84" i="47"/>
  <c r="S35" i="44"/>
  <c r="Z10" i="58"/>
  <c r="Z23" i="58" s="1"/>
  <c r="AA6" i="35"/>
  <c r="R25" i="44"/>
  <c r="R26" i="44" s="1"/>
  <c r="AB73" i="32"/>
  <c r="AC94" i="32"/>
  <c r="O5" i="47"/>
  <c r="S22" i="35"/>
  <c r="S24" i="35"/>
  <c r="O9" i="47"/>
  <c r="S23" i="35"/>
  <c r="O8" i="47"/>
  <c r="P6" i="47"/>
  <c r="T25" i="35"/>
  <c r="S26" i="35"/>
  <c r="O7" i="47"/>
  <c r="W199" i="58" l="1"/>
  <c r="W197" i="58"/>
  <c r="W205" i="58"/>
  <c r="W203" i="58"/>
  <c r="W200" i="58"/>
  <c r="W202" i="58"/>
  <c r="W201" i="58"/>
  <c r="W198" i="58"/>
  <c r="W204" i="58"/>
  <c r="X51" i="58"/>
  <c r="X204" i="58" s="1"/>
  <c r="T245" i="58"/>
  <c r="T258" i="58"/>
  <c r="Q118" i="47" s="1"/>
  <c r="X46" i="58"/>
  <c r="X52" i="58" s="1"/>
  <c r="X44" i="58"/>
  <c r="X50" i="58" s="1"/>
  <c r="X43" i="58"/>
  <c r="X49" i="58" s="1"/>
  <c r="Y169" i="58"/>
  <c r="Y168" i="58"/>
  <c r="Y164" i="58"/>
  <c r="Y163" i="58"/>
  <c r="Y167" i="58"/>
  <c r="Y165" i="58"/>
  <c r="Y170" i="58"/>
  <c r="Y166" i="58"/>
  <c r="Y162" i="58"/>
  <c r="Y36" i="58"/>
  <c r="Y41" i="58" s="1"/>
  <c r="Y45" i="58" s="1"/>
  <c r="AH96" i="58"/>
  <c r="AH97" i="58"/>
  <c r="V228" i="58"/>
  <c r="V266" i="58" s="1"/>
  <c r="S123" i="47" s="1"/>
  <c r="V222" i="58"/>
  <c r="V260" i="58" s="1"/>
  <c r="S121" i="47" s="1"/>
  <c r="AH100" i="58"/>
  <c r="V223" i="58"/>
  <c r="V261" i="58" s="1"/>
  <c r="S122" i="47" s="1"/>
  <c r="AI92" i="58"/>
  <c r="V221" i="58"/>
  <c r="V259" i="58" s="1"/>
  <c r="S120" i="47" s="1"/>
  <c r="W178" i="58"/>
  <c r="W237" i="58" s="1"/>
  <c r="W252" i="58" s="1"/>
  <c r="T115" i="47" s="1"/>
  <c r="W176" i="58"/>
  <c r="W235" i="58" s="1"/>
  <c r="W250" i="58" s="1"/>
  <c r="T112" i="47" s="1"/>
  <c r="W182" i="58"/>
  <c r="W241" i="58" s="1"/>
  <c r="W256" i="58" s="1"/>
  <c r="T114" i="47" s="1"/>
  <c r="W53" i="58"/>
  <c r="W181" i="58"/>
  <c r="W240" i="58" s="1"/>
  <c r="W255" i="58" s="1"/>
  <c r="T116" i="47" s="1"/>
  <c r="W174" i="58"/>
  <c r="W233" i="58" s="1"/>
  <c r="W248" i="58" s="1"/>
  <c r="T109" i="47" s="1"/>
  <c r="W180" i="58"/>
  <c r="W239" i="58" s="1"/>
  <c r="W254" i="58" s="1"/>
  <c r="T110" i="47" s="1"/>
  <c r="W177" i="58"/>
  <c r="W236" i="58" s="1"/>
  <c r="W251" i="58" s="1"/>
  <c r="T113" i="47" s="1"/>
  <c r="W179" i="58"/>
  <c r="W238" i="58" s="1"/>
  <c r="W253" i="58" s="1"/>
  <c r="T117" i="47" s="1"/>
  <c r="W175" i="58"/>
  <c r="W234" i="58" s="1"/>
  <c r="W249" i="58" s="1"/>
  <c r="T111" i="47" s="1"/>
  <c r="X158" i="58"/>
  <c r="Y99" i="58"/>
  <c r="Y159" i="58"/>
  <c r="Z100" i="58"/>
  <c r="Z24" i="58"/>
  <c r="X155" i="58"/>
  <c r="Y96" i="58"/>
  <c r="V226" i="58"/>
  <c r="V264" i="58" s="1"/>
  <c r="S119" i="47" s="1"/>
  <c r="AI99" i="58"/>
  <c r="X151" i="58"/>
  <c r="Y92" i="58"/>
  <c r="V227" i="58"/>
  <c r="V265" i="58" s="1"/>
  <c r="S125" i="47" s="1"/>
  <c r="AK70" i="58"/>
  <c r="U245" i="58"/>
  <c r="U258" i="58"/>
  <c r="R118" i="47" s="1"/>
  <c r="AI93" i="58"/>
  <c r="AL74" i="58"/>
  <c r="AL73" i="58"/>
  <c r="X156" i="58"/>
  <c r="Y97" i="58"/>
  <c r="W212" i="58"/>
  <c r="W213" i="58"/>
  <c r="W209" i="58"/>
  <c r="W208" i="58"/>
  <c r="W210" i="58"/>
  <c r="W211" i="58"/>
  <c r="W215" i="58"/>
  <c r="W214" i="58"/>
  <c r="W216" i="58"/>
  <c r="AL75" i="58"/>
  <c r="AI98" i="58"/>
  <c r="AK78" i="58"/>
  <c r="AL71" i="58"/>
  <c r="Z31" i="58"/>
  <c r="Z34" i="58" s="1"/>
  <c r="Z35" i="58" s="1"/>
  <c r="W193" i="58"/>
  <c r="W189" i="58"/>
  <c r="W192" i="58"/>
  <c r="W190" i="58"/>
  <c r="W187" i="58"/>
  <c r="W186" i="58"/>
  <c r="W191" i="58"/>
  <c r="W194" i="58"/>
  <c r="W188" i="58"/>
  <c r="V224" i="58"/>
  <c r="V262" i="58" s="1"/>
  <c r="S124" i="47" s="1"/>
  <c r="V220" i="58"/>
  <c r="Y154" i="58"/>
  <c r="Z95" i="58"/>
  <c r="AI94" i="58"/>
  <c r="AL72" i="58"/>
  <c r="X157" i="58"/>
  <c r="Y98" i="58"/>
  <c r="X152" i="58"/>
  <c r="Y93" i="58"/>
  <c r="AI95" i="58"/>
  <c r="V225" i="58"/>
  <c r="V263" i="58" s="1"/>
  <c r="S126" i="47" s="1"/>
  <c r="X153" i="58"/>
  <c r="Y94" i="58"/>
  <c r="T35" i="44"/>
  <c r="AA10" i="58"/>
  <c r="AA23" i="58" s="1"/>
  <c r="S25" i="44"/>
  <c r="S26" i="44" s="1"/>
  <c r="AD94" i="32"/>
  <c r="AC73" i="32"/>
  <c r="AC80" i="32" s="1"/>
  <c r="V76" i="32"/>
  <c r="N76" i="32"/>
  <c r="AA76" i="32"/>
  <c r="AB80" i="32"/>
  <c r="S76" i="32"/>
  <c r="O76" i="32"/>
  <c r="X75" i="32"/>
  <c r="W76" i="32"/>
  <c r="N75" i="32"/>
  <c r="W75" i="32"/>
  <c r="U76" i="32"/>
  <c r="Y76" i="32"/>
  <c r="Q76" i="32"/>
  <c r="S75" i="32"/>
  <c r="R75" i="32"/>
  <c r="O75" i="32"/>
  <c r="R76" i="32"/>
  <c r="Q75" i="32"/>
  <c r="T75" i="32"/>
  <c r="AA75" i="32"/>
  <c r="Z76" i="32"/>
  <c r="X76" i="32"/>
  <c r="U75" i="32"/>
  <c r="Y75" i="32"/>
  <c r="T76" i="32"/>
  <c r="P76" i="32"/>
  <c r="Z75" i="32"/>
  <c r="P75" i="32"/>
  <c r="V75" i="32"/>
  <c r="P9" i="47"/>
  <c r="T24" i="35"/>
  <c r="T26" i="35"/>
  <c r="P7" i="47"/>
  <c r="T23" i="35"/>
  <c r="P8" i="47"/>
  <c r="T22" i="35"/>
  <c r="P5" i="47"/>
  <c r="U25" i="35"/>
  <c r="Q6" i="47"/>
  <c r="X188" i="58" l="1"/>
  <c r="X191" i="58"/>
  <c r="Y46" i="58"/>
  <c r="Y44" i="58"/>
  <c r="Y50" i="58" s="1"/>
  <c r="Y188" i="58" s="1"/>
  <c r="Y43" i="58"/>
  <c r="Y49" i="58" s="1"/>
  <c r="Y182" i="58" s="1"/>
  <c r="Y241" i="58" s="1"/>
  <c r="Y256" i="58" s="1"/>
  <c r="V114" i="47" s="1"/>
  <c r="X202" i="58"/>
  <c r="X198" i="58"/>
  <c r="Y51" i="58"/>
  <c r="X203" i="58"/>
  <c r="X199" i="58"/>
  <c r="X197" i="58"/>
  <c r="X186" i="58"/>
  <c r="X201" i="58"/>
  <c r="X205" i="58"/>
  <c r="X200" i="58"/>
  <c r="X214" i="58"/>
  <c r="X211" i="58"/>
  <c r="X216" i="58"/>
  <c r="X209" i="58"/>
  <c r="X210" i="58"/>
  <c r="X208" i="58"/>
  <c r="X215" i="58"/>
  <c r="X212" i="58"/>
  <c r="X213" i="58"/>
  <c r="Y52" i="58"/>
  <c r="Y216" i="58" s="1"/>
  <c r="X53" i="58"/>
  <c r="Z168" i="58"/>
  <c r="Z169" i="58"/>
  <c r="Z164" i="58"/>
  <c r="Z162" i="58"/>
  <c r="Z166" i="58"/>
  <c r="Z167" i="58"/>
  <c r="Z170" i="58"/>
  <c r="Z165" i="58"/>
  <c r="Z163" i="58"/>
  <c r="Z36" i="58"/>
  <c r="Z41" i="58" s="1"/>
  <c r="Z44" i="58" s="1"/>
  <c r="X193" i="58"/>
  <c r="X194" i="58"/>
  <c r="X187" i="58"/>
  <c r="X190" i="58"/>
  <c r="X192" i="58"/>
  <c r="X189" i="58"/>
  <c r="W227" i="58"/>
  <c r="W265" i="58" s="1"/>
  <c r="T125" i="47" s="1"/>
  <c r="AI96" i="58"/>
  <c r="AJ96" i="58" s="1"/>
  <c r="AK96" i="58" s="1"/>
  <c r="W222" i="58"/>
  <c r="W260" i="58" s="1"/>
  <c r="T121" i="47" s="1"/>
  <c r="W221" i="58"/>
  <c r="W259" i="58" s="1"/>
  <c r="T120" i="47" s="1"/>
  <c r="W228" i="58"/>
  <c r="W266" i="58" s="1"/>
  <c r="T123" i="47" s="1"/>
  <c r="W224" i="58"/>
  <c r="W262" i="58" s="1"/>
  <c r="T124" i="47" s="1"/>
  <c r="AI97" i="58"/>
  <c r="AJ97" i="58" s="1"/>
  <c r="AK97" i="58" s="1"/>
  <c r="W226" i="58"/>
  <c r="W264" i="58" s="1"/>
  <c r="T119" i="47" s="1"/>
  <c r="AI100" i="58"/>
  <c r="AJ100" i="58" s="1"/>
  <c r="AK100" i="58" s="1"/>
  <c r="W220" i="58"/>
  <c r="Y158" i="58"/>
  <c r="Z99" i="58"/>
  <c r="AJ98" i="58"/>
  <c r="Y156" i="58"/>
  <c r="Z97" i="58"/>
  <c r="AJ94" i="58"/>
  <c r="W223" i="58"/>
  <c r="W261" i="58" s="1"/>
  <c r="T122" i="47" s="1"/>
  <c r="AM75" i="58"/>
  <c r="AN75" i="58" s="1"/>
  <c r="AO75" i="58" s="1"/>
  <c r="AP75" i="58" s="1"/>
  <c r="AQ75" i="58" s="1"/>
  <c r="AR75" i="58" s="1"/>
  <c r="AS75" i="58" s="1"/>
  <c r="AT75" i="58" s="1"/>
  <c r="AU75" i="58" s="1"/>
  <c r="Z154" i="58"/>
  <c r="AA95" i="58"/>
  <c r="AM73" i="58"/>
  <c r="AN73" i="58" s="1"/>
  <c r="AO73" i="58" s="1"/>
  <c r="AP73" i="58" s="1"/>
  <c r="AQ73" i="58" s="1"/>
  <c r="AR73" i="58" s="1"/>
  <c r="AS73" i="58" s="1"/>
  <c r="AT73" i="58" s="1"/>
  <c r="AU73" i="58" s="1"/>
  <c r="AA31" i="58"/>
  <c r="AA34" i="58" s="1"/>
  <c r="AA35" i="58" s="1"/>
  <c r="AA36" i="58" s="1"/>
  <c r="Y204" i="58"/>
  <c r="Y203" i="58"/>
  <c r="Y200" i="58"/>
  <c r="Y197" i="58"/>
  <c r="Y201" i="58"/>
  <c r="Y198" i="58"/>
  <c r="Y205" i="58"/>
  <c r="Y202" i="58"/>
  <c r="Y199" i="58"/>
  <c r="Y151" i="58"/>
  <c r="Z92" i="58"/>
  <c r="AJ99" i="58"/>
  <c r="V245" i="58"/>
  <c r="V258" i="58"/>
  <c r="S118" i="47" s="1"/>
  <c r="AM74" i="58"/>
  <c r="AN74" i="58" s="1"/>
  <c r="AO74" i="58" s="1"/>
  <c r="AP74" i="58" s="1"/>
  <c r="AQ74" i="58" s="1"/>
  <c r="AR74" i="58" s="1"/>
  <c r="AS74" i="58" s="1"/>
  <c r="AT74" i="58" s="1"/>
  <c r="AU74" i="58" s="1"/>
  <c r="Y155" i="58"/>
  <c r="Z96" i="58"/>
  <c r="AJ95" i="58"/>
  <c r="AM71" i="58"/>
  <c r="AN71" i="58" s="1"/>
  <c r="AO71" i="58" s="1"/>
  <c r="AP71" i="58" s="1"/>
  <c r="AQ71" i="58" s="1"/>
  <c r="AR71" i="58" s="1"/>
  <c r="AS71" i="58" s="1"/>
  <c r="AT71" i="58" s="1"/>
  <c r="AU71" i="58" s="1"/>
  <c r="X179" i="58"/>
  <c r="X238" i="58" s="1"/>
  <c r="X253" i="58" s="1"/>
  <c r="U117" i="47" s="1"/>
  <c r="X175" i="58"/>
  <c r="X234" i="58" s="1"/>
  <c r="X249" i="58" s="1"/>
  <c r="U111" i="47" s="1"/>
  <c r="X176" i="58"/>
  <c r="X235" i="58" s="1"/>
  <c r="X250" i="58" s="1"/>
  <c r="U112" i="47" s="1"/>
  <c r="X180" i="58"/>
  <c r="X239" i="58" s="1"/>
  <c r="X254" i="58" s="1"/>
  <c r="U110" i="47" s="1"/>
  <c r="X182" i="58"/>
  <c r="X241" i="58" s="1"/>
  <c r="X256" i="58" s="1"/>
  <c r="U114" i="47" s="1"/>
  <c r="X177" i="58"/>
  <c r="X236" i="58" s="1"/>
  <c r="X251" i="58" s="1"/>
  <c r="U113" i="47" s="1"/>
  <c r="X174" i="58"/>
  <c r="X233" i="58" s="1"/>
  <c r="X248" i="58" s="1"/>
  <c r="U109" i="47" s="1"/>
  <c r="X181" i="58"/>
  <c r="X240" i="58" s="1"/>
  <c r="X255" i="58" s="1"/>
  <c r="U116" i="47" s="1"/>
  <c r="X178" i="58"/>
  <c r="X237" i="58" s="1"/>
  <c r="X252" i="58" s="1"/>
  <c r="U115" i="47" s="1"/>
  <c r="AA24" i="58"/>
  <c r="AJ93" i="58"/>
  <c r="Z159" i="58"/>
  <c r="AA100" i="58"/>
  <c r="Y157" i="58"/>
  <c r="Z98" i="58"/>
  <c r="W225" i="58"/>
  <c r="W263" i="58" s="1"/>
  <c r="T126" i="47" s="1"/>
  <c r="Y152" i="58"/>
  <c r="Z93" i="58"/>
  <c r="Y153" i="58"/>
  <c r="Z94" i="58"/>
  <c r="AL78" i="58"/>
  <c r="AM72" i="58"/>
  <c r="AN72" i="58" s="1"/>
  <c r="AO72" i="58" s="1"/>
  <c r="AP72" i="58" s="1"/>
  <c r="AQ72" i="58" s="1"/>
  <c r="AR72" i="58" s="1"/>
  <c r="AS72" i="58" s="1"/>
  <c r="AT72" i="58" s="1"/>
  <c r="AU72" i="58" s="1"/>
  <c r="AL70" i="58"/>
  <c r="AJ92" i="58"/>
  <c r="U35" i="44"/>
  <c r="AB10" i="58"/>
  <c r="AB23" i="58" s="1"/>
  <c r="T25" i="44"/>
  <c r="T26" i="44" s="1"/>
  <c r="AB6" i="35"/>
  <c r="AD73" i="32"/>
  <c r="AD80" i="32" s="1"/>
  <c r="AE94" i="32"/>
  <c r="U23" i="35"/>
  <c r="Q8" i="47"/>
  <c r="Q9" i="47"/>
  <c r="U24" i="35"/>
  <c r="V25" i="35"/>
  <c r="R6" i="47"/>
  <c r="U22" i="35"/>
  <c r="Q5" i="47"/>
  <c r="U26" i="35"/>
  <c r="Q7" i="47"/>
  <c r="X222" i="58" l="1"/>
  <c r="X260" i="58" s="1"/>
  <c r="U121" i="47" s="1"/>
  <c r="X221" i="58"/>
  <c r="X259" i="58" s="1"/>
  <c r="U120" i="47" s="1"/>
  <c r="X228" i="58"/>
  <c r="X266" i="58" s="1"/>
  <c r="U123" i="47" s="1"/>
  <c r="Y187" i="58"/>
  <c r="Y193" i="58"/>
  <c r="Z50" i="58"/>
  <c r="Z191" i="58" s="1"/>
  <c r="Y191" i="58"/>
  <c r="Y192" i="58"/>
  <c r="Y190" i="58"/>
  <c r="Y194" i="58"/>
  <c r="Y186" i="58"/>
  <c r="Y189" i="58"/>
  <c r="X227" i="58"/>
  <c r="X265" i="58" s="1"/>
  <c r="U125" i="47" s="1"/>
  <c r="X225" i="58"/>
  <c r="X263" i="58" s="1"/>
  <c r="U126" i="47" s="1"/>
  <c r="Y179" i="58"/>
  <c r="Y238" i="58" s="1"/>
  <c r="Y253" i="58" s="1"/>
  <c r="V117" i="47" s="1"/>
  <c r="Y175" i="58"/>
  <c r="Y234" i="58" s="1"/>
  <c r="Y249" i="58" s="1"/>
  <c r="V111" i="47" s="1"/>
  <c r="X220" i="58"/>
  <c r="Y176" i="58"/>
  <c r="Z43" i="58"/>
  <c r="Z49" i="58" s="1"/>
  <c r="Y180" i="58"/>
  <c r="Y239" i="58" s="1"/>
  <c r="Y254" i="58" s="1"/>
  <c r="V110" i="47" s="1"/>
  <c r="Y174" i="58"/>
  <c r="Y178" i="58"/>
  <c r="Y181" i="58"/>
  <c r="Y240" i="58" s="1"/>
  <c r="Y255" i="58" s="1"/>
  <c r="V116" i="47" s="1"/>
  <c r="Y177" i="58"/>
  <c r="Y236" i="58" s="1"/>
  <c r="Y251" i="58" s="1"/>
  <c r="V113" i="47" s="1"/>
  <c r="X223" i="58"/>
  <c r="X261" i="58" s="1"/>
  <c r="U122" i="47" s="1"/>
  <c r="X224" i="58"/>
  <c r="X262" i="58" s="1"/>
  <c r="U124" i="47" s="1"/>
  <c r="X226" i="58"/>
  <c r="X264" i="58" s="1"/>
  <c r="U119" i="47" s="1"/>
  <c r="Z45" i="58"/>
  <c r="Z51" i="58" s="1"/>
  <c r="Z203" i="58" s="1"/>
  <c r="Y210" i="58"/>
  <c r="Y222" i="58" s="1"/>
  <c r="Y260" i="58" s="1"/>
  <c r="V121" i="47" s="1"/>
  <c r="Y212" i="58"/>
  <c r="Y224" i="58" s="1"/>
  <c r="Y262" i="58" s="1"/>
  <c r="V124" i="47" s="1"/>
  <c r="Y211" i="58"/>
  <c r="Y209" i="58"/>
  <c r="Y215" i="58"/>
  <c r="Y227" i="58" s="1"/>
  <c r="Y265" i="58" s="1"/>
  <c r="V125" i="47" s="1"/>
  <c r="Y214" i="58"/>
  <c r="Y226" i="58" s="1"/>
  <c r="Y264" i="58" s="1"/>
  <c r="V119" i="47" s="1"/>
  <c r="Y213" i="58"/>
  <c r="Y225" i="58" s="1"/>
  <c r="Y263" i="58" s="1"/>
  <c r="V126" i="47" s="1"/>
  <c r="Y208" i="58"/>
  <c r="Y220" i="58" s="1"/>
  <c r="Y53" i="58"/>
  <c r="Z46" i="58"/>
  <c r="Z52" i="58" s="1"/>
  <c r="Z212" i="58" s="1"/>
  <c r="W245" i="58"/>
  <c r="AA41" i="58"/>
  <c r="AA45" i="58" s="1"/>
  <c r="AA51" i="58" s="1"/>
  <c r="AB24" i="58"/>
  <c r="W258" i="58"/>
  <c r="T118" i="47" s="1"/>
  <c r="AA154" i="58"/>
  <c r="AA159" i="58"/>
  <c r="Y237" i="58"/>
  <c r="Y252" i="58" s="1"/>
  <c r="V115" i="47" s="1"/>
  <c r="Z152" i="58"/>
  <c r="AA93" i="58"/>
  <c r="AA152" i="58" s="1"/>
  <c r="Y233" i="58"/>
  <c r="Y248" i="58" s="1"/>
  <c r="V109" i="47" s="1"/>
  <c r="AK92" i="58"/>
  <c r="Z200" i="58"/>
  <c r="AK93" i="58"/>
  <c r="AM78" i="58"/>
  <c r="AN78" i="58" s="1"/>
  <c r="AO78" i="58" s="1"/>
  <c r="AP78" i="58" s="1"/>
  <c r="AQ78" i="58" s="1"/>
  <c r="AR78" i="58" s="1"/>
  <c r="AS78" i="58" s="1"/>
  <c r="AT78" i="58" s="1"/>
  <c r="AU78" i="58" s="1"/>
  <c r="Z153" i="58"/>
  <c r="AA94" i="58"/>
  <c r="AA153" i="58" s="1"/>
  <c r="Z190" i="58"/>
  <c r="Z187" i="58"/>
  <c r="AK94" i="58"/>
  <c r="AL96" i="58"/>
  <c r="Z179" i="58"/>
  <c r="Z175" i="58"/>
  <c r="Z177" i="58"/>
  <c r="Z236" i="58" s="1"/>
  <c r="Z251" i="58" s="1"/>
  <c r="W113" i="47" s="1"/>
  <c r="Z176" i="58"/>
  <c r="Z182" i="58"/>
  <c r="Z241" i="58" s="1"/>
  <c r="Z256" i="58" s="1"/>
  <c r="W114" i="47" s="1"/>
  <c r="Z181" i="58"/>
  <c r="Z174" i="58"/>
  <c r="Z180" i="58"/>
  <c r="Z178" i="58"/>
  <c r="AM70" i="58"/>
  <c r="AN70" i="58" s="1"/>
  <c r="AO70" i="58" s="1"/>
  <c r="AP70" i="58" s="1"/>
  <c r="AQ70" i="58" s="1"/>
  <c r="AR70" i="58" s="1"/>
  <c r="AS70" i="58" s="1"/>
  <c r="AT70" i="58" s="1"/>
  <c r="AU70" i="58" s="1"/>
  <c r="AL100" i="58"/>
  <c r="AB31" i="58"/>
  <c r="AB34" i="58" s="1"/>
  <c r="Z156" i="58"/>
  <c r="AA97" i="58"/>
  <c r="AA156" i="58" s="1"/>
  <c r="AK95" i="58"/>
  <c r="AK99" i="58"/>
  <c r="Y235" i="58"/>
  <c r="Y250" i="58" s="1"/>
  <c r="V112" i="47" s="1"/>
  <c r="AK98" i="58"/>
  <c r="Z158" i="58"/>
  <c r="AA99" i="58"/>
  <c r="AA158" i="58" s="1"/>
  <c r="AL97" i="58"/>
  <c r="Z155" i="58"/>
  <c r="AA96" i="58"/>
  <c r="AA155" i="58" s="1"/>
  <c r="Z151" i="58"/>
  <c r="AA92" i="58"/>
  <c r="AA151" i="58" s="1"/>
  <c r="AA167" i="58"/>
  <c r="AA165" i="58"/>
  <c r="AA162" i="58"/>
  <c r="AA166" i="58"/>
  <c r="AA163" i="58"/>
  <c r="AA164" i="58"/>
  <c r="AA168" i="58"/>
  <c r="AA169" i="58"/>
  <c r="AA170" i="58"/>
  <c r="Y228" i="58"/>
  <c r="Y266" i="58" s="1"/>
  <c r="V123" i="47" s="1"/>
  <c r="Z157" i="58"/>
  <c r="AA98" i="58"/>
  <c r="AA157" i="58" s="1"/>
  <c r="X258" i="58"/>
  <c r="U118" i="47" s="1"/>
  <c r="V35" i="44"/>
  <c r="AC10" i="58"/>
  <c r="AC23" i="58" s="1"/>
  <c r="U25" i="44"/>
  <c r="U26" i="44" s="1"/>
  <c r="N3" i="29"/>
  <c r="AF94" i="32"/>
  <c r="AE73" i="32"/>
  <c r="AE80" i="32" s="1"/>
  <c r="T21" i="32"/>
  <c r="T45" i="32" s="1"/>
  <c r="X21" i="32"/>
  <c r="X45" i="32" s="1"/>
  <c r="AA21" i="32"/>
  <c r="AA45" i="32" s="1"/>
  <c r="Z21" i="32"/>
  <c r="Z45" i="32" s="1"/>
  <c r="Y21" i="32"/>
  <c r="Y45" i="32" s="1"/>
  <c r="AC21" i="32"/>
  <c r="AC45" i="32" s="1"/>
  <c r="AD21" i="32"/>
  <c r="AB21" i="32"/>
  <c r="AB45" i="32" s="1"/>
  <c r="AC6" i="35"/>
  <c r="AD6" i="35"/>
  <c r="V26" i="35"/>
  <c r="R7" i="47"/>
  <c r="V24" i="35"/>
  <c r="R9" i="47"/>
  <c r="R5" i="47"/>
  <c r="V22" i="35"/>
  <c r="R8" i="47"/>
  <c r="V23" i="35"/>
  <c r="W25" i="35"/>
  <c r="S6" i="47"/>
  <c r="Z186" i="58" l="1"/>
  <c r="Z194" i="58"/>
  <c r="Z193" i="58"/>
  <c r="AA43" i="58"/>
  <c r="AA49" i="58" s="1"/>
  <c r="Z198" i="58"/>
  <c r="Z205" i="58"/>
  <c r="Z197" i="58"/>
  <c r="Y221" i="58"/>
  <c r="Y259" i="58" s="1"/>
  <c r="V120" i="47" s="1"/>
  <c r="Z199" i="58"/>
  <c r="Z201" i="58"/>
  <c r="Z202" i="58"/>
  <c r="Z204" i="58"/>
  <c r="Y223" i="58"/>
  <c r="Y261" i="58" s="1"/>
  <c r="V122" i="47" s="1"/>
  <c r="Z192" i="58"/>
  <c r="Z188" i="58"/>
  <c r="Z189" i="58"/>
  <c r="X245" i="58"/>
  <c r="AC24" i="58"/>
  <c r="Z213" i="58"/>
  <c r="Z211" i="58"/>
  <c r="Z210" i="58"/>
  <c r="Z53" i="58"/>
  <c r="Z209" i="58"/>
  <c r="Z221" i="58" s="1"/>
  <c r="Z259" i="58" s="1"/>
  <c r="W120" i="47" s="1"/>
  <c r="Z215" i="58"/>
  <c r="Z227" i="58" s="1"/>
  <c r="Z265" i="58" s="1"/>
  <c r="W125" i="47" s="1"/>
  <c r="Z214" i="58"/>
  <c r="Z216" i="58"/>
  <c r="AA46" i="58"/>
  <c r="AA52" i="58" s="1"/>
  <c r="AA214" i="58" s="1"/>
  <c r="Z208" i="58"/>
  <c r="AA44" i="58"/>
  <c r="AA50" i="58" s="1"/>
  <c r="AA189" i="58" s="1"/>
  <c r="Z234" i="58"/>
  <c r="Z249" i="58" s="1"/>
  <c r="W111" i="47" s="1"/>
  <c r="AB35" i="58"/>
  <c r="AB156" i="58"/>
  <c r="AB158" i="58"/>
  <c r="AB153" i="58"/>
  <c r="AB152" i="58"/>
  <c r="AB154" i="58"/>
  <c r="AB159" i="58"/>
  <c r="AB151" i="58"/>
  <c r="AB155" i="58"/>
  <c r="AB157" i="58"/>
  <c r="Z224" i="58"/>
  <c r="Z262" i="58" s="1"/>
  <c r="W124" i="47" s="1"/>
  <c r="Z235" i="58"/>
  <c r="Z250" i="58" s="1"/>
  <c r="W112" i="47" s="1"/>
  <c r="Z238" i="58"/>
  <c r="Z253" i="58" s="1"/>
  <c r="W117" i="47" s="1"/>
  <c r="AG60" i="58"/>
  <c r="AB60" i="58"/>
  <c r="AM100" i="58"/>
  <c r="AM97" i="58"/>
  <c r="AM96" i="58"/>
  <c r="AC31" i="58"/>
  <c r="AC34" i="58" s="1"/>
  <c r="AL99" i="58"/>
  <c r="Y245" i="58"/>
  <c r="Y258" i="58"/>
  <c r="V118" i="47" s="1"/>
  <c r="Z237" i="58"/>
  <c r="Z252" i="58" s="1"/>
  <c r="W115" i="47" s="1"/>
  <c r="AL94" i="58"/>
  <c r="AL98" i="58"/>
  <c r="AL95" i="58"/>
  <c r="Z239" i="58"/>
  <c r="Z254" i="58" s="1"/>
  <c r="W110" i="47" s="1"/>
  <c r="Z233" i="58"/>
  <c r="Z248" i="58" s="1"/>
  <c r="W109" i="47" s="1"/>
  <c r="AL93" i="58"/>
  <c r="AL92" i="58"/>
  <c r="AA205" i="58"/>
  <c r="AA199" i="58"/>
  <c r="AA198" i="58"/>
  <c r="AA200" i="58"/>
  <c r="AA203" i="58"/>
  <c r="AA197" i="58"/>
  <c r="AA204" i="58"/>
  <c r="AA201" i="58"/>
  <c r="AA202" i="58"/>
  <c r="AA176" i="58"/>
  <c r="AA235" i="58" s="1"/>
  <c r="AA250" i="58" s="1"/>
  <c r="X112" i="47" s="1"/>
  <c r="AA180" i="58"/>
  <c r="AA239" i="58" s="1"/>
  <c r="AA254" i="58" s="1"/>
  <c r="X110" i="47" s="1"/>
  <c r="AA181" i="58"/>
  <c r="AA240" i="58" s="1"/>
  <c r="AA255" i="58" s="1"/>
  <c r="X116" i="47" s="1"/>
  <c r="AA179" i="58"/>
  <c r="AA238" i="58" s="1"/>
  <c r="AA253" i="58" s="1"/>
  <c r="X117" i="47" s="1"/>
  <c r="AA178" i="58"/>
  <c r="AA237" i="58" s="1"/>
  <c r="AA252" i="58" s="1"/>
  <c r="X115" i="47" s="1"/>
  <c r="AA174" i="58"/>
  <c r="AA233" i="58" s="1"/>
  <c r="AA248" i="58" s="1"/>
  <c r="X109" i="47" s="1"/>
  <c r="AA182" i="58"/>
  <c r="AA241" i="58" s="1"/>
  <c r="AA256" i="58" s="1"/>
  <c r="X114" i="47" s="1"/>
  <c r="AA177" i="58"/>
  <c r="AA236" i="58" s="1"/>
  <c r="AA251" i="58" s="1"/>
  <c r="X113" i="47" s="1"/>
  <c r="AA175" i="58"/>
  <c r="AA234" i="58" s="1"/>
  <c r="AA249" i="58" s="1"/>
  <c r="X111" i="47" s="1"/>
  <c r="Z240" i="58"/>
  <c r="Z255" i="58" s="1"/>
  <c r="W116" i="47" s="1"/>
  <c r="V25" i="44"/>
  <c r="V26" i="44" s="1"/>
  <c r="AC24" i="32"/>
  <c r="W35" i="44"/>
  <c r="AD10" i="58"/>
  <c r="AD23" i="58" s="1"/>
  <c r="AA23" i="32"/>
  <c r="AA35" i="32" s="1"/>
  <c r="AA38" i="32" s="1"/>
  <c r="AA22" i="32"/>
  <c r="AA24" i="32"/>
  <c r="Y24" i="32"/>
  <c r="Y23" i="32"/>
  <c r="Y35" i="32" s="1"/>
  <c r="Y38" i="32" s="1"/>
  <c r="Y22" i="32"/>
  <c r="X22" i="32"/>
  <c r="X23" i="32"/>
  <c r="X35" i="32" s="1"/>
  <c r="X38" i="32" s="1"/>
  <c r="X24" i="32"/>
  <c r="G45" i="32"/>
  <c r="I21" i="57" s="1"/>
  <c r="O32" i="57" s="1"/>
  <c r="AB22" i="32"/>
  <c r="AB24" i="32"/>
  <c r="AB23" i="32"/>
  <c r="T22" i="32"/>
  <c r="T23" i="32"/>
  <c r="T35" i="32" s="1"/>
  <c r="T24" i="32"/>
  <c r="AC23" i="32"/>
  <c r="AC35" i="32" s="1"/>
  <c r="AC38" i="32" s="1"/>
  <c r="AC22" i="32"/>
  <c r="Z24" i="32"/>
  <c r="Z22" i="32"/>
  <c r="Z23" i="32"/>
  <c r="Z35" i="32" s="1"/>
  <c r="Z38" i="32" s="1"/>
  <c r="N5" i="29"/>
  <c r="N18" i="29" s="1"/>
  <c r="N28" i="29"/>
  <c r="N36" i="29" s="1"/>
  <c r="AF73" i="32"/>
  <c r="AF80" i="32" s="1"/>
  <c r="AG94" i="32"/>
  <c r="W26" i="35"/>
  <c r="S7" i="47"/>
  <c r="W24" i="35"/>
  <c r="S9" i="47"/>
  <c r="X25" i="35"/>
  <c r="T6" i="47"/>
  <c r="S5" i="47"/>
  <c r="W22" i="35"/>
  <c r="W23" i="35"/>
  <c r="S8" i="47"/>
  <c r="Z223" i="58" l="1"/>
  <c r="Z261" i="58" s="1"/>
  <c r="W122" i="47" s="1"/>
  <c r="Z220" i="58"/>
  <c r="Z258" i="58" s="1"/>
  <c r="W118" i="47" s="1"/>
  <c r="Z222" i="58"/>
  <c r="Z260" i="58" s="1"/>
  <c r="W121" i="47" s="1"/>
  <c r="Z228" i="58"/>
  <c r="Z266" i="58" s="1"/>
  <c r="W123" i="47" s="1"/>
  <c r="Z226" i="58"/>
  <c r="Z264" i="58" s="1"/>
  <c r="W119" i="47" s="1"/>
  <c r="Z225" i="58"/>
  <c r="Z263" i="58" s="1"/>
  <c r="W126" i="47" s="1"/>
  <c r="AA209" i="58"/>
  <c r="AA212" i="58"/>
  <c r="AA213" i="58"/>
  <c r="AA210" i="58"/>
  <c r="AA216" i="58"/>
  <c r="AA208" i="58"/>
  <c r="AA211" i="58"/>
  <c r="AA223" i="58" s="1"/>
  <c r="AA261" i="58" s="1"/>
  <c r="X122" i="47" s="1"/>
  <c r="AA215" i="58"/>
  <c r="AA192" i="58"/>
  <c r="AA226" i="58" s="1"/>
  <c r="AA264" i="58" s="1"/>
  <c r="X119" i="47" s="1"/>
  <c r="AA190" i="58"/>
  <c r="AA224" i="58" s="1"/>
  <c r="AA262" i="58" s="1"/>
  <c r="X124" i="47" s="1"/>
  <c r="AA188" i="58"/>
  <c r="AA193" i="58"/>
  <c r="AA53" i="58"/>
  <c r="AA191" i="58"/>
  <c r="AA194" i="58"/>
  <c r="AA187" i="58"/>
  <c r="AA186" i="58"/>
  <c r="AC35" i="58"/>
  <c r="AC159" i="58"/>
  <c r="AC155" i="58"/>
  <c r="AC153" i="58"/>
  <c r="AC156" i="58"/>
  <c r="AC151" i="58"/>
  <c r="AC152" i="58"/>
  <c r="AC158" i="58"/>
  <c r="AC157" i="58"/>
  <c r="AC154" i="58"/>
  <c r="Z245" i="58"/>
  <c r="AB169" i="58"/>
  <c r="AB168" i="58"/>
  <c r="AB163" i="58"/>
  <c r="AB162" i="58"/>
  <c r="AB165" i="58"/>
  <c r="AB170" i="58"/>
  <c r="AB167" i="58"/>
  <c r="AB164" i="58"/>
  <c r="AB166" i="58"/>
  <c r="AB36" i="58"/>
  <c r="AB41" i="58" s="1"/>
  <c r="AN96" i="58"/>
  <c r="AD31" i="58"/>
  <c r="AD34" i="58" s="1"/>
  <c r="AM98" i="58"/>
  <c r="AM92" i="58"/>
  <c r="AM94" i="58"/>
  <c r="AN97" i="58"/>
  <c r="AM93" i="58"/>
  <c r="AM99" i="58"/>
  <c r="AN100" i="58"/>
  <c r="AM95" i="58"/>
  <c r="AD24" i="58"/>
  <c r="AD22" i="32"/>
  <c r="AD34" i="32" s="1"/>
  <c r="AD37" i="32" s="1"/>
  <c r="AD24" i="32"/>
  <c r="AD36" i="32" s="1"/>
  <c r="AD23" i="32"/>
  <c r="AD35" i="32" s="1"/>
  <c r="AD38" i="32" s="1"/>
  <c r="X35" i="44"/>
  <c r="AE10" i="58"/>
  <c r="AE23" i="58" s="1"/>
  <c r="AE21" i="32"/>
  <c r="AF21" i="32"/>
  <c r="W25" i="44"/>
  <c r="W26" i="44" s="1"/>
  <c r="AE6" i="35"/>
  <c r="AD45" i="32"/>
  <c r="I32" i="57"/>
  <c r="O87" i="57"/>
  <c r="O90" i="57" s="1"/>
  <c r="N24" i="29"/>
  <c r="N17" i="29"/>
  <c r="N23" i="29" s="1"/>
  <c r="N16" i="29"/>
  <c r="Z34" i="32"/>
  <c r="Z37" i="32" s="1"/>
  <c r="Z25" i="32"/>
  <c r="Z18" i="32" s="1"/>
  <c r="AB36" i="32"/>
  <c r="G24" i="32"/>
  <c r="G36" i="32" s="1"/>
  <c r="AA36" i="32"/>
  <c r="G66" i="32"/>
  <c r="G65" i="32"/>
  <c r="G64" i="32"/>
  <c r="G50" i="32"/>
  <c r="G67" i="32"/>
  <c r="G69" i="32"/>
  <c r="G68" i="32"/>
  <c r="G63" i="32"/>
  <c r="AA34" i="32"/>
  <c r="AA37" i="32" s="1"/>
  <c r="AA25" i="32"/>
  <c r="AA18" i="32" s="1"/>
  <c r="AH94" i="32"/>
  <c r="AG73" i="32"/>
  <c r="AG80" i="32" s="1"/>
  <c r="Y36" i="32"/>
  <c r="T36" i="32"/>
  <c r="X36" i="32"/>
  <c r="AB34" i="32"/>
  <c r="AB37" i="32" s="1"/>
  <c r="G22" i="32"/>
  <c r="AB25" i="32"/>
  <c r="AB19" i="32" s="1"/>
  <c r="T38" i="32"/>
  <c r="Z36" i="32"/>
  <c r="AB51" i="29"/>
  <c r="S51" i="29"/>
  <c r="P108" i="47" s="1"/>
  <c r="AC36" i="32"/>
  <c r="T34" i="32"/>
  <c r="T25" i="32"/>
  <c r="T18" i="32" s="1"/>
  <c r="X34" i="32"/>
  <c r="X37" i="32" s="1"/>
  <c r="X25" i="32"/>
  <c r="X18" i="32" s="1"/>
  <c r="AC34" i="32"/>
  <c r="AC37" i="32" s="1"/>
  <c r="AC25" i="32"/>
  <c r="AC18" i="32" s="1"/>
  <c r="AB35" i="32"/>
  <c r="AB38" i="32" s="1"/>
  <c r="G23" i="32"/>
  <c r="G35" i="32" s="1"/>
  <c r="G38" i="32" s="1"/>
  <c r="Y34" i="32"/>
  <c r="Y37" i="32" s="1"/>
  <c r="Y25" i="32"/>
  <c r="Y18" i="32" s="1"/>
  <c r="Y25" i="35"/>
  <c r="U6" i="47"/>
  <c r="X26" i="35"/>
  <c r="T7" i="47"/>
  <c r="X24" i="35"/>
  <c r="T9" i="47"/>
  <c r="T5" i="47"/>
  <c r="X22" i="35"/>
  <c r="X23" i="35"/>
  <c r="T8" i="47"/>
  <c r="AA225" i="58" l="1"/>
  <c r="AA263" i="58" s="1"/>
  <c r="X126" i="47" s="1"/>
  <c r="AA227" i="58"/>
  <c r="AA265" i="58" s="1"/>
  <c r="X125" i="47" s="1"/>
  <c r="AA222" i="58"/>
  <c r="AA260" i="58" s="1"/>
  <c r="X121" i="47" s="1"/>
  <c r="AA221" i="58"/>
  <c r="AA259" i="58" s="1"/>
  <c r="X120" i="47" s="1"/>
  <c r="AA220" i="58"/>
  <c r="AA258" i="58" s="1"/>
  <c r="X118" i="47" s="1"/>
  <c r="AA228" i="58"/>
  <c r="AA266" i="58" s="1"/>
  <c r="X123" i="47" s="1"/>
  <c r="AB43" i="58"/>
  <c r="AB49" i="58" s="1"/>
  <c r="AB46" i="58"/>
  <c r="AB52" i="58" s="1"/>
  <c r="AB44" i="58"/>
  <c r="AB50" i="58" s="1"/>
  <c r="AB45" i="58"/>
  <c r="AB51" i="58" s="1"/>
  <c r="AD35" i="58"/>
  <c r="AD152" i="58"/>
  <c r="AD158" i="58"/>
  <c r="AD154" i="58"/>
  <c r="AD155" i="58"/>
  <c r="AD159" i="58"/>
  <c r="AD157" i="58"/>
  <c r="AD151" i="58"/>
  <c r="AD153" i="58"/>
  <c r="AD156" i="58"/>
  <c r="AC168" i="58"/>
  <c r="AC169" i="58"/>
  <c r="AC165" i="58"/>
  <c r="AC166" i="58"/>
  <c r="AC170" i="58"/>
  <c r="AC164" i="58"/>
  <c r="AC162" i="58"/>
  <c r="AC163" i="58"/>
  <c r="AC167" i="58"/>
  <c r="AC36" i="58"/>
  <c r="AC41" i="58" s="1"/>
  <c r="AD25" i="32"/>
  <c r="AD18" i="32" s="1"/>
  <c r="AE24" i="58"/>
  <c r="AO97" i="58"/>
  <c r="AO100" i="58"/>
  <c r="AN94" i="58"/>
  <c r="AN99" i="58"/>
  <c r="AN92" i="58"/>
  <c r="AN98" i="58"/>
  <c r="AO96" i="58"/>
  <c r="AE31" i="58"/>
  <c r="AE34" i="58" s="1"/>
  <c r="AN95" i="58"/>
  <c r="AN93" i="58"/>
  <c r="S50" i="29"/>
  <c r="P86" i="47" s="1"/>
  <c r="AB50" i="29"/>
  <c r="Y86" i="47" s="1"/>
  <c r="S49" i="29"/>
  <c r="P85" i="47" s="1"/>
  <c r="AB49" i="29"/>
  <c r="Y85" i="47" s="1"/>
  <c r="AE45" i="32"/>
  <c r="X25" i="44"/>
  <c r="X26" i="44" s="1"/>
  <c r="AE24" i="32"/>
  <c r="AE23" i="32"/>
  <c r="AE35" i="32" s="1"/>
  <c r="AE38" i="32" s="1"/>
  <c r="AE22" i="32"/>
  <c r="AF6" i="35"/>
  <c r="Y35" i="44"/>
  <c r="AG6" i="35"/>
  <c r="AF10" i="58"/>
  <c r="AF23" i="58" s="1"/>
  <c r="I87" i="57"/>
  <c r="I90" i="57" s="1"/>
  <c r="N22" i="29"/>
  <c r="AB18" i="32"/>
  <c r="Z19" i="32"/>
  <c r="Y17" i="32"/>
  <c r="T17" i="32"/>
  <c r="AC17" i="32"/>
  <c r="AA17" i="32"/>
  <c r="AB17" i="32"/>
  <c r="G34" i="32"/>
  <c r="G37" i="32" s="1"/>
  <c r="G25" i="32"/>
  <c r="G31" i="32" s="1"/>
  <c r="T19" i="32"/>
  <c r="S63" i="32"/>
  <c r="T63" i="32" s="1"/>
  <c r="U63" i="32" s="1"/>
  <c r="V63" i="32" s="1"/>
  <c r="W63" i="32" s="1"/>
  <c r="X63" i="32" s="1"/>
  <c r="Y63" i="32" s="1"/>
  <c r="Z63" i="32" s="1"/>
  <c r="AA63" i="32" s="1"/>
  <c r="AB63" i="32"/>
  <c r="AB66" i="32"/>
  <c r="S66" i="32"/>
  <c r="T66" i="32" s="1"/>
  <c r="U66" i="32" s="1"/>
  <c r="V66" i="32" s="1"/>
  <c r="W66" i="32" s="1"/>
  <c r="X66" i="32" s="1"/>
  <c r="Y66" i="32" s="1"/>
  <c r="Z66" i="32" s="1"/>
  <c r="AA66" i="32" s="1"/>
  <c r="AD17" i="32"/>
  <c r="S69" i="32"/>
  <c r="T69" i="32" s="1"/>
  <c r="U69" i="32" s="1"/>
  <c r="V69" i="32" s="1"/>
  <c r="W69" i="32" s="1"/>
  <c r="X69" i="32" s="1"/>
  <c r="Y69" i="32" s="1"/>
  <c r="Z69" i="32" s="1"/>
  <c r="AA69" i="32" s="1"/>
  <c r="AB69" i="32"/>
  <c r="Y19" i="32"/>
  <c r="Z17" i="32"/>
  <c r="S67" i="32"/>
  <c r="T67" i="32" s="1"/>
  <c r="U67" i="32" s="1"/>
  <c r="V67" i="32" s="1"/>
  <c r="W67" i="32" s="1"/>
  <c r="X67" i="32" s="1"/>
  <c r="Y67" i="32" s="1"/>
  <c r="Z67" i="32" s="1"/>
  <c r="AA67" i="32" s="1"/>
  <c r="AB67" i="32"/>
  <c r="AB68" i="32"/>
  <c r="S68" i="32"/>
  <c r="T68" i="32" s="1"/>
  <c r="U68" i="32" s="1"/>
  <c r="V68" i="32" s="1"/>
  <c r="W68" i="32" s="1"/>
  <c r="X68" i="32" s="1"/>
  <c r="Y68" i="32" s="1"/>
  <c r="Z68" i="32" s="1"/>
  <c r="AA68" i="32" s="1"/>
  <c r="AD19" i="32"/>
  <c r="AH73" i="32"/>
  <c r="AH80" i="32" s="1"/>
  <c r="AI94" i="32"/>
  <c r="AA19" i="32"/>
  <c r="T37" i="32"/>
  <c r="X19" i="32"/>
  <c r="AB64" i="32"/>
  <c r="S64" i="32"/>
  <c r="T64" i="32" s="1"/>
  <c r="U64" i="32" s="1"/>
  <c r="V64" i="32" s="1"/>
  <c r="W64" i="32" s="1"/>
  <c r="X64" i="32" s="1"/>
  <c r="Y64" i="32" s="1"/>
  <c r="Z64" i="32" s="1"/>
  <c r="AA64" i="32" s="1"/>
  <c r="X17" i="32"/>
  <c r="AC19" i="32"/>
  <c r="T51" i="29"/>
  <c r="AB65" i="32"/>
  <c r="S65" i="32"/>
  <c r="T65" i="32" s="1"/>
  <c r="U65" i="32" s="1"/>
  <c r="V65" i="32" s="1"/>
  <c r="W65" i="32" s="1"/>
  <c r="X65" i="32" s="1"/>
  <c r="Y65" i="32" s="1"/>
  <c r="Z65" i="32" s="1"/>
  <c r="AA65" i="32" s="1"/>
  <c r="Y26" i="35"/>
  <c r="U7" i="47"/>
  <c r="U5" i="47"/>
  <c r="Y22" i="35"/>
  <c r="Y23" i="35"/>
  <c r="U8" i="47"/>
  <c r="Z25" i="35"/>
  <c r="V6" i="47"/>
  <c r="Y24" i="35"/>
  <c r="U9" i="47"/>
  <c r="AA245" i="58" l="1"/>
  <c r="AF24" i="58"/>
  <c r="AD168" i="58"/>
  <c r="AD169" i="58"/>
  <c r="AD163" i="58"/>
  <c r="AD166" i="58"/>
  <c r="AD167" i="58"/>
  <c r="AD164" i="58"/>
  <c r="AD162" i="58"/>
  <c r="AD165" i="58"/>
  <c r="AD170" i="58"/>
  <c r="AD36" i="58"/>
  <c r="AD41" i="58" s="1"/>
  <c r="AB202" i="58"/>
  <c r="AB197" i="58"/>
  <c r="AB198" i="58"/>
  <c r="AB199" i="58"/>
  <c r="AB205" i="58"/>
  <c r="AB203" i="58"/>
  <c r="AB200" i="58"/>
  <c r="AB204" i="58"/>
  <c r="AB201" i="58"/>
  <c r="AE35" i="58"/>
  <c r="AE153" i="58"/>
  <c r="AE151" i="58"/>
  <c r="AE152" i="58"/>
  <c r="AE154" i="58"/>
  <c r="AE156" i="58"/>
  <c r="AE158" i="58"/>
  <c r="AE157" i="58"/>
  <c r="AE155" i="58"/>
  <c r="AE159" i="58"/>
  <c r="AB189" i="58"/>
  <c r="AB188" i="58"/>
  <c r="AB193" i="58"/>
  <c r="AB186" i="58"/>
  <c r="AB194" i="58"/>
  <c r="AB191" i="58"/>
  <c r="AB187" i="58"/>
  <c r="AB190" i="58"/>
  <c r="AB192" i="58"/>
  <c r="AB215" i="58"/>
  <c r="AB214" i="58"/>
  <c r="AB211" i="58"/>
  <c r="AB216" i="58"/>
  <c r="AB208" i="58"/>
  <c r="AB209" i="58"/>
  <c r="AB213" i="58"/>
  <c r="AB212" i="58"/>
  <c r="AB210" i="58"/>
  <c r="AC46" i="58"/>
  <c r="AC52" i="58" s="1"/>
  <c r="AC44" i="58"/>
  <c r="AC50" i="58" s="1"/>
  <c r="AC45" i="58"/>
  <c r="AC51" i="58" s="1"/>
  <c r="AC43" i="58"/>
  <c r="AC49" i="58" s="1"/>
  <c r="AB175" i="58"/>
  <c r="AB234" i="58" s="1"/>
  <c r="AB249" i="58" s="1"/>
  <c r="Y111" i="47" s="1"/>
  <c r="AB180" i="58"/>
  <c r="AB239" i="58" s="1"/>
  <c r="AB254" i="58" s="1"/>
  <c r="Y110" i="47" s="1"/>
  <c r="AB174" i="58"/>
  <c r="AB233" i="58" s="1"/>
  <c r="AB248" i="58" s="1"/>
  <c r="Y109" i="47" s="1"/>
  <c r="AB53" i="58"/>
  <c r="AB177" i="58"/>
  <c r="AB236" i="58" s="1"/>
  <c r="AB251" i="58" s="1"/>
  <c r="Y113" i="47" s="1"/>
  <c r="AB182" i="58"/>
  <c r="AB241" i="58" s="1"/>
  <c r="AB256" i="58" s="1"/>
  <c r="Y114" i="47" s="1"/>
  <c r="AB176" i="58"/>
  <c r="AB235" i="58" s="1"/>
  <c r="AB250" i="58" s="1"/>
  <c r="Y112" i="47" s="1"/>
  <c r="AB179" i="58"/>
  <c r="AB238" i="58" s="1"/>
  <c r="AB253" i="58" s="1"/>
  <c r="Y117" i="47" s="1"/>
  <c r="AB181" i="58"/>
  <c r="AB240" i="58" s="1"/>
  <c r="AB255" i="58" s="1"/>
  <c r="Y116" i="47" s="1"/>
  <c r="AB178" i="58"/>
  <c r="AB237" i="58" s="1"/>
  <c r="AB252" i="58" s="1"/>
  <c r="Y115" i="47" s="1"/>
  <c r="AO93" i="58"/>
  <c r="AP100" i="58"/>
  <c r="AO98" i="58"/>
  <c r="AP97" i="58"/>
  <c r="AO95" i="58"/>
  <c r="AO92" i="58"/>
  <c r="AO99" i="58"/>
  <c r="AP96" i="58"/>
  <c r="AO94" i="58"/>
  <c r="AF31" i="58"/>
  <c r="AF34" i="58" s="1"/>
  <c r="T50" i="29"/>
  <c r="T49" i="29"/>
  <c r="AF45" i="32"/>
  <c r="AE36" i="32"/>
  <c r="AE25" i="32"/>
  <c r="AE18" i="32" s="1"/>
  <c r="AE34" i="32"/>
  <c r="AE37" i="32" s="1"/>
  <c r="Y25" i="44"/>
  <c r="Y26" i="44" s="1"/>
  <c r="AF22" i="32"/>
  <c r="AF24" i="32"/>
  <c r="AF23" i="32"/>
  <c r="AF35" i="32" s="1"/>
  <c r="AF38" i="32" s="1"/>
  <c r="AH21" i="32"/>
  <c r="Z35" i="44"/>
  <c r="AH6" i="35"/>
  <c r="AG10" i="58"/>
  <c r="AG23" i="58" s="1"/>
  <c r="AG24" i="58" s="1"/>
  <c r="AG21" i="32"/>
  <c r="AB48" i="29"/>
  <c r="S48" i="29"/>
  <c r="P84" i="47" s="1"/>
  <c r="AJ94" i="32"/>
  <c r="AI73" i="32"/>
  <c r="AI80" i="32" s="1"/>
  <c r="Q108" i="47"/>
  <c r="U51" i="29"/>
  <c r="Z23" i="35"/>
  <c r="V8" i="47"/>
  <c r="V5" i="47"/>
  <c r="Z22" i="35"/>
  <c r="V7" i="47"/>
  <c r="Z26" i="35"/>
  <c r="Z24" i="35"/>
  <c r="V9" i="47"/>
  <c r="W6" i="47"/>
  <c r="AA25" i="35"/>
  <c r="AB225" i="58" l="1"/>
  <c r="AB263" i="58" s="1"/>
  <c r="Y126" i="47" s="1"/>
  <c r="AB227" i="58"/>
  <c r="AB265" i="58" s="1"/>
  <c r="Y125" i="47" s="1"/>
  <c r="AB228" i="58"/>
  <c r="AB266" i="58" s="1"/>
  <c r="Y123" i="47" s="1"/>
  <c r="AB223" i="58"/>
  <c r="AB261" i="58" s="1"/>
  <c r="Y122" i="47" s="1"/>
  <c r="AB226" i="58"/>
  <c r="AB264" i="58" s="1"/>
  <c r="Y119" i="47" s="1"/>
  <c r="AC203" i="58"/>
  <c r="AC198" i="58"/>
  <c r="AC197" i="58"/>
  <c r="AC201" i="58"/>
  <c r="AC200" i="58"/>
  <c r="AC205" i="58"/>
  <c r="AC199" i="58"/>
  <c r="AC204" i="58"/>
  <c r="AC202" i="58"/>
  <c r="AC208" i="58"/>
  <c r="AC215" i="58"/>
  <c r="AC212" i="58"/>
  <c r="AC214" i="58"/>
  <c r="AC209" i="58"/>
  <c r="AC211" i="58"/>
  <c r="AC213" i="58"/>
  <c r="AC216" i="58"/>
  <c r="AC210" i="58"/>
  <c r="AB221" i="58"/>
  <c r="AB259" i="58" s="1"/>
  <c r="Y120" i="47" s="1"/>
  <c r="AD44" i="58"/>
  <c r="AD50" i="58" s="1"/>
  <c r="AD43" i="58"/>
  <c r="AD49" i="58" s="1"/>
  <c r="AD45" i="58"/>
  <c r="AD51" i="58" s="1"/>
  <c r="AD46" i="58"/>
  <c r="AD52" i="58" s="1"/>
  <c r="AB220" i="58"/>
  <c r="AE168" i="58"/>
  <c r="AE169" i="58"/>
  <c r="AE166" i="58"/>
  <c r="AE165" i="58"/>
  <c r="AE163" i="58"/>
  <c r="AE167" i="58"/>
  <c r="AE164" i="58"/>
  <c r="AE162" i="58"/>
  <c r="AE170" i="58"/>
  <c r="AE36" i="58"/>
  <c r="AE41" i="58" s="1"/>
  <c r="AB222" i="58"/>
  <c r="AB260" i="58" s="1"/>
  <c r="Y121" i="47" s="1"/>
  <c r="AC176" i="58"/>
  <c r="AC235" i="58" s="1"/>
  <c r="AC250" i="58" s="1"/>
  <c r="Z112" i="47" s="1"/>
  <c r="AC182" i="58"/>
  <c r="AC241" i="58" s="1"/>
  <c r="AC256" i="58" s="1"/>
  <c r="Z114" i="47" s="1"/>
  <c r="AC177" i="58"/>
  <c r="AC236" i="58" s="1"/>
  <c r="AC251" i="58" s="1"/>
  <c r="Z113" i="47" s="1"/>
  <c r="AC53" i="58"/>
  <c r="AC175" i="58"/>
  <c r="AC234" i="58" s="1"/>
  <c r="AC249" i="58" s="1"/>
  <c r="Z111" i="47" s="1"/>
  <c r="AC174" i="58"/>
  <c r="AC233" i="58" s="1"/>
  <c r="AC248" i="58" s="1"/>
  <c r="Z109" i="47" s="1"/>
  <c r="AC180" i="58"/>
  <c r="AC239" i="58" s="1"/>
  <c r="AC254" i="58" s="1"/>
  <c r="Z110" i="47" s="1"/>
  <c r="AC181" i="58"/>
  <c r="AC240" i="58" s="1"/>
  <c r="AC255" i="58" s="1"/>
  <c r="Z116" i="47" s="1"/>
  <c r="AC179" i="58"/>
  <c r="AC238" i="58" s="1"/>
  <c r="AC253" i="58" s="1"/>
  <c r="Z117" i="47" s="1"/>
  <c r="AC178" i="58"/>
  <c r="AC237" i="58" s="1"/>
  <c r="AC252" i="58" s="1"/>
  <c r="Z115" i="47" s="1"/>
  <c r="AF35" i="58"/>
  <c r="AF154" i="58"/>
  <c r="AF151" i="58"/>
  <c r="AF152" i="58"/>
  <c r="AF158" i="58"/>
  <c r="AF157" i="58"/>
  <c r="AF153" i="58"/>
  <c r="AF155" i="58"/>
  <c r="AF156" i="58"/>
  <c r="AF159" i="58"/>
  <c r="AC187" i="58"/>
  <c r="AC191" i="58"/>
  <c r="AC190" i="58"/>
  <c r="AC193" i="58"/>
  <c r="AC188" i="58"/>
  <c r="AC186" i="58"/>
  <c r="AC189" i="58"/>
  <c r="AC192" i="58"/>
  <c r="AC194" i="58"/>
  <c r="AB224" i="58"/>
  <c r="AB262" i="58" s="1"/>
  <c r="Y124" i="47" s="1"/>
  <c r="AE17" i="32"/>
  <c r="AP98" i="58"/>
  <c r="AQ100" i="58"/>
  <c r="AP94" i="58"/>
  <c r="AP92" i="58"/>
  <c r="AP93" i="58"/>
  <c r="AQ96" i="58"/>
  <c r="AG31" i="58"/>
  <c r="AG34" i="58" s="1"/>
  <c r="AP95" i="58"/>
  <c r="AP99" i="58"/>
  <c r="AQ97" i="58"/>
  <c r="Q86" i="47"/>
  <c r="U50" i="29"/>
  <c r="Q85" i="47"/>
  <c r="U49" i="29"/>
  <c r="AG22" i="32"/>
  <c r="AG24" i="32"/>
  <c r="AA35" i="44"/>
  <c r="AH10" i="58"/>
  <c r="AH23" i="58" s="1"/>
  <c r="AH24" i="58" s="1"/>
  <c r="AF36" i="32"/>
  <c r="AF34" i="32"/>
  <c r="AF37" i="32" s="1"/>
  <c r="AF25" i="32"/>
  <c r="AF18" i="32" s="1"/>
  <c r="Z25" i="44"/>
  <c r="Z26" i="44" s="1"/>
  <c r="AE19" i="32"/>
  <c r="AG45" i="32"/>
  <c r="AG23" i="32"/>
  <c r="AG35" i="32" s="1"/>
  <c r="AG38" i="32" s="1"/>
  <c r="R108" i="47"/>
  <c r="V51" i="29"/>
  <c r="T48" i="29"/>
  <c r="AK94" i="32"/>
  <c r="AJ73" i="32"/>
  <c r="AJ80" i="32" s="1"/>
  <c r="AA24" i="35"/>
  <c r="W9" i="47"/>
  <c r="AA22" i="35"/>
  <c r="W5" i="47"/>
  <c r="AA23" i="35"/>
  <c r="W8" i="47"/>
  <c r="AB25" i="35"/>
  <c r="X6" i="47"/>
  <c r="AA26" i="35"/>
  <c r="W7" i="47"/>
  <c r="AC226" i="58" l="1"/>
  <c r="AC264" i="58" s="1"/>
  <c r="Z119" i="47" s="1"/>
  <c r="AC224" i="58"/>
  <c r="AC262" i="58" s="1"/>
  <c r="Z124" i="47" s="1"/>
  <c r="AC225" i="58"/>
  <c r="AC263" i="58" s="1"/>
  <c r="Z126" i="47" s="1"/>
  <c r="AC221" i="58"/>
  <c r="AC259" i="58" s="1"/>
  <c r="Z120" i="47" s="1"/>
  <c r="AC222" i="58"/>
  <c r="AC260" i="58" s="1"/>
  <c r="Z121" i="47" s="1"/>
  <c r="AC228" i="58"/>
  <c r="AC266" i="58" s="1"/>
  <c r="Z123" i="47" s="1"/>
  <c r="AC223" i="58"/>
  <c r="AC261" i="58" s="1"/>
  <c r="Z122" i="47" s="1"/>
  <c r="AC227" i="58"/>
  <c r="AC265" i="58" s="1"/>
  <c r="Z125" i="47" s="1"/>
  <c r="AB245" i="58"/>
  <c r="AB258" i="58"/>
  <c r="Y118" i="47" s="1"/>
  <c r="AE46" i="58"/>
  <c r="AE52" i="58" s="1"/>
  <c r="AE44" i="58"/>
  <c r="AE50" i="58" s="1"/>
  <c r="AE45" i="58"/>
  <c r="AE51" i="58" s="1"/>
  <c r="AE43" i="58"/>
  <c r="AE49" i="58" s="1"/>
  <c r="AD179" i="58"/>
  <c r="AD238" i="58" s="1"/>
  <c r="AD253" i="58" s="1"/>
  <c r="AA117" i="47" s="1"/>
  <c r="AD175" i="58"/>
  <c r="AD234" i="58" s="1"/>
  <c r="AD249" i="58" s="1"/>
  <c r="AA111" i="47" s="1"/>
  <c r="AD180" i="58"/>
  <c r="AD239" i="58" s="1"/>
  <c r="AD254" i="58" s="1"/>
  <c r="AA110" i="47" s="1"/>
  <c r="AD174" i="58"/>
  <c r="AD233" i="58" s="1"/>
  <c r="AD248" i="58" s="1"/>
  <c r="AA109" i="47" s="1"/>
  <c r="AD181" i="58"/>
  <c r="AD240" i="58" s="1"/>
  <c r="AD255" i="58" s="1"/>
  <c r="AA116" i="47" s="1"/>
  <c r="AD182" i="58"/>
  <c r="AD241" i="58" s="1"/>
  <c r="AD256" i="58" s="1"/>
  <c r="AA114" i="47" s="1"/>
  <c r="AD176" i="58"/>
  <c r="AD235" i="58" s="1"/>
  <c r="AD250" i="58" s="1"/>
  <c r="AA112" i="47" s="1"/>
  <c r="AD53" i="58"/>
  <c r="AD177" i="58"/>
  <c r="AD236" i="58" s="1"/>
  <c r="AD251" i="58" s="1"/>
  <c r="AA113" i="47" s="1"/>
  <c r="AD178" i="58"/>
  <c r="AD237" i="58" s="1"/>
  <c r="AD252" i="58" s="1"/>
  <c r="AA115" i="47" s="1"/>
  <c r="AD187" i="58"/>
  <c r="AD189" i="58"/>
  <c r="AD190" i="58"/>
  <c r="AD191" i="58"/>
  <c r="AD192" i="58"/>
  <c r="AD194" i="58"/>
  <c r="AD193" i="58"/>
  <c r="AD188" i="58"/>
  <c r="AD186" i="58"/>
  <c r="AD197" i="58"/>
  <c r="AD205" i="58"/>
  <c r="AD198" i="58"/>
  <c r="AD199" i="58"/>
  <c r="AD201" i="58"/>
  <c r="AD200" i="58"/>
  <c r="AD204" i="58"/>
  <c r="AD203" i="58"/>
  <c r="AD202" i="58"/>
  <c r="AF169" i="58"/>
  <c r="AF168" i="58"/>
  <c r="AF167" i="58"/>
  <c r="AF166" i="58"/>
  <c r="AF163" i="58"/>
  <c r="AF164" i="58"/>
  <c r="AF165" i="58"/>
  <c r="AF170" i="58"/>
  <c r="AF162" i="58"/>
  <c r="AF36" i="58"/>
  <c r="AF41" i="58" s="1"/>
  <c r="AG35" i="58"/>
  <c r="AG157" i="58"/>
  <c r="AG151" i="58"/>
  <c r="AG152" i="58"/>
  <c r="AG158" i="58"/>
  <c r="AG154" i="58"/>
  <c r="AG153" i="58"/>
  <c r="AG156" i="58"/>
  <c r="AG155" i="58"/>
  <c r="AG159" i="58"/>
  <c r="AD214" i="58"/>
  <c r="AD213" i="58"/>
  <c r="AD208" i="58"/>
  <c r="AD212" i="58"/>
  <c r="AD215" i="58"/>
  <c r="AD216" i="58"/>
  <c r="AD210" i="58"/>
  <c r="AD209" i="58"/>
  <c r="AD211" i="58"/>
  <c r="AC220" i="58"/>
  <c r="AQ94" i="58"/>
  <c r="AR97" i="58"/>
  <c r="AR100" i="58"/>
  <c r="AR96" i="58"/>
  <c r="AQ99" i="58"/>
  <c r="AQ98" i="58"/>
  <c r="AQ93" i="58"/>
  <c r="AQ92" i="58"/>
  <c r="AQ95" i="58"/>
  <c r="AH31" i="58"/>
  <c r="AH34" i="58" s="1"/>
  <c r="R86" i="47"/>
  <c r="V50" i="29"/>
  <c r="R85" i="47"/>
  <c r="V49" i="29"/>
  <c r="AF17" i="32"/>
  <c r="AH45" i="32"/>
  <c r="AF19" i="32"/>
  <c r="AA25" i="44"/>
  <c r="AA26" i="44" s="1"/>
  <c r="AI6" i="35"/>
  <c r="AH24" i="32"/>
  <c r="AH23" i="32"/>
  <c r="AH35" i="32" s="1"/>
  <c r="AH38" i="32" s="1"/>
  <c r="AG25" i="32"/>
  <c r="AG18" i="32" s="1"/>
  <c r="AG34" i="32"/>
  <c r="AG37" i="32" s="1"/>
  <c r="AH22" i="32"/>
  <c r="AG36" i="32"/>
  <c r="AB35" i="44"/>
  <c r="AJ6" i="35"/>
  <c r="AI10" i="58"/>
  <c r="AI23" i="58" s="1"/>
  <c r="AI24" i="58" s="1"/>
  <c r="AI21" i="32"/>
  <c r="Q84" i="47"/>
  <c r="U48" i="29"/>
  <c r="S108" i="47"/>
  <c r="W51" i="29"/>
  <c r="AK73" i="32"/>
  <c r="AK80" i="32" s="1"/>
  <c r="AL94" i="32"/>
  <c r="AB23" i="35"/>
  <c r="X8" i="47"/>
  <c r="AB26" i="35"/>
  <c r="X7" i="47"/>
  <c r="AC25" i="35"/>
  <c r="Y6" i="47"/>
  <c r="AB22" i="35"/>
  <c r="X5" i="47"/>
  <c r="X9" i="47"/>
  <c r="AB24" i="35"/>
  <c r="AD226" i="58" l="1"/>
  <c r="AD264" i="58" s="1"/>
  <c r="AA119" i="47" s="1"/>
  <c r="AD222" i="58"/>
  <c r="AD260" i="58" s="1"/>
  <c r="AA121" i="47" s="1"/>
  <c r="AD227" i="58"/>
  <c r="AD265" i="58" s="1"/>
  <c r="AA125" i="47" s="1"/>
  <c r="AD228" i="58"/>
  <c r="AD266" i="58" s="1"/>
  <c r="AA123" i="47" s="1"/>
  <c r="AF45" i="58"/>
  <c r="AF51" i="58" s="1"/>
  <c r="AF46" i="58"/>
  <c r="AF52" i="58" s="1"/>
  <c r="AF43" i="58"/>
  <c r="AF49" i="58" s="1"/>
  <c r="AF44" i="58"/>
  <c r="AF50" i="58" s="1"/>
  <c r="AD225" i="58"/>
  <c r="AD263" i="58" s="1"/>
  <c r="AA126" i="47" s="1"/>
  <c r="AD224" i="58"/>
  <c r="AD262" i="58" s="1"/>
  <c r="AA124" i="47" s="1"/>
  <c r="AD223" i="58"/>
  <c r="AD261" i="58" s="1"/>
  <c r="AA122" i="47" s="1"/>
  <c r="AE176" i="58"/>
  <c r="AE235" i="58" s="1"/>
  <c r="AE250" i="58" s="1"/>
  <c r="AB112" i="47" s="1"/>
  <c r="AE178" i="58"/>
  <c r="AE237" i="58" s="1"/>
  <c r="AE252" i="58" s="1"/>
  <c r="AB115" i="47" s="1"/>
  <c r="AE174" i="58"/>
  <c r="AE233" i="58" s="1"/>
  <c r="AE248" i="58" s="1"/>
  <c r="AB109" i="47" s="1"/>
  <c r="AE177" i="58"/>
  <c r="AE236" i="58" s="1"/>
  <c r="AE251" i="58" s="1"/>
  <c r="AB113" i="47" s="1"/>
  <c r="AE179" i="58"/>
  <c r="AE238" i="58" s="1"/>
  <c r="AE253" i="58" s="1"/>
  <c r="AB117" i="47" s="1"/>
  <c r="AE180" i="58"/>
  <c r="AE239" i="58" s="1"/>
  <c r="AE254" i="58" s="1"/>
  <c r="AB110" i="47" s="1"/>
  <c r="AE53" i="58"/>
  <c r="AE181" i="58"/>
  <c r="AE240" i="58" s="1"/>
  <c r="AE255" i="58" s="1"/>
  <c r="AB116" i="47" s="1"/>
  <c r="AE182" i="58"/>
  <c r="AE241" i="58" s="1"/>
  <c r="AE256" i="58" s="1"/>
  <c r="AB114" i="47" s="1"/>
  <c r="AE175" i="58"/>
  <c r="AE234" i="58" s="1"/>
  <c r="AE249" i="58" s="1"/>
  <c r="AB111" i="47" s="1"/>
  <c r="AH35" i="58"/>
  <c r="AH151" i="58"/>
  <c r="AH152" i="58"/>
  <c r="AH154" i="58"/>
  <c r="AH153" i="58"/>
  <c r="AH158" i="58"/>
  <c r="AH157" i="58"/>
  <c r="AH156" i="58"/>
  <c r="AH159" i="58"/>
  <c r="AH155" i="58"/>
  <c r="AD221" i="58"/>
  <c r="AD259" i="58" s="1"/>
  <c r="AA120" i="47" s="1"/>
  <c r="AE205" i="58"/>
  <c r="AE201" i="58"/>
  <c r="AE202" i="58"/>
  <c r="AE197" i="58"/>
  <c r="AE203" i="58"/>
  <c r="AE199" i="58"/>
  <c r="AE200" i="58"/>
  <c r="AE198" i="58"/>
  <c r="AE204" i="58"/>
  <c r="AC245" i="58"/>
  <c r="AC258" i="58"/>
  <c r="Z118" i="47" s="1"/>
  <c r="AE189" i="58"/>
  <c r="AE186" i="58"/>
  <c r="AE192" i="58"/>
  <c r="AE191" i="58"/>
  <c r="AE187" i="58"/>
  <c r="AE188" i="58"/>
  <c r="AE193" i="58"/>
  <c r="AE190" i="58"/>
  <c r="AE194" i="58"/>
  <c r="AE210" i="58"/>
  <c r="AE209" i="58"/>
  <c r="AE213" i="58"/>
  <c r="AE215" i="58"/>
  <c r="AE208" i="58"/>
  <c r="AE214" i="58"/>
  <c r="AE216" i="58"/>
  <c r="AE211" i="58"/>
  <c r="AE212" i="58"/>
  <c r="AG169" i="58"/>
  <c r="AG168" i="58"/>
  <c r="AG164" i="58"/>
  <c r="AG163" i="58"/>
  <c r="AG166" i="58"/>
  <c r="AG167" i="58"/>
  <c r="AG165" i="58"/>
  <c r="AG170" i="58"/>
  <c r="AG162" i="58"/>
  <c r="AG36" i="58"/>
  <c r="AG41" i="58" s="1"/>
  <c r="AD220" i="58"/>
  <c r="AR99" i="58"/>
  <c r="AS100" i="58"/>
  <c r="AS97" i="58"/>
  <c r="AS96" i="58"/>
  <c r="AR94" i="58"/>
  <c r="AI31" i="58"/>
  <c r="AI34" i="58" s="1"/>
  <c r="AR95" i="58"/>
  <c r="AR92" i="58"/>
  <c r="AR93" i="58"/>
  <c r="AG17" i="32"/>
  <c r="AR98" i="58"/>
  <c r="S86" i="47"/>
  <c r="W50" i="29"/>
  <c r="S85" i="47"/>
  <c r="W49" i="29"/>
  <c r="AG19" i="32"/>
  <c r="AK21" i="32"/>
  <c r="AC35" i="44"/>
  <c r="AJ10" i="58"/>
  <c r="AJ23" i="58" s="1"/>
  <c r="AK6" i="35"/>
  <c r="AI45" i="32"/>
  <c r="AH34" i="32"/>
  <c r="AH37" i="32" s="1"/>
  <c r="AH25" i="32"/>
  <c r="AH18" i="32" s="1"/>
  <c r="AJ21" i="32"/>
  <c r="AB25" i="44"/>
  <c r="AB26" i="44" s="1"/>
  <c r="AH36" i="32"/>
  <c r="AI24" i="32"/>
  <c r="AI36" i="32" s="1"/>
  <c r="AI23" i="32"/>
  <c r="AI22" i="32"/>
  <c r="AM94" i="32"/>
  <c r="AL73" i="32"/>
  <c r="AL80" i="32" s="1"/>
  <c r="R84" i="47"/>
  <c r="V48" i="29"/>
  <c r="T108" i="47"/>
  <c r="X51" i="29"/>
  <c r="Y9" i="47"/>
  <c r="AC24" i="35"/>
  <c r="AC26" i="35"/>
  <c r="Y7" i="47"/>
  <c r="AD25" i="35"/>
  <c r="Z6" i="47"/>
  <c r="Y5" i="47"/>
  <c r="AC22" i="35"/>
  <c r="AC23" i="35"/>
  <c r="Y8" i="47"/>
  <c r="AE221" i="58" l="1"/>
  <c r="AE259" i="58" s="1"/>
  <c r="AB120" i="47" s="1"/>
  <c r="AE227" i="58"/>
  <c r="AE265" i="58" s="1"/>
  <c r="AB125" i="47" s="1"/>
  <c r="AH17" i="32"/>
  <c r="AE224" i="58"/>
  <c r="AE262" i="58" s="1"/>
  <c r="AB124" i="47" s="1"/>
  <c r="AD258" i="58"/>
  <c r="AA118" i="47" s="1"/>
  <c r="AD245" i="58"/>
  <c r="AG46" i="58"/>
  <c r="AG52" i="58" s="1"/>
  <c r="AG45" i="58"/>
  <c r="AG51" i="58" s="1"/>
  <c r="AG43" i="58"/>
  <c r="AG49" i="58" s="1"/>
  <c r="AG44" i="58"/>
  <c r="AG50" i="58" s="1"/>
  <c r="AE225" i="58"/>
  <c r="AE263" i="58" s="1"/>
  <c r="AB126" i="47" s="1"/>
  <c r="AE226" i="58"/>
  <c r="AE264" i="58" s="1"/>
  <c r="AB119" i="47" s="1"/>
  <c r="AH169" i="58"/>
  <c r="AH168" i="58"/>
  <c r="AH164" i="58"/>
  <c r="AH166" i="58"/>
  <c r="AH163" i="58"/>
  <c r="AH167" i="58"/>
  <c r="AH165" i="58"/>
  <c r="AH162" i="58"/>
  <c r="AH170" i="58"/>
  <c r="AH36" i="58"/>
  <c r="AH41" i="58" s="1"/>
  <c r="AE220" i="58"/>
  <c r="AE223" i="58"/>
  <c r="AE261" i="58" s="1"/>
  <c r="AB122" i="47" s="1"/>
  <c r="AF187" i="58"/>
  <c r="AF190" i="58"/>
  <c r="AF193" i="58"/>
  <c r="AF192" i="58"/>
  <c r="AF188" i="58"/>
  <c r="AF194" i="58"/>
  <c r="AF191" i="58"/>
  <c r="AF189" i="58"/>
  <c r="AF186" i="58"/>
  <c r="AF175" i="58"/>
  <c r="AF234" i="58" s="1"/>
  <c r="AF249" i="58" s="1"/>
  <c r="AC111" i="47" s="1"/>
  <c r="AF181" i="58"/>
  <c r="AF240" i="58" s="1"/>
  <c r="AF255" i="58" s="1"/>
  <c r="AC116" i="47" s="1"/>
  <c r="AF174" i="58"/>
  <c r="AF233" i="58" s="1"/>
  <c r="AF248" i="58" s="1"/>
  <c r="AC109" i="47" s="1"/>
  <c r="AF177" i="58"/>
  <c r="AF236" i="58" s="1"/>
  <c r="AF251" i="58" s="1"/>
  <c r="AC113" i="47" s="1"/>
  <c r="AF176" i="58"/>
  <c r="AF235" i="58" s="1"/>
  <c r="AF250" i="58" s="1"/>
  <c r="AC112" i="47" s="1"/>
  <c r="AF182" i="58"/>
  <c r="AF241" i="58" s="1"/>
  <c r="AF256" i="58" s="1"/>
  <c r="AC114" i="47" s="1"/>
  <c r="AF53" i="58"/>
  <c r="AF178" i="58"/>
  <c r="AF237" i="58" s="1"/>
  <c r="AF252" i="58" s="1"/>
  <c r="AC115" i="47" s="1"/>
  <c r="AF180" i="58"/>
  <c r="AF239" i="58" s="1"/>
  <c r="AF254" i="58" s="1"/>
  <c r="AC110" i="47" s="1"/>
  <c r="AF179" i="58"/>
  <c r="AF238" i="58" s="1"/>
  <c r="AF253" i="58" s="1"/>
  <c r="AC117" i="47" s="1"/>
  <c r="AF216" i="58"/>
  <c r="AF214" i="58"/>
  <c r="AF213" i="58"/>
  <c r="AF211" i="58"/>
  <c r="AF208" i="58"/>
  <c r="AF215" i="58"/>
  <c r="AF210" i="58"/>
  <c r="AF212" i="58"/>
  <c r="AF209" i="58"/>
  <c r="AE222" i="58"/>
  <c r="AE260" i="58" s="1"/>
  <c r="AB121" i="47" s="1"/>
  <c r="AF203" i="58"/>
  <c r="AF198" i="58"/>
  <c r="AF202" i="58"/>
  <c r="AF197" i="58"/>
  <c r="AF204" i="58"/>
  <c r="AF205" i="58"/>
  <c r="AF199" i="58"/>
  <c r="AF201" i="58"/>
  <c r="AF200" i="58"/>
  <c r="AE228" i="58"/>
  <c r="AE266" i="58" s="1"/>
  <c r="AB123" i="47" s="1"/>
  <c r="AS95" i="58"/>
  <c r="AS98" i="58"/>
  <c r="AI35" i="58"/>
  <c r="AI156" i="58"/>
  <c r="AI159" i="58"/>
  <c r="AI155" i="58"/>
  <c r="AI151" i="58"/>
  <c r="AI157" i="58"/>
  <c r="AI158" i="58"/>
  <c r="AI154" i="58"/>
  <c r="AI153" i="58"/>
  <c r="AI152" i="58"/>
  <c r="AT100" i="58"/>
  <c r="AS94" i="58"/>
  <c r="AS99" i="58"/>
  <c r="AJ31" i="58"/>
  <c r="AJ34" i="58" s="1"/>
  <c r="AS93" i="58"/>
  <c r="AT96" i="58"/>
  <c r="AJ24" i="58"/>
  <c r="AT97" i="58"/>
  <c r="AS92" i="58"/>
  <c r="T86" i="47"/>
  <c r="X50" i="29"/>
  <c r="T85" i="47"/>
  <c r="X49" i="29"/>
  <c r="AI34" i="32"/>
  <c r="AI37" i="32" s="1"/>
  <c r="AI25" i="32"/>
  <c r="AI19" i="32" s="1"/>
  <c r="AI35" i="32"/>
  <c r="AI38" i="32" s="1"/>
  <c r="AH19" i="32"/>
  <c r="AC25" i="44"/>
  <c r="AC26" i="44" s="1"/>
  <c r="AJ22" i="32"/>
  <c r="AJ24" i="32"/>
  <c r="AJ23" i="32"/>
  <c r="AJ45" i="32"/>
  <c r="AD35" i="44"/>
  <c r="AK10" i="58"/>
  <c r="AK23" i="58" s="1"/>
  <c r="AN21" i="32"/>
  <c r="S84" i="47"/>
  <c r="W48" i="29"/>
  <c r="U108" i="47"/>
  <c r="Y51" i="29"/>
  <c r="AN94" i="32"/>
  <c r="AM73" i="32"/>
  <c r="AM80" i="32" s="1"/>
  <c r="AD26" i="35"/>
  <c r="Z7" i="47"/>
  <c r="AD23" i="35"/>
  <c r="Z8" i="47"/>
  <c r="AE25" i="35"/>
  <c r="AA6" i="47"/>
  <c r="Z5" i="47"/>
  <c r="AD22" i="35"/>
  <c r="AD24" i="35"/>
  <c r="Z9" i="47"/>
  <c r="AF224" i="58" l="1"/>
  <c r="AF262" i="58" s="1"/>
  <c r="AC124" i="47" s="1"/>
  <c r="AF227" i="58"/>
  <c r="AF265" i="58" s="1"/>
  <c r="AC125" i="47" s="1"/>
  <c r="AJ35" i="58"/>
  <c r="AJ159" i="58"/>
  <c r="AJ156" i="58"/>
  <c r="AJ154" i="58"/>
  <c r="AJ155" i="58"/>
  <c r="AJ151" i="58"/>
  <c r="AJ152" i="58"/>
  <c r="AJ157" i="58"/>
  <c r="AJ153" i="58"/>
  <c r="AJ158" i="58"/>
  <c r="AF221" i="58"/>
  <c r="AF259" i="58" s="1"/>
  <c r="AC120" i="47" s="1"/>
  <c r="AE245" i="58"/>
  <c r="AE258" i="58"/>
  <c r="AB118" i="47" s="1"/>
  <c r="AH43" i="58"/>
  <c r="AH49" i="58" s="1"/>
  <c r="AH44" i="58"/>
  <c r="AH50" i="58" s="1"/>
  <c r="AH46" i="58"/>
  <c r="AH52" i="58" s="1"/>
  <c r="AH45" i="58"/>
  <c r="AH51" i="58" s="1"/>
  <c r="AG188" i="58"/>
  <c r="AG192" i="58"/>
  <c r="AG189" i="58"/>
  <c r="AG191" i="58"/>
  <c r="AG190" i="58"/>
  <c r="AG187" i="58"/>
  <c r="AG186" i="58"/>
  <c r="AG193" i="58"/>
  <c r="AG194" i="58"/>
  <c r="AF220" i="58"/>
  <c r="AG177" i="58"/>
  <c r="AG236" i="58" s="1"/>
  <c r="AG251" i="58" s="1"/>
  <c r="AD113" i="47" s="1"/>
  <c r="AG180" i="58"/>
  <c r="AG239" i="58" s="1"/>
  <c r="AG254" i="58" s="1"/>
  <c r="AD110" i="47" s="1"/>
  <c r="AG53" i="58"/>
  <c r="AG175" i="58"/>
  <c r="AG234" i="58" s="1"/>
  <c r="AG249" i="58" s="1"/>
  <c r="AD111" i="47" s="1"/>
  <c r="AG174" i="58"/>
  <c r="AG233" i="58" s="1"/>
  <c r="AG248" i="58" s="1"/>
  <c r="AD109" i="47" s="1"/>
  <c r="AG179" i="58"/>
  <c r="AG238" i="58" s="1"/>
  <c r="AG253" i="58" s="1"/>
  <c r="AD117" i="47" s="1"/>
  <c r="AG181" i="58"/>
  <c r="AG240" i="58" s="1"/>
  <c r="AG255" i="58" s="1"/>
  <c r="AD116" i="47" s="1"/>
  <c r="AG178" i="58"/>
  <c r="AG237" i="58" s="1"/>
  <c r="AG252" i="58" s="1"/>
  <c r="AD115" i="47" s="1"/>
  <c r="AG176" i="58"/>
  <c r="AG235" i="58" s="1"/>
  <c r="AG250" i="58" s="1"/>
  <c r="AD112" i="47" s="1"/>
  <c r="AG182" i="58"/>
  <c r="AG241" i="58" s="1"/>
  <c r="AG256" i="58" s="1"/>
  <c r="AD114" i="47" s="1"/>
  <c r="AF223" i="58"/>
  <c r="AF261" i="58" s="1"/>
  <c r="AC122" i="47" s="1"/>
  <c r="AG204" i="58"/>
  <c r="AG205" i="58"/>
  <c r="AG199" i="58"/>
  <c r="AG198" i="58"/>
  <c r="AG202" i="58"/>
  <c r="AG203" i="58"/>
  <c r="AG197" i="58"/>
  <c r="AG201" i="58"/>
  <c r="AG200" i="58"/>
  <c r="AF225" i="58"/>
  <c r="AF263" i="58" s="1"/>
  <c r="AC126" i="47" s="1"/>
  <c r="AG209" i="58"/>
  <c r="AG208" i="58"/>
  <c r="AG213" i="58"/>
  <c r="AG214" i="58"/>
  <c r="AG211" i="58"/>
  <c r="AG212" i="58"/>
  <c r="AG215" i="58"/>
  <c r="AG210" i="58"/>
  <c r="AG216" i="58"/>
  <c r="AF228" i="58"/>
  <c r="AF266" i="58" s="1"/>
  <c r="AC123" i="47" s="1"/>
  <c r="AF222" i="58"/>
  <c r="AF260" i="58" s="1"/>
  <c r="AC121" i="47" s="1"/>
  <c r="AF226" i="58"/>
  <c r="AF264" i="58" s="1"/>
  <c r="AC119" i="47" s="1"/>
  <c r="AU96" i="58"/>
  <c r="AI165" i="58"/>
  <c r="AI167" i="58"/>
  <c r="AI169" i="58"/>
  <c r="AI164" i="58"/>
  <c r="AI162" i="58"/>
  <c r="AI168" i="58"/>
  <c r="AI170" i="58"/>
  <c r="AI166" i="58"/>
  <c r="AI163" i="58"/>
  <c r="AI36" i="58"/>
  <c r="AI41" i="58" s="1"/>
  <c r="AT93" i="58"/>
  <c r="AT98" i="58"/>
  <c r="AT95" i="58"/>
  <c r="AU100" i="58"/>
  <c r="AT92" i="58"/>
  <c r="AU97" i="58"/>
  <c r="AK31" i="58"/>
  <c r="AK34" i="58" s="1"/>
  <c r="AT99" i="58"/>
  <c r="AT94" i="58"/>
  <c r="AK24" i="58"/>
  <c r="AI18" i="32"/>
  <c r="AI17" i="32"/>
  <c r="U86" i="47"/>
  <c r="Y50" i="29"/>
  <c r="U85" i="47"/>
  <c r="Y49" i="29"/>
  <c r="AJ34" i="32"/>
  <c r="AJ37" i="32" s="1"/>
  <c r="AJ25" i="32"/>
  <c r="AJ17" i="32" s="1"/>
  <c r="AD25" i="44"/>
  <c r="AD26" i="44" s="1"/>
  <c r="AL6" i="35"/>
  <c r="AK22" i="32"/>
  <c r="AK24" i="32"/>
  <c r="AK23" i="32"/>
  <c r="AK35" i="32" s="1"/>
  <c r="AK38" i="32" s="1"/>
  <c r="AL10" i="58"/>
  <c r="Q9" i="55"/>
  <c r="J11" i="57"/>
  <c r="AN9" i="55"/>
  <c r="AK9" i="55"/>
  <c r="X9" i="55"/>
  <c r="AM9" i="55"/>
  <c r="AJ9" i="55"/>
  <c r="Y9" i="55"/>
  <c r="AE9" i="55"/>
  <c r="S9" i="55"/>
  <c r="I3" i="56"/>
  <c r="Z9" i="55"/>
  <c r="AI9" i="55"/>
  <c r="J3" i="56"/>
  <c r="AA9" i="55"/>
  <c r="AF9" i="55"/>
  <c r="V9" i="55"/>
  <c r="AH9" i="55"/>
  <c r="U9" i="55"/>
  <c r="AC9" i="55"/>
  <c r="AL9" i="55"/>
  <c r="AG9" i="55"/>
  <c r="K3" i="56"/>
  <c r="T9" i="55"/>
  <c r="K11" i="57"/>
  <c r="I11" i="57"/>
  <c r="H11" i="57"/>
  <c r="AD9" i="55"/>
  <c r="R9" i="55"/>
  <c r="W9" i="55"/>
  <c r="AB9" i="55"/>
  <c r="L3" i="56"/>
  <c r="AO6" i="35"/>
  <c r="AP6" i="35" s="1"/>
  <c r="O3" i="29"/>
  <c r="AM21" i="32"/>
  <c r="AL21" i="32"/>
  <c r="AM6" i="35"/>
  <c r="P3" i="29"/>
  <c r="AN6" i="35"/>
  <c r="AK45" i="32"/>
  <c r="AN45" i="32"/>
  <c r="AO21" i="32"/>
  <c r="AP21" i="32" s="1"/>
  <c r="AN24" i="32"/>
  <c r="AN22" i="32"/>
  <c r="AN23" i="32"/>
  <c r="AJ36" i="32"/>
  <c r="AJ35" i="32"/>
  <c r="AJ38" i="32" s="1"/>
  <c r="V108" i="47"/>
  <c r="Z51" i="29"/>
  <c r="T84" i="47"/>
  <c r="X48" i="29"/>
  <c r="AO94" i="32"/>
  <c r="AN73" i="32"/>
  <c r="AN80" i="32" s="1"/>
  <c r="AE23" i="35"/>
  <c r="AA8" i="47"/>
  <c r="AE26" i="35"/>
  <c r="AA7" i="47"/>
  <c r="AF25" i="35"/>
  <c r="AB6" i="47"/>
  <c r="AE24" i="35"/>
  <c r="AA9" i="47"/>
  <c r="AE22" i="35"/>
  <c r="AA5" i="47"/>
  <c r="AJ19" i="32" l="1"/>
  <c r="AG221" i="58"/>
  <c r="AG259" i="58" s="1"/>
  <c r="AD120" i="47" s="1"/>
  <c r="AG225" i="58"/>
  <c r="AG263" i="58" s="1"/>
  <c r="AD126" i="47" s="1"/>
  <c r="AG223" i="58"/>
  <c r="AG261" i="58" s="1"/>
  <c r="AD122" i="47" s="1"/>
  <c r="AG226" i="58"/>
  <c r="AG264" i="58" s="1"/>
  <c r="AD119" i="47" s="1"/>
  <c r="AG222" i="58"/>
  <c r="AG260" i="58" s="1"/>
  <c r="AD121" i="47" s="1"/>
  <c r="AG224" i="58"/>
  <c r="AG262" i="58" s="1"/>
  <c r="AD124" i="47" s="1"/>
  <c r="AH199" i="58"/>
  <c r="AH201" i="58"/>
  <c r="AH200" i="58"/>
  <c r="AH198" i="58"/>
  <c r="AH205" i="58"/>
  <c r="AH202" i="58"/>
  <c r="AH204" i="58"/>
  <c r="AH197" i="58"/>
  <c r="AH203" i="58"/>
  <c r="AH215" i="58"/>
  <c r="AH212" i="58"/>
  <c r="AH213" i="58"/>
  <c r="AH216" i="58"/>
  <c r="AH210" i="58"/>
  <c r="AH208" i="58"/>
  <c r="AH209" i="58"/>
  <c r="AH214" i="58"/>
  <c r="AH211" i="58"/>
  <c r="AF258" i="58"/>
  <c r="AC118" i="47" s="1"/>
  <c r="AF245" i="58"/>
  <c r="AH190" i="58"/>
  <c r="AH193" i="58"/>
  <c r="AH227" i="58" s="1"/>
  <c r="AH265" i="58" s="1"/>
  <c r="AE125" i="47" s="1"/>
  <c r="AH192" i="58"/>
  <c r="AH188" i="58"/>
  <c r="AH187" i="58"/>
  <c r="AH191" i="58"/>
  <c r="AH186" i="58"/>
  <c r="AH189" i="58"/>
  <c r="AH194" i="58"/>
  <c r="AG228" i="58"/>
  <c r="AG266" i="58" s="1"/>
  <c r="AD123" i="47" s="1"/>
  <c r="AH179" i="58"/>
  <c r="AH238" i="58" s="1"/>
  <c r="AH253" i="58" s="1"/>
  <c r="AE117" i="47" s="1"/>
  <c r="AH176" i="58"/>
  <c r="AH235" i="58" s="1"/>
  <c r="AH250" i="58" s="1"/>
  <c r="AE112" i="47" s="1"/>
  <c r="AH53" i="58"/>
  <c r="AH174" i="58"/>
  <c r="AH233" i="58" s="1"/>
  <c r="AH248" i="58" s="1"/>
  <c r="AE109" i="47" s="1"/>
  <c r="AH177" i="58"/>
  <c r="AH236" i="58" s="1"/>
  <c r="AH251" i="58" s="1"/>
  <c r="AE113" i="47" s="1"/>
  <c r="AH182" i="58"/>
  <c r="AH241" i="58" s="1"/>
  <c r="AH256" i="58" s="1"/>
  <c r="AE114" i="47" s="1"/>
  <c r="AH180" i="58"/>
  <c r="AH239" i="58" s="1"/>
  <c r="AH254" i="58" s="1"/>
  <c r="AE110" i="47" s="1"/>
  <c r="AH181" i="58"/>
  <c r="AH240" i="58" s="1"/>
  <c r="AH255" i="58" s="1"/>
  <c r="AE116" i="47" s="1"/>
  <c r="AH178" i="58"/>
  <c r="AH237" i="58" s="1"/>
  <c r="AH252" i="58" s="1"/>
  <c r="AE115" i="47" s="1"/>
  <c r="AH175" i="58"/>
  <c r="AH234" i="58" s="1"/>
  <c r="AH249" i="58" s="1"/>
  <c r="AE111" i="47" s="1"/>
  <c r="AK35" i="58"/>
  <c r="AK159" i="58"/>
  <c r="AK156" i="58"/>
  <c r="AK155" i="58"/>
  <c r="AK153" i="58"/>
  <c r="AK151" i="58"/>
  <c r="AK157" i="58"/>
  <c r="AK154" i="58"/>
  <c r="AK152" i="58"/>
  <c r="AK158" i="58"/>
  <c r="AG227" i="58"/>
  <c r="AG265" i="58" s="1"/>
  <c r="AD125" i="47" s="1"/>
  <c r="AJ169" i="58"/>
  <c r="AJ168" i="58"/>
  <c r="AJ163" i="58"/>
  <c r="AJ167" i="58"/>
  <c r="AJ166" i="58"/>
  <c r="AJ164" i="58"/>
  <c r="AJ165" i="58"/>
  <c r="AJ170" i="58"/>
  <c r="AJ162" i="58"/>
  <c r="AJ36" i="58"/>
  <c r="AJ41" i="58" s="1"/>
  <c r="AG220" i="58"/>
  <c r="AJ18" i="32"/>
  <c r="AI44" i="58"/>
  <c r="AI50" i="58" s="1"/>
  <c r="AI45" i="58"/>
  <c r="AI51" i="58" s="1"/>
  <c r="AI46" i="58"/>
  <c r="AI52" i="58" s="1"/>
  <c r="AI43" i="58"/>
  <c r="AI49" i="58" s="1"/>
  <c r="AU95" i="58"/>
  <c r="AU94" i="58"/>
  <c r="AU98" i="58"/>
  <c r="AL23" i="58"/>
  <c r="AL24" i="58" s="1"/>
  <c r="AM10" i="58"/>
  <c r="AU92" i="58"/>
  <c r="AU93" i="58"/>
  <c r="AU99" i="58"/>
  <c r="V86" i="47"/>
  <c r="Z50" i="29"/>
  <c r="V85" i="47"/>
  <c r="Z49" i="29"/>
  <c r="AB22" i="55"/>
  <c r="AB19" i="55"/>
  <c r="AB12" i="55"/>
  <c r="AB10" i="55"/>
  <c r="AB13" i="55"/>
  <c r="AB11" i="55"/>
  <c r="AB20" i="55"/>
  <c r="AB21" i="55"/>
  <c r="AB18" i="55"/>
  <c r="AB16" i="55"/>
  <c r="AB14" i="55"/>
  <c r="AB17" i="55"/>
  <c r="AB15" i="55"/>
  <c r="W19" i="55"/>
  <c r="W22" i="55"/>
  <c r="W10" i="55"/>
  <c r="W13" i="55"/>
  <c r="W21" i="55"/>
  <c r="W11" i="55"/>
  <c r="W20" i="55"/>
  <c r="W12" i="55"/>
  <c r="W16" i="55"/>
  <c r="W17" i="55"/>
  <c r="W14" i="55"/>
  <c r="W18" i="55"/>
  <c r="W15" i="55"/>
  <c r="AH20" i="55"/>
  <c r="AH21" i="55"/>
  <c r="AH15" i="55"/>
  <c r="AH18" i="55"/>
  <c r="AH11" i="55"/>
  <c r="AH13" i="55"/>
  <c r="AH16" i="55"/>
  <c r="AH19" i="55"/>
  <c r="AH22" i="55"/>
  <c r="AH12" i="55"/>
  <c r="AH10" i="55"/>
  <c r="AH17" i="55"/>
  <c r="AH14" i="55"/>
  <c r="AM12" i="55"/>
  <c r="AM13" i="55"/>
  <c r="AM16" i="55"/>
  <c r="AM10" i="55"/>
  <c r="AM17" i="55"/>
  <c r="AM11" i="55"/>
  <c r="AM14" i="55"/>
  <c r="AM20" i="55"/>
  <c r="AM21" i="55"/>
  <c r="AM19" i="55"/>
  <c r="AM15" i="55"/>
  <c r="AM22" i="55"/>
  <c r="AM18" i="55"/>
  <c r="AE35" i="44"/>
  <c r="AF35" i="44"/>
  <c r="AO45" i="32"/>
  <c r="AP45" i="32" s="1"/>
  <c r="I45" i="32"/>
  <c r="R19" i="55"/>
  <c r="R10" i="55"/>
  <c r="R22" i="55"/>
  <c r="R14" i="55"/>
  <c r="R13" i="55"/>
  <c r="R12" i="55"/>
  <c r="R11" i="55"/>
  <c r="R20" i="55"/>
  <c r="R21" i="55"/>
  <c r="R18" i="55"/>
  <c r="R15" i="55"/>
  <c r="R17" i="55"/>
  <c r="R16" i="55"/>
  <c r="V19" i="55"/>
  <c r="V22" i="55"/>
  <c r="V10" i="55"/>
  <c r="V11" i="55"/>
  <c r="V21" i="55"/>
  <c r="V12" i="55"/>
  <c r="V18" i="55"/>
  <c r="V15" i="55"/>
  <c r="V16" i="55"/>
  <c r="V17" i="55"/>
  <c r="V14" i="55"/>
  <c r="V13" i="55"/>
  <c r="V20" i="55"/>
  <c r="X15" i="55"/>
  <c r="X12" i="55"/>
  <c r="X13" i="55"/>
  <c r="X19" i="55"/>
  <c r="X14" i="55"/>
  <c r="X21" i="55"/>
  <c r="X22" i="55"/>
  <c r="X20" i="55"/>
  <c r="X10" i="55"/>
  <c r="X17" i="55"/>
  <c r="X11" i="55"/>
  <c r="X18" i="55"/>
  <c r="X16" i="55"/>
  <c r="AD13" i="55"/>
  <c r="AD19" i="55"/>
  <c r="AD18" i="55"/>
  <c r="AD17" i="55"/>
  <c r="AD15" i="55"/>
  <c r="AD21" i="55"/>
  <c r="AD16" i="55"/>
  <c r="AD20" i="55"/>
  <c r="AD10" i="55"/>
  <c r="AD22" i="55"/>
  <c r="AD11" i="55"/>
  <c r="AD12" i="55"/>
  <c r="AD14" i="55"/>
  <c r="AF19" i="55"/>
  <c r="AF22" i="55"/>
  <c r="AF20" i="55"/>
  <c r="AF21" i="55"/>
  <c r="AF14" i="55"/>
  <c r="AF18" i="55"/>
  <c r="AF17" i="55"/>
  <c r="AF15" i="55"/>
  <c r="AF13" i="55"/>
  <c r="AF10" i="55"/>
  <c r="AF16" i="55"/>
  <c r="AF11" i="55"/>
  <c r="AF12" i="55"/>
  <c r="AK13" i="55"/>
  <c r="AK22" i="55"/>
  <c r="AK16" i="55"/>
  <c r="AK12" i="55"/>
  <c r="AK14" i="55"/>
  <c r="AK15" i="55"/>
  <c r="AK18" i="55"/>
  <c r="AK17" i="55"/>
  <c r="AK10" i="55"/>
  <c r="AK11" i="55"/>
  <c r="AK19" i="55"/>
  <c r="AK20" i="55"/>
  <c r="AK21" i="55"/>
  <c r="AE25" i="44"/>
  <c r="J15" i="57"/>
  <c r="J14" i="57"/>
  <c r="U19" i="55"/>
  <c r="U18" i="55"/>
  <c r="U21" i="55"/>
  <c r="U22" i="55"/>
  <c r="U16" i="55"/>
  <c r="U15" i="55"/>
  <c r="U10" i="55"/>
  <c r="U12" i="55"/>
  <c r="U11" i="55"/>
  <c r="U13" i="55"/>
  <c r="U14" i="55"/>
  <c r="U17" i="55"/>
  <c r="U20" i="55"/>
  <c r="H15" i="57"/>
  <c r="H13" i="57"/>
  <c r="H14" i="57"/>
  <c r="AA12" i="55"/>
  <c r="AA13" i="55"/>
  <c r="AA10" i="55"/>
  <c r="AA11" i="55"/>
  <c r="AA15" i="55"/>
  <c r="AA22" i="55"/>
  <c r="AA14" i="55"/>
  <c r="AA17" i="55"/>
  <c r="AA16" i="55"/>
  <c r="AA21" i="55"/>
  <c r="AA19" i="55"/>
  <c r="AA18" i="55"/>
  <c r="AA20" i="55"/>
  <c r="AO9" i="55"/>
  <c r="AP9" i="55" s="1"/>
  <c r="AN19" i="55"/>
  <c r="AN13" i="55"/>
  <c r="AN21" i="55"/>
  <c r="AN20" i="55"/>
  <c r="AN22" i="55"/>
  <c r="AN10" i="55"/>
  <c r="AN11" i="55"/>
  <c r="AN12" i="55"/>
  <c r="AN15" i="55"/>
  <c r="AN18" i="55"/>
  <c r="AN16" i="55"/>
  <c r="AN14" i="55"/>
  <c r="AN17" i="55"/>
  <c r="J13" i="57"/>
  <c r="P5" i="29"/>
  <c r="P28" i="29"/>
  <c r="I14" i="57"/>
  <c r="I15" i="57"/>
  <c r="I13" i="57"/>
  <c r="J7" i="56"/>
  <c r="J8" i="56"/>
  <c r="P8" i="56" s="1"/>
  <c r="V8" i="56" s="1"/>
  <c r="J9" i="56"/>
  <c r="P9" i="56" s="1"/>
  <c r="V9" i="56" s="1"/>
  <c r="K13" i="57"/>
  <c r="K15" i="57"/>
  <c r="K14" i="57"/>
  <c r="AI20" i="55"/>
  <c r="AI12" i="55"/>
  <c r="AI14" i="55"/>
  <c r="AI22" i="55"/>
  <c r="AI13" i="55"/>
  <c r="AI19" i="55"/>
  <c r="AI10" i="55"/>
  <c r="AI11" i="55"/>
  <c r="AI15" i="55"/>
  <c r="AI16" i="55"/>
  <c r="AI18" i="55"/>
  <c r="AI21" i="55"/>
  <c r="AI17" i="55"/>
  <c r="Q22" i="55"/>
  <c r="Q10" i="55"/>
  <c r="Q18" i="55"/>
  <c r="Q34" i="55" s="1"/>
  <c r="Q13" i="55"/>
  <c r="Q17" i="55"/>
  <c r="Q33" i="55" s="1"/>
  <c r="Q14" i="55"/>
  <c r="Q15" i="55"/>
  <c r="Q16" i="55"/>
  <c r="Q32" i="55" s="1"/>
  <c r="Q11" i="55"/>
  <c r="Q21" i="55"/>
  <c r="Q37" i="55" s="1"/>
  <c r="Q20" i="55"/>
  <c r="Q12" i="55"/>
  <c r="Q19" i="55"/>
  <c r="AK36" i="32"/>
  <c r="AJ19" i="55"/>
  <c r="AJ11" i="55"/>
  <c r="AJ12" i="55"/>
  <c r="AJ13" i="55"/>
  <c r="AJ22" i="55"/>
  <c r="AJ14" i="55"/>
  <c r="AJ17" i="55"/>
  <c r="AJ21" i="55"/>
  <c r="AJ20" i="55"/>
  <c r="AJ16" i="55"/>
  <c r="AJ10" i="55"/>
  <c r="AJ18" i="55"/>
  <c r="AJ15" i="55"/>
  <c r="AL45" i="32"/>
  <c r="H45" i="32" s="1"/>
  <c r="AL24" i="32"/>
  <c r="T13" i="55"/>
  <c r="T12" i="55"/>
  <c r="T19" i="55"/>
  <c r="T21" i="55"/>
  <c r="T14" i="55"/>
  <c r="T20" i="55"/>
  <c r="T18" i="55"/>
  <c r="T17" i="55"/>
  <c r="T16" i="55"/>
  <c r="T22" i="55"/>
  <c r="T15" i="55"/>
  <c r="T10" i="55"/>
  <c r="T11" i="55"/>
  <c r="Z13" i="55"/>
  <c r="Z14" i="55"/>
  <c r="Z12" i="55"/>
  <c r="Z20" i="55"/>
  <c r="Z22" i="55"/>
  <c r="Z16" i="55"/>
  <c r="Z10" i="55"/>
  <c r="Z17" i="55"/>
  <c r="Z11" i="55"/>
  <c r="Z15" i="55"/>
  <c r="Z18" i="55"/>
  <c r="Z19" i="55"/>
  <c r="Z21" i="55"/>
  <c r="AK25" i="32"/>
  <c r="AK18" i="32" s="1"/>
  <c r="AK34" i="32"/>
  <c r="AK37" i="32" s="1"/>
  <c r="AM45" i="32"/>
  <c r="AM23" i="32"/>
  <c r="AM35" i="32" s="1"/>
  <c r="AM38" i="32" s="1"/>
  <c r="AM22" i="32"/>
  <c r="AM24" i="32"/>
  <c r="K7" i="56"/>
  <c r="K8" i="56"/>
  <c r="Q8" i="56" s="1"/>
  <c r="W8" i="56" s="1"/>
  <c r="K9" i="56"/>
  <c r="Q9" i="56" s="1"/>
  <c r="W9" i="56" s="1"/>
  <c r="I7" i="56"/>
  <c r="I8" i="56"/>
  <c r="I9" i="56"/>
  <c r="O9" i="56" s="1"/>
  <c r="U9" i="56" s="1"/>
  <c r="AN36" i="32"/>
  <c r="I24" i="32"/>
  <c r="I36" i="32" s="1"/>
  <c r="AO24" i="32"/>
  <c r="O5" i="29"/>
  <c r="O28" i="29"/>
  <c r="O36" i="29" s="1"/>
  <c r="AG19" i="55"/>
  <c r="AG14" i="55"/>
  <c r="AG22" i="55"/>
  <c r="AG20" i="55"/>
  <c r="AG21" i="55"/>
  <c r="AG12" i="55"/>
  <c r="AG16" i="55"/>
  <c r="AG17" i="55"/>
  <c r="AG10" i="55"/>
  <c r="AG18" i="55"/>
  <c r="AG13" i="55"/>
  <c r="AG11" i="55"/>
  <c r="AG15" i="55"/>
  <c r="S19" i="55"/>
  <c r="S12" i="55"/>
  <c r="S22" i="55"/>
  <c r="S10" i="55"/>
  <c r="S13" i="55"/>
  <c r="S11" i="55"/>
  <c r="S20" i="55"/>
  <c r="S21" i="55"/>
  <c r="S16" i="55"/>
  <c r="S18" i="55"/>
  <c r="S17" i="55"/>
  <c r="S14" i="55"/>
  <c r="S15" i="55"/>
  <c r="AO23" i="32"/>
  <c r="I23" i="32"/>
  <c r="I35" i="32" s="1"/>
  <c r="I38" i="32" s="1"/>
  <c r="AN35" i="32"/>
  <c r="AN38" i="32" s="1"/>
  <c r="AL14" i="55"/>
  <c r="AL10" i="55"/>
  <c r="AL22" i="55"/>
  <c r="AL19" i="55"/>
  <c r="AL11" i="55"/>
  <c r="AL13" i="55"/>
  <c r="AL12" i="55"/>
  <c r="AL17" i="55"/>
  <c r="AL16" i="55"/>
  <c r="AL18" i="55"/>
  <c r="AL21" i="55"/>
  <c r="AL15" i="55"/>
  <c r="AL20" i="55"/>
  <c r="AE14" i="55"/>
  <c r="AE19" i="55"/>
  <c r="AE21" i="55"/>
  <c r="AE20" i="55"/>
  <c r="AE13" i="55"/>
  <c r="AE16" i="55"/>
  <c r="AE17" i="55"/>
  <c r="AE10" i="55"/>
  <c r="AE15" i="55"/>
  <c r="AE11" i="55"/>
  <c r="AE18" i="55"/>
  <c r="AE22" i="55"/>
  <c r="AE12" i="55"/>
  <c r="AN25" i="32"/>
  <c r="AN19" i="32" s="1"/>
  <c r="I22" i="32"/>
  <c r="AO22" i="32"/>
  <c r="AN34" i="32"/>
  <c r="AN37" i="32" s="1"/>
  <c r="L8" i="56"/>
  <c r="R8" i="56" s="1"/>
  <c r="X8" i="56" s="1"/>
  <c r="L7" i="56"/>
  <c r="L9" i="56"/>
  <c r="R9" i="56" s="1"/>
  <c r="X9" i="56" s="1"/>
  <c r="AC19" i="55"/>
  <c r="AC15" i="55"/>
  <c r="AC18" i="55"/>
  <c r="AC13" i="55"/>
  <c r="AC21" i="55"/>
  <c r="AC20" i="55"/>
  <c r="AC22" i="55"/>
  <c r="AC12" i="55"/>
  <c r="AC10" i="55"/>
  <c r="AC14" i="55"/>
  <c r="AC16" i="55"/>
  <c r="AC11" i="55"/>
  <c r="AC17" i="55"/>
  <c r="Y10" i="55"/>
  <c r="Y11" i="55"/>
  <c r="Y14" i="55"/>
  <c r="Y15" i="55"/>
  <c r="Y12" i="55"/>
  <c r="Y16" i="55"/>
  <c r="Y22" i="55"/>
  <c r="Y17" i="55"/>
  <c r="Y18" i="55"/>
  <c r="Y19" i="55"/>
  <c r="Y13" i="55"/>
  <c r="Y20" i="55"/>
  <c r="Y21" i="55"/>
  <c r="W108" i="47"/>
  <c r="AA51" i="29"/>
  <c r="AP94" i="32"/>
  <c r="AP73" i="32" s="1"/>
  <c r="AP80" i="32" s="1"/>
  <c r="AO73" i="32"/>
  <c r="AO80" i="32" s="1"/>
  <c r="U84" i="47"/>
  <c r="Y48" i="29"/>
  <c r="AB5" i="47"/>
  <c r="AF22" i="35"/>
  <c r="AG25" i="35"/>
  <c r="AC6" i="47"/>
  <c r="AB8" i="47"/>
  <c r="AF23" i="35"/>
  <c r="AB7" i="47"/>
  <c r="AF26" i="35"/>
  <c r="AF24" i="35"/>
  <c r="AB9" i="47"/>
  <c r="AH224" i="58" l="1"/>
  <c r="AH262" i="58" s="1"/>
  <c r="AE124" i="47" s="1"/>
  <c r="AH222" i="58"/>
  <c r="AH260" i="58" s="1"/>
  <c r="AE121" i="47" s="1"/>
  <c r="AH228" i="58"/>
  <c r="AH266" i="58" s="1"/>
  <c r="AE123" i="47" s="1"/>
  <c r="AH220" i="58"/>
  <c r="AH258" i="58" s="1"/>
  <c r="AE118" i="47" s="1"/>
  <c r="AM23" i="58"/>
  <c r="AM24" i="58" s="1"/>
  <c r="AH221" i="58"/>
  <c r="AH259" i="58" s="1"/>
  <c r="AE120" i="47" s="1"/>
  <c r="AH223" i="58"/>
  <c r="AH261" i="58" s="1"/>
  <c r="AE122" i="47" s="1"/>
  <c r="AG245" i="58"/>
  <c r="AG258" i="58"/>
  <c r="AD118" i="47" s="1"/>
  <c r="AH225" i="58"/>
  <c r="AH263" i="58" s="1"/>
  <c r="AE126" i="47" s="1"/>
  <c r="AK169" i="58"/>
  <c r="AK168" i="58"/>
  <c r="AK166" i="58"/>
  <c r="AK165" i="58"/>
  <c r="AK167" i="58"/>
  <c r="AK164" i="58"/>
  <c r="AK163" i="58"/>
  <c r="AK162" i="58"/>
  <c r="AK170" i="58"/>
  <c r="AK36" i="58"/>
  <c r="AK41" i="58" s="1"/>
  <c r="AH226" i="58"/>
  <c r="AH264" i="58" s="1"/>
  <c r="AE119" i="47" s="1"/>
  <c r="AN10" i="58"/>
  <c r="AM31" i="58"/>
  <c r="AM34" i="58" s="1"/>
  <c r="AL31" i="58"/>
  <c r="AL34" i="58" s="1"/>
  <c r="AI181" i="58"/>
  <c r="AI240" i="58" s="1"/>
  <c r="AI255" i="58" s="1"/>
  <c r="AF116" i="47" s="1"/>
  <c r="AI176" i="58"/>
  <c r="AI235" i="58" s="1"/>
  <c r="AI250" i="58" s="1"/>
  <c r="AF112" i="47" s="1"/>
  <c r="AI175" i="58"/>
  <c r="AI234" i="58" s="1"/>
  <c r="AI249" i="58" s="1"/>
  <c r="AF111" i="47" s="1"/>
  <c r="AI53" i="58"/>
  <c r="AI182" i="58"/>
  <c r="AI241" i="58" s="1"/>
  <c r="AI256" i="58" s="1"/>
  <c r="AF114" i="47" s="1"/>
  <c r="AI179" i="58"/>
  <c r="AI238" i="58" s="1"/>
  <c r="AI253" i="58" s="1"/>
  <c r="AF117" i="47" s="1"/>
  <c r="AI178" i="58"/>
  <c r="AI237" i="58" s="1"/>
  <c r="AI252" i="58" s="1"/>
  <c r="AF115" i="47" s="1"/>
  <c r="AI180" i="58"/>
  <c r="AI239" i="58" s="1"/>
  <c r="AI254" i="58" s="1"/>
  <c r="AF110" i="47" s="1"/>
  <c r="AI174" i="58"/>
  <c r="AI233" i="58" s="1"/>
  <c r="AI248" i="58" s="1"/>
  <c r="AF109" i="47" s="1"/>
  <c r="AI177" i="58"/>
  <c r="AI236" i="58" s="1"/>
  <c r="AI251" i="58" s="1"/>
  <c r="AF113" i="47" s="1"/>
  <c r="AJ46" i="58"/>
  <c r="AJ52" i="58" s="1"/>
  <c r="AJ43" i="58"/>
  <c r="AJ49" i="58" s="1"/>
  <c r="AJ45" i="58"/>
  <c r="AJ51" i="58" s="1"/>
  <c r="AJ44" i="58"/>
  <c r="AJ50" i="58" s="1"/>
  <c r="AI213" i="58"/>
  <c r="AI210" i="58"/>
  <c r="AI208" i="58"/>
  <c r="AI214" i="58"/>
  <c r="AI211" i="58"/>
  <c r="AI215" i="58"/>
  <c r="AI212" i="58"/>
  <c r="AI216" i="58"/>
  <c r="AI209" i="58"/>
  <c r="AI204" i="58"/>
  <c r="AI203" i="58"/>
  <c r="AI202" i="58"/>
  <c r="AI201" i="58"/>
  <c r="AI198" i="58"/>
  <c r="AI199" i="58"/>
  <c r="AI205" i="58"/>
  <c r="AI197" i="58"/>
  <c r="AI200" i="58"/>
  <c r="AI189" i="58"/>
  <c r="AI193" i="58"/>
  <c r="AI192" i="58"/>
  <c r="AI188" i="58"/>
  <c r="AI186" i="58"/>
  <c r="AI190" i="58"/>
  <c r="AI194" i="58"/>
  <c r="AI187" i="58"/>
  <c r="AI191" i="58"/>
  <c r="AN18" i="32"/>
  <c r="W86" i="47"/>
  <c r="AA50" i="29"/>
  <c r="X86" i="47" s="1"/>
  <c r="AO17" i="55"/>
  <c r="AL51" i="29"/>
  <c r="AC51" i="29"/>
  <c r="Z108" i="47" s="1"/>
  <c r="W85" i="47"/>
  <c r="AA49" i="29"/>
  <c r="X85" i="47" s="1"/>
  <c r="X108" i="47"/>
  <c r="Y108" i="47"/>
  <c r="AP21" i="55"/>
  <c r="AP15" i="55"/>
  <c r="AO15" i="55"/>
  <c r="O8" i="56"/>
  <c r="U8" i="56" s="1"/>
  <c r="I104" i="56"/>
  <c r="R37" i="55"/>
  <c r="N134" i="47"/>
  <c r="Q15" i="57"/>
  <c r="W15" i="57"/>
  <c r="K101" i="57"/>
  <c r="K86" i="57"/>
  <c r="Q14" i="57"/>
  <c r="W14" i="57"/>
  <c r="W108" i="57" s="1"/>
  <c r="K97" i="57"/>
  <c r="K108" i="57"/>
  <c r="K81" i="57"/>
  <c r="H47" i="57"/>
  <c r="H49" i="57" s="1"/>
  <c r="H50" i="57" s="1"/>
  <c r="G47" i="57"/>
  <c r="G49" i="57" s="1"/>
  <c r="G50" i="57" s="1"/>
  <c r="O7" i="56"/>
  <c r="I60" i="56"/>
  <c r="J60" i="56" s="1"/>
  <c r="I43" i="56"/>
  <c r="I48" i="56"/>
  <c r="Q27" i="55"/>
  <c r="K16" i="57"/>
  <c r="W13" i="57"/>
  <c r="Q13" i="57"/>
  <c r="K75" i="57"/>
  <c r="K107" i="57"/>
  <c r="K93" i="57"/>
  <c r="AP20" i="55"/>
  <c r="Q36" i="55"/>
  <c r="AP18" i="55"/>
  <c r="AO18" i="55"/>
  <c r="AL23" i="32"/>
  <c r="R32" i="55"/>
  <c r="N131" i="47"/>
  <c r="T14" i="57"/>
  <c r="N14" i="57"/>
  <c r="H108" i="57"/>
  <c r="H81" i="57"/>
  <c r="H97" i="57"/>
  <c r="R7" i="56"/>
  <c r="K47" i="57"/>
  <c r="AO16" i="55"/>
  <c r="AP16" i="55"/>
  <c r="AO35" i="32"/>
  <c r="AO38" i="32" s="1"/>
  <c r="AP23" i="32"/>
  <c r="S28" i="55"/>
  <c r="H24" i="32"/>
  <c r="H36" i="32" s="1"/>
  <c r="AL36" i="32"/>
  <c r="Q31" i="55"/>
  <c r="N13" i="57"/>
  <c r="H16" i="57"/>
  <c r="T13" i="57"/>
  <c r="T54" i="57" s="1"/>
  <c r="H107" i="57"/>
  <c r="H93" i="57"/>
  <c r="H75" i="57"/>
  <c r="K21" i="57"/>
  <c r="I46" i="32"/>
  <c r="H46" i="32" s="1"/>
  <c r="I66" i="32"/>
  <c r="I68" i="32"/>
  <c r="I69" i="32"/>
  <c r="I67" i="32"/>
  <c r="I64" i="32"/>
  <c r="I65" i="32"/>
  <c r="I50" i="32"/>
  <c r="I63" i="32"/>
  <c r="J47" i="57"/>
  <c r="Q7" i="56"/>
  <c r="AL22" i="32"/>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I47" i="57"/>
  <c r="P7" i="56"/>
  <c r="H86" i="57"/>
  <c r="T15" i="57"/>
  <c r="H101" i="57"/>
  <c r="N15" i="57"/>
  <c r="H109" i="57"/>
  <c r="AP17" i="55"/>
  <c r="AN17" i="32"/>
  <c r="AO12" i="55"/>
  <c r="AP12" i="55"/>
  <c r="AM36" i="32"/>
  <c r="J21" i="57"/>
  <c r="P32" i="57" s="1"/>
  <c r="H63" i="32"/>
  <c r="H64" i="32"/>
  <c r="H68" i="32"/>
  <c r="H69" i="32"/>
  <c r="H65" i="32"/>
  <c r="H66" i="32"/>
  <c r="H67" i="32"/>
  <c r="H50" i="32"/>
  <c r="R33" i="55"/>
  <c r="N130" i="47"/>
  <c r="I75" i="57"/>
  <c r="I107" i="57"/>
  <c r="O13" i="57"/>
  <c r="I16" i="57"/>
  <c r="U13" i="57"/>
  <c r="I93" i="57"/>
  <c r="AO11" i="55"/>
  <c r="AP13" i="55"/>
  <c r="AO13" i="55"/>
  <c r="AM34" i="32"/>
  <c r="AM37" i="32" s="1"/>
  <c r="AM25" i="32"/>
  <c r="AM18" i="32" s="1"/>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U15" i="57"/>
  <c r="I101" i="57"/>
  <c r="I86" i="57"/>
  <c r="O15" i="57"/>
  <c r="I109" i="57"/>
  <c r="V14" i="57"/>
  <c r="P14" i="57"/>
  <c r="J108" i="57"/>
  <c r="J97" i="57"/>
  <c r="J81" i="57"/>
  <c r="AO14" i="55"/>
  <c r="AP14" i="55"/>
  <c r="AO34" i="32"/>
  <c r="AO37" i="32" s="1"/>
  <c r="AO25" i="32"/>
  <c r="AO17" i="32" s="1"/>
  <c r="AP22" i="32"/>
  <c r="AP11" i="55"/>
  <c r="O18" i="29"/>
  <c r="O17" i="29"/>
  <c r="O16" i="29"/>
  <c r="AK19" i="32"/>
  <c r="R34" i="55"/>
  <c r="N128" i="47"/>
  <c r="U14" i="57"/>
  <c r="O14" i="57"/>
  <c r="I81" i="57"/>
  <c r="I108" i="57"/>
  <c r="I97" i="57"/>
  <c r="V15" i="57"/>
  <c r="P15" i="57"/>
  <c r="P101" i="57" s="1"/>
  <c r="J101" i="57"/>
  <c r="J86" i="57"/>
  <c r="I34" i="32"/>
  <c r="I37" i="32" s="1"/>
  <c r="I25" i="32"/>
  <c r="I31" i="32" s="1"/>
  <c r="AO19" i="55"/>
  <c r="AP19" i="55"/>
  <c r="AP24" i="32"/>
  <c r="AP36" i="32" s="1"/>
  <c r="AO36" i="32"/>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P36" i="29"/>
  <c r="AO20" i="55"/>
  <c r="AE26" i="44"/>
  <c r="AF26" i="44"/>
  <c r="AP22" i="55"/>
  <c r="AO22" i="55"/>
  <c r="AK17" i="32"/>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J93" i="57"/>
  <c r="J75" i="57"/>
  <c r="J107" i="57"/>
  <c r="P13" i="57"/>
  <c r="J16" i="57"/>
  <c r="V13" i="57"/>
  <c r="V84" i="47"/>
  <c r="Z48" i="29"/>
  <c r="AC8" i="47"/>
  <c r="AG23" i="35"/>
  <c r="AC9" i="47"/>
  <c r="AG24" i="35"/>
  <c r="AH25" i="35"/>
  <c r="AD6" i="47"/>
  <c r="AG26" i="35"/>
  <c r="AC7" i="47"/>
  <c r="AG22" i="35"/>
  <c r="AC5" i="47"/>
  <c r="AL35" i="58" l="1"/>
  <c r="AL159" i="58"/>
  <c r="AL156" i="58"/>
  <c r="AL155" i="58"/>
  <c r="AL154" i="58"/>
  <c r="AL158" i="58"/>
  <c r="AL152" i="58"/>
  <c r="AL151" i="58"/>
  <c r="AL157" i="58"/>
  <c r="AL153" i="58"/>
  <c r="AK44" i="58"/>
  <c r="AK50" i="58" s="1"/>
  <c r="AK43" i="58"/>
  <c r="AK49" i="58" s="1"/>
  <c r="AK46" i="58"/>
  <c r="AK52" i="58" s="1"/>
  <c r="AK45" i="58"/>
  <c r="AI225" i="58"/>
  <c r="AI263" i="58" s="1"/>
  <c r="AF126" i="47" s="1"/>
  <c r="AH245" i="58"/>
  <c r="AI228" i="58"/>
  <c r="AI266" i="58" s="1"/>
  <c r="AF123" i="47" s="1"/>
  <c r="AI227" i="58"/>
  <c r="AI265" i="58" s="1"/>
  <c r="AF125" i="47" s="1"/>
  <c r="AI223" i="58"/>
  <c r="AI261" i="58" s="1"/>
  <c r="AF122" i="47" s="1"/>
  <c r="AJ197" i="58"/>
  <c r="AJ201" i="58"/>
  <c r="AJ202" i="58"/>
  <c r="AJ205" i="58"/>
  <c r="AK51" i="58"/>
  <c r="AJ203" i="58"/>
  <c r="AJ204" i="58"/>
  <c r="AJ200" i="58"/>
  <c r="AJ198" i="58"/>
  <c r="AJ199" i="58"/>
  <c r="AJ176" i="58"/>
  <c r="AJ235" i="58" s="1"/>
  <c r="AJ250" i="58" s="1"/>
  <c r="AG112" i="47" s="1"/>
  <c r="AJ175" i="58"/>
  <c r="AJ234" i="58" s="1"/>
  <c r="AJ249" i="58" s="1"/>
  <c r="AG111" i="47" s="1"/>
  <c r="AJ179" i="58"/>
  <c r="AJ238" i="58" s="1"/>
  <c r="AJ253" i="58" s="1"/>
  <c r="AG117" i="47" s="1"/>
  <c r="AJ180" i="58"/>
  <c r="AJ239" i="58" s="1"/>
  <c r="AJ254" i="58" s="1"/>
  <c r="AG110" i="47" s="1"/>
  <c r="AJ174" i="58"/>
  <c r="AJ233" i="58" s="1"/>
  <c r="AJ248" i="58" s="1"/>
  <c r="AG109" i="47" s="1"/>
  <c r="AJ181" i="58"/>
  <c r="AJ240" i="58" s="1"/>
  <c r="AJ255" i="58" s="1"/>
  <c r="AG116" i="47" s="1"/>
  <c r="AJ177" i="58"/>
  <c r="AJ236" i="58" s="1"/>
  <c r="AJ251" i="58" s="1"/>
  <c r="AG113" i="47" s="1"/>
  <c r="AJ182" i="58"/>
  <c r="AJ241" i="58" s="1"/>
  <c r="AJ256" i="58" s="1"/>
  <c r="AG114" i="47" s="1"/>
  <c r="AJ178" i="58"/>
  <c r="AJ237" i="58" s="1"/>
  <c r="AJ252" i="58" s="1"/>
  <c r="AG115" i="47" s="1"/>
  <c r="AJ53" i="58"/>
  <c r="AJ187" i="58"/>
  <c r="AJ191" i="58"/>
  <c r="AJ186" i="58"/>
  <c r="AJ192" i="58"/>
  <c r="AJ194" i="58"/>
  <c r="AJ188" i="58"/>
  <c r="AJ190" i="58"/>
  <c r="AJ193" i="58"/>
  <c r="AJ189" i="58"/>
  <c r="AI221" i="58"/>
  <c r="AI259" i="58" s="1"/>
  <c r="AF120" i="47" s="1"/>
  <c r="AI224" i="58"/>
  <c r="AI262" i="58" s="1"/>
  <c r="AF124" i="47" s="1"/>
  <c r="AM35" i="58"/>
  <c r="AM155" i="58"/>
  <c r="AM159" i="58"/>
  <c r="AM156" i="58"/>
  <c r="AM153" i="58"/>
  <c r="AM158" i="58"/>
  <c r="AM151" i="58"/>
  <c r="AM154" i="58"/>
  <c r="AM157" i="58"/>
  <c r="AM152" i="58"/>
  <c r="AI220" i="58"/>
  <c r="AJ210" i="58"/>
  <c r="AJ208" i="58"/>
  <c r="AJ209" i="58"/>
  <c r="AJ212" i="58"/>
  <c r="AJ213" i="58"/>
  <c r="AJ215" i="58"/>
  <c r="AJ211" i="58"/>
  <c r="AJ214" i="58"/>
  <c r="AJ216" i="58"/>
  <c r="AN23" i="58"/>
  <c r="AO10" i="58"/>
  <c r="AI222" i="58"/>
  <c r="AI260" i="58" s="1"/>
  <c r="AF121" i="47" s="1"/>
  <c r="AI226" i="58"/>
  <c r="AI264" i="58" s="1"/>
  <c r="AF119" i="47" s="1"/>
  <c r="S171" i="56"/>
  <c r="Q171" i="56"/>
  <c r="R171" i="56" s="1"/>
  <c r="AO35" i="55"/>
  <c r="AP35" i="55" s="1"/>
  <c r="AD51" i="29"/>
  <c r="Q123" i="56"/>
  <c r="P144" i="56" s="1"/>
  <c r="M99" i="47" s="1"/>
  <c r="S123" i="56"/>
  <c r="R144" i="56" s="1"/>
  <c r="AO29" i="55"/>
  <c r="AP29" i="55" s="1"/>
  <c r="I49" i="57"/>
  <c r="I50" i="57" s="1"/>
  <c r="I51" i="57" s="1"/>
  <c r="AO38" i="55"/>
  <c r="AP38" i="55" s="1"/>
  <c r="AM17" i="32"/>
  <c r="U97" i="57"/>
  <c r="U108" i="57"/>
  <c r="U81" i="57"/>
  <c r="U55" i="57"/>
  <c r="AO26" i="55"/>
  <c r="AP26" i="55" s="1"/>
  <c r="AL68" i="32"/>
  <c r="AM68" i="32" s="1"/>
  <c r="AC68" i="32"/>
  <c r="AD68" i="32" s="1"/>
  <c r="AE68" i="32" s="1"/>
  <c r="AF68" i="32" s="1"/>
  <c r="AG68" i="32" s="1"/>
  <c r="AH68" i="32" s="1"/>
  <c r="AI68" i="32" s="1"/>
  <c r="AJ68" i="32" s="1"/>
  <c r="AK68" i="32" s="1"/>
  <c r="N86" i="57"/>
  <c r="N101" i="57"/>
  <c r="N109" i="57"/>
  <c r="N56" i="57"/>
  <c r="V7" i="56"/>
  <c r="O47" i="57" s="1"/>
  <c r="V93" i="57"/>
  <c r="V75" i="57"/>
  <c r="V16" i="57"/>
  <c r="V54" i="57"/>
  <c r="V107" i="57"/>
  <c r="AL64" i="32"/>
  <c r="AM64" i="32" s="1"/>
  <c r="AC64" i="32"/>
  <c r="AD64" i="32" s="1"/>
  <c r="AE64" i="32" s="1"/>
  <c r="AF64" i="32" s="1"/>
  <c r="AG64" i="32" s="1"/>
  <c r="AH64" i="32" s="1"/>
  <c r="AI64" i="32" s="1"/>
  <c r="AJ64" i="32" s="1"/>
  <c r="AK64" i="32" s="1"/>
  <c r="AP34" i="32"/>
  <c r="AP37" i="32" s="1"/>
  <c r="AP25" i="32"/>
  <c r="AP19" i="32" s="1"/>
  <c r="U54" i="57"/>
  <c r="U75" i="57"/>
  <c r="U16" i="57"/>
  <c r="U93" i="57"/>
  <c r="U107" i="57"/>
  <c r="AL63" i="32"/>
  <c r="AM63" i="32" s="1"/>
  <c r="AC63" i="32"/>
  <c r="AD63" i="32" s="1"/>
  <c r="AE63" i="32" s="1"/>
  <c r="AF63" i="32" s="1"/>
  <c r="AG63" i="32" s="1"/>
  <c r="AH63" i="32" s="1"/>
  <c r="AI63" i="32" s="1"/>
  <c r="AJ63" i="32" s="1"/>
  <c r="AK63" i="32" s="1"/>
  <c r="P16" i="57"/>
  <c r="P54" i="57"/>
  <c r="P93" i="57"/>
  <c r="P75" i="57"/>
  <c r="P107" i="57"/>
  <c r="AO19" i="32"/>
  <c r="AO18" i="32"/>
  <c r="J119" i="57"/>
  <c r="J121" i="57"/>
  <c r="J120" i="57"/>
  <c r="P56" i="57"/>
  <c r="P87" i="57"/>
  <c r="P90" i="57" s="1"/>
  <c r="J32" i="57"/>
  <c r="O16" i="57"/>
  <c r="O107" i="57"/>
  <c r="O75" i="57"/>
  <c r="O93" i="57"/>
  <c r="O54" i="57"/>
  <c r="AM19" i="32"/>
  <c r="J115" i="57"/>
  <c r="J116" i="57"/>
  <c r="J117" i="57"/>
  <c r="S34" i="55"/>
  <c r="O128" i="47"/>
  <c r="J123" i="57"/>
  <c r="J124" i="57"/>
  <c r="P81" i="57"/>
  <c r="P97" i="57"/>
  <c r="P108" i="57"/>
  <c r="P55" i="57"/>
  <c r="O86" i="57"/>
  <c r="O101" i="57"/>
  <c r="O56" i="57"/>
  <c r="O109" i="57"/>
  <c r="O22" i="29"/>
  <c r="P16" i="29"/>
  <c r="P22" i="29" s="1"/>
  <c r="V55" i="57"/>
  <c r="V108" i="57"/>
  <c r="V97" i="57"/>
  <c r="V81" i="57"/>
  <c r="I124" i="57"/>
  <c r="I123" i="57"/>
  <c r="I125" i="57"/>
  <c r="P109" i="57"/>
  <c r="P86" i="57"/>
  <c r="I119" i="57"/>
  <c r="I120" i="57"/>
  <c r="I121" i="57"/>
  <c r="O23" i="29"/>
  <c r="P17" i="29"/>
  <c r="P23" i="29" s="1"/>
  <c r="AL67" i="32"/>
  <c r="AM67" i="32" s="1"/>
  <c r="AC67" i="32"/>
  <c r="AD67" i="32" s="1"/>
  <c r="AE67" i="32" s="1"/>
  <c r="AF67" i="32" s="1"/>
  <c r="AG67" i="32" s="1"/>
  <c r="AH67" i="32" s="1"/>
  <c r="AI67" i="32" s="1"/>
  <c r="AJ67" i="32" s="1"/>
  <c r="AK67" i="32" s="1"/>
  <c r="V56" i="57"/>
  <c r="V109" i="57"/>
  <c r="V86" i="57"/>
  <c r="V101" i="57"/>
  <c r="O108" i="57"/>
  <c r="O97" i="57"/>
  <c r="O55" i="57"/>
  <c r="O81" i="57"/>
  <c r="O24" i="29"/>
  <c r="P18" i="29"/>
  <c r="P24" i="29" s="1"/>
  <c r="U109" i="57"/>
  <c r="U56" i="57"/>
  <c r="U86" i="57"/>
  <c r="U101" i="57"/>
  <c r="AL66" i="32"/>
  <c r="AM66" i="32" s="1"/>
  <c r="AC66" i="32"/>
  <c r="AD66" i="32" s="1"/>
  <c r="AE66" i="32" s="1"/>
  <c r="AF66" i="32" s="1"/>
  <c r="AG66" i="32" s="1"/>
  <c r="AH66" i="32" s="1"/>
  <c r="AI66" i="32" s="1"/>
  <c r="AJ66" i="32" s="1"/>
  <c r="AK66" i="32" s="1"/>
  <c r="AO30" i="55"/>
  <c r="AP30" i="55" s="1"/>
  <c r="AL69" i="32"/>
  <c r="AM69" i="32" s="1"/>
  <c r="AC69" i="32"/>
  <c r="AD69" i="32" s="1"/>
  <c r="AE69" i="32" s="1"/>
  <c r="AF69" i="32" s="1"/>
  <c r="AG69" i="32" s="1"/>
  <c r="AH69" i="32" s="1"/>
  <c r="AI69" i="32" s="1"/>
  <c r="AJ69" i="32" s="1"/>
  <c r="AK69" i="32" s="1"/>
  <c r="H124" i="57"/>
  <c r="H123" i="57"/>
  <c r="H125" i="57"/>
  <c r="AN65" i="32"/>
  <c r="AO65" i="32" s="1"/>
  <c r="AP65" i="32" s="1"/>
  <c r="H120" i="57"/>
  <c r="H121" i="57"/>
  <c r="H119" i="57"/>
  <c r="U7" i="56"/>
  <c r="O43" i="56"/>
  <c r="O48" i="56"/>
  <c r="O60" i="56"/>
  <c r="AN64" i="32"/>
  <c r="AO64" i="32" s="1"/>
  <c r="AP64" i="32" s="1"/>
  <c r="AP35" i="32"/>
  <c r="AP38" i="32" s="1"/>
  <c r="G110" i="57"/>
  <c r="G111" i="57" s="1"/>
  <c r="G51" i="57"/>
  <c r="W55" i="57"/>
  <c r="W97" i="57"/>
  <c r="W81" i="57"/>
  <c r="AN67" i="32"/>
  <c r="AO67" i="32" s="1"/>
  <c r="AP67" i="32" s="1"/>
  <c r="X7" i="56"/>
  <c r="Q47" i="57" s="1"/>
  <c r="N55" i="57"/>
  <c r="N81" i="57"/>
  <c r="N97" i="57"/>
  <c r="N108" i="57"/>
  <c r="H51" i="57"/>
  <c r="H110" i="57"/>
  <c r="H111" i="57" s="1"/>
  <c r="G248" i="57" s="1"/>
  <c r="Q108" i="57"/>
  <c r="Q97" i="57"/>
  <c r="Q81" i="57"/>
  <c r="Q55" i="57"/>
  <c r="AN69" i="32"/>
  <c r="AO69" i="32" s="1"/>
  <c r="AP69" i="32" s="1"/>
  <c r="H115" i="57"/>
  <c r="H117" i="57"/>
  <c r="H116" i="57"/>
  <c r="T55" i="57"/>
  <c r="T97" i="57"/>
  <c r="T81" i="57"/>
  <c r="T108" i="57"/>
  <c r="W7" i="56"/>
  <c r="V47" i="57" s="1"/>
  <c r="AN68" i="32"/>
  <c r="AO68" i="32" s="1"/>
  <c r="AP68" i="32" s="1"/>
  <c r="R31" i="55"/>
  <c r="N129" i="47"/>
  <c r="K123" i="57"/>
  <c r="K124" i="57"/>
  <c r="AN66" i="32"/>
  <c r="AO66" i="32" s="1"/>
  <c r="AP66" i="32" s="1"/>
  <c r="I115" i="57"/>
  <c r="I117" i="57"/>
  <c r="I116" i="57"/>
  <c r="S33" i="55"/>
  <c r="O130" i="47"/>
  <c r="AL34" i="32"/>
  <c r="AL37" i="32" s="1"/>
  <c r="H22" i="32"/>
  <c r="AL25" i="32"/>
  <c r="AL19" i="32" s="1"/>
  <c r="T93" i="57"/>
  <c r="T107" i="57"/>
  <c r="T16" i="57"/>
  <c r="T75" i="57"/>
  <c r="S32" i="55"/>
  <c r="O131" i="47"/>
  <c r="K117" i="57"/>
  <c r="K115" i="57"/>
  <c r="K116" i="57"/>
  <c r="W56" i="57"/>
  <c r="W109" i="57"/>
  <c r="W86" i="57"/>
  <c r="W101" i="57"/>
  <c r="Q32" i="57"/>
  <c r="Q109" i="57" s="1"/>
  <c r="Q16" i="57"/>
  <c r="Q54" i="57"/>
  <c r="Q107" i="57"/>
  <c r="Q75" i="57"/>
  <c r="Q93" i="57"/>
  <c r="Q101" i="57"/>
  <c r="Q86" i="57"/>
  <c r="N107" i="57"/>
  <c r="N75" i="57"/>
  <c r="N93" i="57"/>
  <c r="N54" i="57"/>
  <c r="N16" i="57"/>
  <c r="W93" i="57"/>
  <c r="W16" i="57"/>
  <c r="W75" i="57"/>
  <c r="W54" i="57"/>
  <c r="W107" i="57"/>
  <c r="I47" i="56"/>
  <c r="I46" i="56"/>
  <c r="J48" i="56"/>
  <c r="S37" i="55"/>
  <c r="O134" i="47"/>
  <c r="O88" i="56"/>
  <c r="U88" i="56" s="1"/>
  <c r="I88" i="56"/>
  <c r="J104" i="56"/>
  <c r="AN63" i="32"/>
  <c r="AO63" i="32" s="1"/>
  <c r="AP63" i="32" s="1"/>
  <c r="T28" i="55"/>
  <c r="P127" i="47"/>
  <c r="AL35" i="32"/>
  <c r="AL38" i="32" s="1"/>
  <c r="H23" i="32"/>
  <c r="H35" i="32" s="1"/>
  <c r="H38" i="32" s="1"/>
  <c r="R27" i="55"/>
  <c r="N135" i="47"/>
  <c r="I92" i="56"/>
  <c r="I76" i="56" s="1"/>
  <c r="J43" i="56"/>
  <c r="AC171" i="56" s="1"/>
  <c r="K120" i="57"/>
  <c r="K119" i="57"/>
  <c r="K121" i="57"/>
  <c r="AL65" i="32"/>
  <c r="AM65" i="32" s="1"/>
  <c r="AC65" i="32"/>
  <c r="AD65" i="32" s="1"/>
  <c r="AE65" i="32" s="1"/>
  <c r="AF65" i="32" s="1"/>
  <c r="AG65" i="32" s="1"/>
  <c r="AH65" i="32" s="1"/>
  <c r="AI65" i="32" s="1"/>
  <c r="AJ65" i="32" s="1"/>
  <c r="AK65" i="32" s="1"/>
  <c r="T86" i="57"/>
  <c r="T109" i="57"/>
  <c r="T101" i="57"/>
  <c r="T56" i="57"/>
  <c r="J51" i="56"/>
  <c r="J52" i="56"/>
  <c r="J55" i="56"/>
  <c r="J56" i="56"/>
  <c r="J54" i="56"/>
  <c r="J58" i="56"/>
  <c r="J53" i="56"/>
  <c r="J57" i="56"/>
  <c r="J59" i="56"/>
  <c r="K60" i="56"/>
  <c r="R36" i="55"/>
  <c r="N133" i="47"/>
  <c r="I54" i="56"/>
  <c r="I52" i="56"/>
  <c r="I55" i="56"/>
  <c r="I59" i="56"/>
  <c r="I51" i="56"/>
  <c r="I53" i="56"/>
  <c r="I57" i="56"/>
  <c r="I56" i="56"/>
  <c r="I58" i="56"/>
  <c r="W84" i="47"/>
  <c r="AA48" i="29"/>
  <c r="AH26" i="35"/>
  <c r="AD7" i="47"/>
  <c r="AH23" i="35"/>
  <c r="AD8" i="47"/>
  <c r="AI25" i="35"/>
  <c r="AE6" i="47"/>
  <c r="AD5" i="47"/>
  <c r="AH22" i="35"/>
  <c r="AH24" i="35"/>
  <c r="AD9" i="47"/>
  <c r="U47" i="57" l="1"/>
  <c r="S183" i="56"/>
  <c r="O99" i="47"/>
  <c r="AL169" i="58"/>
  <c r="AL168" i="58"/>
  <c r="AL167" i="58"/>
  <c r="AL166" i="58"/>
  <c r="AL165" i="58"/>
  <c r="AL164" i="58"/>
  <c r="AL163" i="58"/>
  <c r="AL162" i="58"/>
  <c r="AL170" i="58"/>
  <c r="AL36" i="58"/>
  <c r="AL41" i="58" s="1"/>
  <c r="AJ220" i="58"/>
  <c r="AJ225" i="58"/>
  <c r="AJ263" i="58" s="1"/>
  <c r="AG126" i="47" s="1"/>
  <c r="AJ221" i="58"/>
  <c r="AJ259" i="58" s="1"/>
  <c r="AG120" i="47" s="1"/>
  <c r="AO23" i="58"/>
  <c r="AP10" i="58"/>
  <c r="AI245" i="58"/>
  <c r="AI258" i="58"/>
  <c r="AF118" i="47" s="1"/>
  <c r="AN31" i="58"/>
  <c r="AN34" i="58" s="1"/>
  <c r="AN24" i="58"/>
  <c r="AP18" i="32"/>
  <c r="AJ223" i="58"/>
  <c r="AJ261" i="58" s="1"/>
  <c r="AG122" i="47" s="1"/>
  <c r="AK191" i="58"/>
  <c r="AK194" i="58"/>
  <c r="AK188" i="58"/>
  <c r="AK192" i="58"/>
  <c r="AK189" i="58"/>
  <c r="AK190" i="58"/>
  <c r="AK193" i="58"/>
  <c r="AK187" i="58"/>
  <c r="AK186" i="58"/>
  <c r="AK213" i="58"/>
  <c r="AK212" i="58"/>
  <c r="AK209" i="58"/>
  <c r="AK215" i="58"/>
  <c r="AK208" i="58"/>
  <c r="AK216" i="58"/>
  <c r="AK210" i="58"/>
  <c r="AK211" i="58"/>
  <c r="AK214" i="58"/>
  <c r="AJ227" i="58"/>
  <c r="AJ265" i="58" s="1"/>
  <c r="AG125" i="47" s="1"/>
  <c r="AK178" i="58"/>
  <c r="AK237" i="58" s="1"/>
  <c r="AK252" i="58" s="1"/>
  <c r="AH115" i="47" s="1"/>
  <c r="AK174" i="58"/>
  <c r="AK233" i="58" s="1"/>
  <c r="AK248" i="58" s="1"/>
  <c r="AH109" i="47" s="1"/>
  <c r="AK176" i="58"/>
  <c r="AK235" i="58" s="1"/>
  <c r="AK250" i="58" s="1"/>
  <c r="AH112" i="47" s="1"/>
  <c r="AK53" i="58"/>
  <c r="AK179" i="58"/>
  <c r="AK238" i="58" s="1"/>
  <c r="AK253" i="58" s="1"/>
  <c r="AH117" i="47" s="1"/>
  <c r="AK182" i="58"/>
  <c r="AK241" i="58" s="1"/>
  <c r="AK256" i="58" s="1"/>
  <c r="AH114" i="47" s="1"/>
  <c r="AK175" i="58"/>
  <c r="AK234" i="58" s="1"/>
  <c r="AK249" i="58" s="1"/>
  <c r="AH111" i="47" s="1"/>
  <c r="AK177" i="58"/>
  <c r="AK236" i="58" s="1"/>
  <c r="AK251" i="58" s="1"/>
  <c r="AH113" i="47" s="1"/>
  <c r="AK180" i="58"/>
  <c r="AK239" i="58" s="1"/>
  <c r="AK254" i="58" s="1"/>
  <c r="AH110" i="47" s="1"/>
  <c r="AK181" i="58"/>
  <c r="AK240" i="58" s="1"/>
  <c r="AK255" i="58" s="1"/>
  <c r="AH116" i="47" s="1"/>
  <c r="AK202" i="58"/>
  <c r="AK197" i="58"/>
  <c r="AK205" i="58"/>
  <c r="AK199" i="58"/>
  <c r="AK198" i="58"/>
  <c r="AK201" i="58"/>
  <c r="AK204" i="58"/>
  <c r="AK200" i="58"/>
  <c r="AK203" i="58"/>
  <c r="AJ224" i="58"/>
  <c r="AJ262" i="58" s="1"/>
  <c r="AG124" i="47" s="1"/>
  <c r="AJ222" i="58"/>
  <c r="AJ260" i="58" s="1"/>
  <c r="AG121" i="47" s="1"/>
  <c r="AM170" i="58"/>
  <c r="AM163" i="58"/>
  <c r="AM165" i="58"/>
  <c r="AM169" i="58"/>
  <c r="AM168" i="58"/>
  <c r="AM166" i="58"/>
  <c r="AM167" i="58"/>
  <c r="AM162" i="58"/>
  <c r="AM164" i="58"/>
  <c r="AM36" i="58"/>
  <c r="AJ228" i="58"/>
  <c r="AJ266" i="58" s="1"/>
  <c r="AG123" i="47" s="1"/>
  <c r="AL18" i="32"/>
  <c r="AJ226" i="58"/>
  <c r="AJ264" i="58" s="1"/>
  <c r="AG119" i="47" s="1"/>
  <c r="O119" i="57"/>
  <c r="N115" i="57"/>
  <c r="J55" i="57"/>
  <c r="I55" i="57"/>
  <c r="I56" i="57"/>
  <c r="K55" i="57"/>
  <c r="J56" i="57"/>
  <c r="J49" i="57"/>
  <c r="J50" i="57" s="1"/>
  <c r="J110" i="57" s="1"/>
  <c r="T123" i="56"/>
  <c r="S144" i="56" s="1"/>
  <c r="R123" i="56"/>
  <c r="Q144" i="56" s="1"/>
  <c r="S174" i="56"/>
  <c r="T174" i="56" s="1"/>
  <c r="U174" i="56" s="1"/>
  <c r="V174" i="56" s="1"/>
  <c r="W174" i="56" s="1"/>
  <c r="X174" i="56" s="1"/>
  <c r="Y174" i="56" s="1"/>
  <c r="Z174" i="56" s="1"/>
  <c r="AA174" i="56" s="1"/>
  <c r="AB174" i="56" s="1"/>
  <c r="Q174" i="56"/>
  <c r="R174" i="56" s="1"/>
  <c r="S177" i="56"/>
  <c r="T177" i="56" s="1"/>
  <c r="U177" i="56" s="1"/>
  <c r="V177" i="56" s="1"/>
  <c r="W177" i="56" s="1"/>
  <c r="X177" i="56" s="1"/>
  <c r="Y177" i="56" s="1"/>
  <c r="Z177" i="56" s="1"/>
  <c r="AA177" i="56" s="1"/>
  <c r="AB177" i="56" s="1"/>
  <c r="Q177" i="56"/>
  <c r="R177" i="56" s="1"/>
  <c r="S176" i="56"/>
  <c r="T176" i="56" s="1"/>
  <c r="U176" i="56" s="1"/>
  <c r="V176" i="56" s="1"/>
  <c r="W176" i="56" s="1"/>
  <c r="X176" i="56" s="1"/>
  <c r="Y176" i="56" s="1"/>
  <c r="Z176" i="56" s="1"/>
  <c r="AA176" i="56" s="1"/>
  <c r="AB176" i="56" s="1"/>
  <c r="Q176" i="56"/>
  <c r="R176" i="56" s="1"/>
  <c r="S179" i="56"/>
  <c r="T179" i="56" s="1"/>
  <c r="U179" i="56" s="1"/>
  <c r="V179" i="56" s="1"/>
  <c r="W179" i="56" s="1"/>
  <c r="X179" i="56" s="1"/>
  <c r="Y179" i="56" s="1"/>
  <c r="Z179" i="56" s="1"/>
  <c r="AA179" i="56" s="1"/>
  <c r="AB179" i="56" s="1"/>
  <c r="Q179" i="56"/>
  <c r="R179" i="56" s="1"/>
  <c r="S175" i="56"/>
  <c r="T175" i="56" s="1"/>
  <c r="U175" i="56" s="1"/>
  <c r="V175" i="56" s="1"/>
  <c r="W175" i="56" s="1"/>
  <c r="X175" i="56" s="1"/>
  <c r="Y175" i="56" s="1"/>
  <c r="Z175" i="56" s="1"/>
  <c r="AA175" i="56" s="1"/>
  <c r="AB175" i="56" s="1"/>
  <c r="Q175" i="56"/>
  <c r="R175" i="56" s="1"/>
  <c r="S180" i="56"/>
  <c r="T180" i="56" s="1"/>
  <c r="U180" i="56" s="1"/>
  <c r="V180" i="56" s="1"/>
  <c r="W180" i="56" s="1"/>
  <c r="X180" i="56" s="1"/>
  <c r="Y180" i="56" s="1"/>
  <c r="Z180" i="56" s="1"/>
  <c r="AA180" i="56" s="1"/>
  <c r="AB180" i="56" s="1"/>
  <c r="Q180" i="56"/>
  <c r="R180" i="56" s="1"/>
  <c r="S173" i="56"/>
  <c r="T173" i="56" s="1"/>
  <c r="U173" i="56" s="1"/>
  <c r="V173" i="56" s="1"/>
  <c r="W173" i="56" s="1"/>
  <c r="X173" i="56" s="1"/>
  <c r="Y173" i="56" s="1"/>
  <c r="Z173" i="56" s="1"/>
  <c r="AA173" i="56" s="1"/>
  <c r="AB173" i="56" s="1"/>
  <c r="Q173" i="56"/>
  <c r="R173" i="56" s="1"/>
  <c r="S178" i="56"/>
  <c r="T178" i="56" s="1"/>
  <c r="U178" i="56" s="1"/>
  <c r="V178" i="56" s="1"/>
  <c r="W178" i="56" s="1"/>
  <c r="X178" i="56" s="1"/>
  <c r="Y178" i="56" s="1"/>
  <c r="Z178" i="56" s="1"/>
  <c r="AA178" i="56" s="1"/>
  <c r="AB178" i="56" s="1"/>
  <c r="Q178" i="56"/>
  <c r="R178" i="56" s="1"/>
  <c r="S172" i="56"/>
  <c r="Q172" i="56"/>
  <c r="R172" i="56" s="1"/>
  <c r="AA108" i="47"/>
  <c r="AE51" i="29"/>
  <c r="AL50" i="29"/>
  <c r="AI86" i="47" s="1"/>
  <c r="AC50" i="29"/>
  <c r="Z86" i="47" s="1"/>
  <c r="AC49" i="29"/>
  <c r="Z85" i="47" s="1"/>
  <c r="AL49" i="29"/>
  <c r="AI85" i="47" s="1"/>
  <c r="AL48" i="29"/>
  <c r="AC48" i="29"/>
  <c r="Z84" i="47" s="1"/>
  <c r="X84" i="47"/>
  <c r="Y84" i="47"/>
  <c r="T171" i="56"/>
  <c r="U171" i="56" s="1"/>
  <c r="V171" i="56" s="1"/>
  <c r="W171" i="56" s="1"/>
  <c r="X171" i="56" s="1"/>
  <c r="Y171" i="56" s="1"/>
  <c r="Z171" i="56" s="1"/>
  <c r="AA171" i="56" s="1"/>
  <c r="AB171" i="56" s="1"/>
  <c r="P47" i="57"/>
  <c r="AC123" i="56"/>
  <c r="AB144" i="56" s="1"/>
  <c r="I110" i="57"/>
  <c r="I111" i="57" s="1"/>
  <c r="Q111" i="56"/>
  <c r="P132" i="56" s="1"/>
  <c r="M87" i="47" s="1"/>
  <c r="S111" i="56"/>
  <c r="R132" i="56" s="1"/>
  <c r="O87" i="47" s="1"/>
  <c r="Q183" i="56"/>
  <c r="G151" i="57"/>
  <c r="G188" i="57" s="1"/>
  <c r="G150" i="57"/>
  <c r="G187" i="57" s="1"/>
  <c r="G149" i="57"/>
  <c r="I128" i="57"/>
  <c r="I129" i="57"/>
  <c r="H129" i="57"/>
  <c r="H153" i="57" s="1"/>
  <c r="N255" i="57"/>
  <c r="O255" i="57" s="1"/>
  <c r="P255" i="57" s="1"/>
  <c r="Q255" i="57" s="1"/>
  <c r="R255" i="57"/>
  <c r="I100" i="56"/>
  <c r="I84" i="56" s="1"/>
  <c r="AC179" i="56"/>
  <c r="J98" i="56"/>
  <c r="J82" i="56" s="1"/>
  <c r="J47" i="56"/>
  <c r="J46" i="56"/>
  <c r="AC172" i="56" s="1"/>
  <c r="K48" i="56"/>
  <c r="W117" i="57"/>
  <c r="W115" i="57"/>
  <c r="W116" i="57"/>
  <c r="Q116" i="57"/>
  <c r="Q117" i="57"/>
  <c r="Q115" i="57"/>
  <c r="AL17" i="32"/>
  <c r="U124" i="57"/>
  <c r="U123" i="57"/>
  <c r="U125" i="57"/>
  <c r="O123" i="57"/>
  <c r="O124" i="57"/>
  <c r="O125" i="57"/>
  <c r="V119" i="57"/>
  <c r="V121" i="57"/>
  <c r="V120" i="57"/>
  <c r="I54" i="57"/>
  <c r="N124" i="57"/>
  <c r="N123" i="57"/>
  <c r="N125" i="57"/>
  <c r="G250" i="57"/>
  <c r="I94" i="56"/>
  <c r="I78" i="56" s="1"/>
  <c r="AC173" i="56"/>
  <c r="J94" i="56"/>
  <c r="J78" i="56" s="1"/>
  <c r="I103" i="56"/>
  <c r="I87" i="56"/>
  <c r="K54" i="57"/>
  <c r="K128" i="57"/>
  <c r="H34" i="32"/>
  <c r="H37" i="32" s="1"/>
  <c r="H25" i="32"/>
  <c r="H31" i="32" s="1"/>
  <c r="S31" i="55"/>
  <c r="O129" i="47"/>
  <c r="H128" i="57"/>
  <c r="H156" i="57" s="1"/>
  <c r="Q121" i="57"/>
  <c r="Q119" i="57"/>
  <c r="Q120" i="57"/>
  <c r="O59" i="56"/>
  <c r="O86" i="56" s="1"/>
  <c r="AB77" i="56" s="1"/>
  <c r="O57" i="56"/>
  <c r="O56" i="56"/>
  <c r="O51" i="56"/>
  <c r="O53" i="56"/>
  <c r="O55" i="56"/>
  <c r="O52" i="56"/>
  <c r="O54" i="56"/>
  <c r="O58" i="56"/>
  <c r="J87" i="57"/>
  <c r="J90" i="57" s="1"/>
  <c r="J125" i="57" s="1"/>
  <c r="J129" i="57" s="1"/>
  <c r="J109" i="57"/>
  <c r="U121" i="57"/>
  <c r="U119" i="57"/>
  <c r="U120" i="57"/>
  <c r="O116" i="57"/>
  <c r="O115" i="57"/>
  <c r="O117" i="57"/>
  <c r="AC175" i="56"/>
  <c r="I96" i="56"/>
  <c r="I80" i="56" s="1"/>
  <c r="J95" i="56"/>
  <c r="J79" i="56" s="1"/>
  <c r="O47" i="56"/>
  <c r="O87" i="56" s="1"/>
  <c r="O46" i="56"/>
  <c r="P48" i="56"/>
  <c r="I98" i="56"/>
  <c r="I82" i="56" s="1"/>
  <c r="AC177" i="56"/>
  <c r="S36" i="55"/>
  <c r="O133" i="47"/>
  <c r="G54" i="57"/>
  <c r="H54" i="57"/>
  <c r="H127" i="57"/>
  <c r="H154" i="57" s="1"/>
  <c r="O76" i="56"/>
  <c r="O92" i="56"/>
  <c r="P43" i="56"/>
  <c r="P120" i="57"/>
  <c r="P121" i="57"/>
  <c r="P119" i="57"/>
  <c r="I95" i="56"/>
  <c r="I79" i="56" s="1"/>
  <c r="AC174" i="56"/>
  <c r="K51" i="56"/>
  <c r="AM173" i="56" s="1"/>
  <c r="K57" i="56"/>
  <c r="AM179" i="56" s="1"/>
  <c r="K52" i="56"/>
  <c r="AM174" i="56" s="1"/>
  <c r="K55" i="56"/>
  <c r="AM177" i="56" s="1"/>
  <c r="K58" i="56"/>
  <c r="AM180" i="56" s="1"/>
  <c r="K53" i="56"/>
  <c r="AM175" i="56" s="1"/>
  <c r="K56" i="56"/>
  <c r="AM178" i="56" s="1"/>
  <c r="K54" i="56"/>
  <c r="AM176" i="56" s="1"/>
  <c r="K59" i="56"/>
  <c r="L60" i="56"/>
  <c r="U28" i="55"/>
  <c r="Q127" i="47"/>
  <c r="P130" i="47"/>
  <c r="T33" i="55"/>
  <c r="H149" i="57"/>
  <c r="H151" i="57"/>
  <c r="H188" i="57" s="1"/>
  <c r="H150" i="57"/>
  <c r="H187" i="57" s="1"/>
  <c r="T47" i="57"/>
  <c r="T49" i="57" s="1"/>
  <c r="U49" i="57" s="1"/>
  <c r="U43" i="56"/>
  <c r="U60" i="56"/>
  <c r="U48" i="56"/>
  <c r="O121" i="57"/>
  <c r="O120" i="57"/>
  <c r="V115" i="57"/>
  <c r="V117" i="57"/>
  <c r="V116" i="57"/>
  <c r="I93" i="56"/>
  <c r="I77" i="56" s="1"/>
  <c r="AC176" i="56"/>
  <c r="I97" i="56"/>
  <c r="I81" i="56" s="1"/>
  <c r="J102" i="56"/>
  <c r="J86" i="56"/>
  <c r="AI77" i="56" s="1"/>
  <c r="T125" i="57"/>
  <c r="T123" i="57"/>
  <c r="T124" i="57"/>
  <c r="N117" i="57"/>
  <c r="N116" i="57"/>
  <c r="T32" i="55"/>
  <c r="P131" i="47"/>
  <c r="N47" i="57"/>
  <c r="N49" i="57" s="1"/>
  <c r="O49" i="57" s="1"/>
  <c r="U115" i="57"/>
  <c r="U117" i="57"/>
  <c r="U116" i="57"/>
  <c r="I102" i="56"/>
  <c r="I86" i="56"/>
  <c r="AH77" i="56" s="1"/>
  <c r="K127" i="57"/>
  <c r="J88" i="56"/>
  <c r="P88" i="56"/>
  <c r="V88" i="56" s="1"/>
  <c r="K104" i="56"/>
  <c r="J96" i="56"/>
  <c r="J80" i="56" s="1"/>
  <c r="T115" i="57"/>
  <c r="T116" i="57"/>
  <c r="T117" i="57"/>
  <c r="I127" i="57"/>
  <c r="W121" i="57"/>
  <c r="W119" i="57"/>
  <c r="W120" i="57"/>
  <c r="G249" i="57"/>
  <c r="T34" i="55"/>
  <c r="P128" i="47"/>
  <c r="AP17" i="32"/>
  <c r="J92" i="56"/>
  <c r="J76" i="56" s="1"/>
  <c r="K43" i="56"/>
  <c r="AM171" i="56" s="1"/>
  <c r="Q124" i="57"/>
  <c r="Q123" i="57"/>
  <c r="K32" i="57"/>
  <c r="Q87" i="57"/>
  <c r="Q90" i="57" s="1"/>
  <c r="Q125" i="57" s="1"/>
  <c r="Q56" i="57"/>
  <c r="K56" i="57" s="1"/>
  <c r="N121" i="57"/>
  <c r="N119" i="57"/>
  <c r="N120" i="57"/>
  <c r="P125" i="57"/>
  <c r="P123" i="57"/>
  <c r="P124" i="57"/>
  <c r="P115" i="57"/>
  <c r="P116" i="57"/>
  <c r="P117" i="57"/>
  <c r="P60" i="56"/>
  <c r="J100" i="56"/>
  <c r="J84" i="56" s="1"/>
  <c r="J101" i="56"/>
  <c r="J85" i="56" s="1"/>
  <c r="O135" i="47"/>
  <c r="S27" i="55"/>
  <c r="AC180" i="56"/>
  <c r="I101" i="56"/>
  <c r="I85" i="56" s="1"/>
  <c r="J97" i="56"/>
  <c r="J81" i="56" s="1"/>
  <c r="H55" i="57"/>
  <c r="G55" i="57"/>
  <c r="V123" i="57"/>
  <c r="V124" i="57"/>
  <c r="V125" i="57"/>
  <c r="J128" i="57"/>
  <c r="G56" i="57"/>
  <c r="H56" i="57"/>
  <c r="I99" i="56"/>
  <c r="I83" i="56" s="1"/>
  <c r="AC178" i="56"/>
  <c r="J99" i="56"/>
  <c r="J83" i="56" s="1"/>
  <c r="T37" i="55"/>
  <c r="P134" i="47"/>
  <c r="W125" i="57"/>
  <c r="W123" i="57"/>
  <c r="W124" i="57"/>
  <c r="T119" i="57"/>
  <c r="T121" i="57"/>
  <c r="T120" i="57"/>
  <c r="W47" i="57"/>
  <c r="J127" i="57"/>
  <c r="J54" i="57"/>
  <c r="AJ25" i="35"/>
  <c r="AF6" i="47"/>
  <c r="AE8" i="47"/>
  <c r="AI23" i="35"/>
  <c r="AE5" i="47"/>
  <c r="AI22" i="35"/>
  <c r="AI24" i="35"/>
  <c r="AE9" i="47"/>
  <c r="AE7" i="47"/>
  <c r="AI26" i="35"/>
  <c r="AM41" i="58" l="1"/>
  <c r="AM43" i="58" s="1"/>
  <c r="AC183" i="56"/>
  <c r="Y99" i="47"/>
  <c r="R183" i="56"/>
  <c r="N99" i="47"/>
  <c r="T183" i="56"/>
  <c r="P99" i="47"/>
  <c r="AJ245" i="58"/>
  <c r="AL45" i="58"/>
  <c r="AL51" i="58" s="1"/>
  <c r="AL203" i="58" s="1"/>
  <c r="AL44" i="58"/>
  <c r="AL50" i="58" s="1"/>
  <c r="AL194" i="58" s="1"/>
  <c r="AL43" i="58"/>
  <c r="AL49" i="58" s="1"/>
  <c r="AL180" i="58" s="1"/>
  <c r="AL239" i="58" s="1"/>
  <c r="AL254" i="58" s="1"/>
  <c r="AI110" i="47" s="1"/>
  <c r="AL46" i="58"/>
  <c r="AL52" i="58" s="1"/>
  <c r="AL210" i="58" s="1"/>
  <c r="AJ258" i="58"/>
  <c r="AG118" i="47" s="1"/>
  <c r="P49" i="57"/>
  <c r="AK225" i="58"/>
  <c r="AK263" i="58" s="1"/>
  <c r="AH126" i="47" s="1"/>
  <c r="AK220" i="58"/>
  <c r="AO24" i="58"/>
  <c r="AK221" i="58"/>
  <c r="AK259" i="58" s="1"/>
  <c r="AH120" i="47" s="1"/>
  <c r="AK227" i="58"/>
  <c r="AK265" i="58" s="1"/>
  <c r="AH125" i="47" s="1"/>
  <c r="AN35" i="58"/>
  <c r="AN155" i="58"/>
  <c r="AN156" i="58"/>
  <c r="AN159" i="58"/>
  <c r="AN158" i="58"/>
  <c r="AN154" i="58"/>
  <c r="AN152" i="58"/>
  <c r="AN151" i="58"/>
  <c r="AN153" i="58"/>
  <c r="AN157" i="58"/>
  <c r="AK224" i="58"/>
  <c r="AK262" i="58" s="1"/>
  <c r="AH124" i="47" s="1"/>
  <c r="AM45" i="58"/>
  <c r="AK223" i="58"/>
  <c r="AK261" i="58" s="1"/>
  <c r="AH122" i="47" s="1"/>
  <c r="AK226" i="58"/>
  <c r="AK264" i="58" s="1"/>
  <c r="AH119" i="47" s="1"/>
  <c r="AK222" i="58"/>
  <c r="AK260" i="58" s="1"/>
  <c r="AH121" i="47" s="1"/>
  <c r="AP23" i="58"/>
  <c r="AK228" i="58"/>
  <c r="AK266" i="58" s="1"/>
  <c r="AH123" i="47" s="1"/>
  <c r="AO31" i="58"/>
  <c r="AO34" i="58" s="1"/>
  <c r="K49" i="57"/>
  <c r="K50" i="57" s="1"/>
  <c r="K110" i="57" s="1"/>
  <c r="J51" i="57"/>
  <c r="U123" i="56"/>
  <c r="T144" i="56" s="1"/>
  <c r="Q99" i="47" s="1"/>
  <c r="AH76" i="56"/>
  <c r="AI76" i="56"/>
  <c r="AD123" i="56"/>
  <c r="AC144" i="56" s="1"/>
  <c r="AD178" i="56"/>
  <c r="AE178" i="56" s="1"/>
  <c r="AF178" i="56" s="1"/>
  <c r="AG178" i="56" s="1"/>
  <c r="AH178" i="56" s="1"/>
  <c r="AI178" i="56" s="1"/>
  <c r="AJ178" i="56" s="1"/>
  <c r="AK178" i="56" s="1"/>
  <c r="AL178" i="56" s="1"/>
  <c r="N129" i="57"/>
  <c r="N155" i="57" s="1"/>
  <c r="N167" i="57" s="1"/>
  <c r="N127" i="57"/>
  <c r="N154" i="57" s="1"/>
  <c r="N166" i="57" s="1"/>
  <c r="T166" i="57" s="1"/>
  <c r="T154" i="57" s="1"/>
  <c r="AD180" i="56"/>
  <c r="AE180" i="56" s="1"/>
  <c r="AF180" i="56" s="1"/>
  <c r="AG180" i="56" s="1"/>
  <c r="AH180" i="56" s="1"/>
  <c r="AI180" i="56" s="1"/>
  <c r="AJ180" i="56" s="1"/>
  <c r="AK180" i="56" s="1"/>
  <c r="AL180" i="56" s="1"/>
  <c r="AD175" i="56"/>
  <c r="AE175" i="56" s="1"/>
  <c r="AF175" i="56" s="1"/>
  <c r="AG175" i="56" s="1"/>
  <c r="AH175" i="56" s="1"/>
  <c r="AI175" i="56" s="1"/>
  <c r="AJ175" i="56" s="1"/>
  <c r="AK175" i="56" s="1"/>
  <c r="AL175" i="56" s="1"/>
  <c r="R111" i="56"/>
  <c r="Q132" i="56" s="1"/>
  <c r="N87" i="47" s="1"/>
  <c r="H249" i="57"/>
  <c r="AB256" i="57" s="1"/>
  <c r="H248" i="57"/>
  <c r="AB255" i="57" s="1"/>
  <c r="T111" i="56"/>
  <c r="S132" i="56" s="1"/>
  <c r="P87" i="47" s="1"/>
  <c r="H250" i="57"/>
  <c r="AB257" i="57" s="1"/>
  <c r="AD179" i="56"/>
  <c r="AE179" i="56" s="1"/>
  <c r="AF179" i="56" s="1"/>
  <c r="AG179" i="56" s="1"/>
  <c r="AH179" i="56" s="1"/>
  <c r="AI179" i="56" s="1"/>
  <c r="AJ179" i="56" s="1"/>
  <c r="AK179" i="56" s="1"/>
  <c r="AL179" i="56" s="1"/>
  <c r="AD176" i="56"/>
  <c r="AE176" i="56" s="1"/>
  <c r="AF176" i="56" s="1"/>
  <c r="AG176" i="56" s="1"/>
  <c r="AH176" i="56" s="1"/>
  <c r="AI176" i="56" s="1"/>
  <c r="AJ176" i="56" s="1"/>
  <c r="AK176" i="56" s="1"/>
  <c r="AL176" i="56" s="1"/>
  <c r="AD48" i="29"/>
  <c r="AA84" i="47" s="1"/>
  <c r="AD50" i="29"/>
  <c r="AA86" i="47" s="1"/>
  <c r="AB108" i="47"/>
  <c r="AF51" i="29"/>
  <c r="AD49" i="29"/>
  <c r="AI84" i="47"/>
  <c r="AD174" i="56"/>
  <c r="AE174" i="56" s="1"/>
  <c r="AF174" i="56" s="1"/>
  <c r="AG174" i="56" s="1"/>
  <c r="AH174" i="56" s="1"/>
  <c r="AI174" i="56" s="1"/>
  <c r="AJ174" i="56" s="1"/>
  <c r="AK174" i="56" s="1"/>
  <c r="AL174" i="56" s="1"/>
  <c r="AD173" i="56"/>
  <c r="AE173" i="56" s="1"/>
  <c r="AF173" i="56" s="1"/>
  <c r="AG173" i="56" s="1"/>
  <c r="AH173" i="56" s="1"/>
  <c r="AI173" i="56" s="1"/>
  <c r="AJ173" i="56" s="1"/>
  <c r="AK173" i="56" s="1"/>
  <c r="AL173" i="56" s="1"/>
  <c r="AC111" i="56"/>
  <c r="AB132" i="56" s="1"/>
  <c r="Y87" i="47" s="1"/>
  <c r="AD171" i="56"/>
  <c r="AE171" i="56" s="1"/>
  <c r="AF171" i="56" s="1"/>
  <c r="AG171" i="56" s="1"/>
  <c r="AH171" i="56" s="1"/>
  <c r="AI171" i="56" s="1"/>
  <c r="AJ171" i="56" s="1"/>
  <c r="AK171" i="56" s="1"/>
  <c r="AL171" i="56" s="1"/>
  <c r="T172" i="56"/>
  <c r="U172" i="56" s="1"/>
  <c r="V172" i="56" s="1"/>
  <c r="W172" i="56" s="1"/>
  <c r="X172" i="56" s="1"/>
  <c r="Y172" i="56" s="1"/>
  <c r="Z172" i="56" s="1"/>
  <c r="AA172" i="56" s="1"/>
  <c r="AB172" i="56" s="1"/>
  <c r="AD177" i="56"/>
  <c r="AE177" i="56" s="1"/>
  <c r="AF177" i="56" s="1"/>
  <c r="AG177" i="56" s="1"/>
  <c r="AH177" i="56" s="1"/>
  <c r="AI177" i="56" s="1"/>
  <c r="AJ177" i="56" s="1"/>
  <c r="AK177" i="56" s="1"/>
  <c r="AL177" i="56" s="1"/>
  <c r="S122" i="56"/>
  <c r="R143" i="56" s="1"/>
  <c r="Q122" i="56"/>
  <c r="Q118" i="56"/>
  <c r="P139" i="56" s="1"/>
  <c r="M94" i="47" s="1"/>
  <c r="S118" i="56"/>
  <c r="R139" i="56" s="1"/>
  <c r="O94" i="47" s="1"/>
  <c r="Q115" i="56"/>
  <c r="P136" i="56" s="1"/>
  <c r="M91" i="47" s="1"/>
  <c r="S115" i="56"/>
  <c r="R136" i="56" s="1"/>
  <c r="O91" i="47" s="1"/>
  <c r="Q116" i="56"/>
  <c r="P137" i="56" s="1"/>
  <c r="M92" i="47" s="1"/>
  <c r="S116" i="56"/>
  <c r="R137" i="56" s="1"/>
  <c r="O92" i="47" s="1"/>
  <c r="Q114" i="56"/>
  <c r="P135" i="56" s="1"/>
  <c r="M90" i="47" s="1"/>
  <c r="S114" i="56"/>
  <c r="R135" i="56" s="1"/>
  <c r="O90" i="47" s="1"/>
  <c r="Q113" i="56"/>
  <c r="P134" i="56" s="1"/>
  <c r="M89" i="47" s="1"/>
  <c r="S113" i="56"/>
  <c r="R134" i="56" s="1"/>
  <c r="O89" i="47" s="1"/>
  <c r="Q120" i="56"/>
  <c r="P141" i="56" s="1"/>
  <c r="M96" i="47" s="1"/>
  <c r="S120" i="56"/>
  <c r="R141" i="56" s="1"/>
  <c r="O96" i="47" s="1"/>
  <c r="AM123" i="56"/>
  <c r="AL144" i="56" s="1"/>
  <c r="Q119" i="56"/>
  <c r="P140" i="56" s="1"/>
  <c r="M95" i="47" s="1"/>
  <c r="S119" i="56"/>
  <c r="R140" i="56" s="1"/>
  <c r="O95" i="47" s="1"/>
  <c r="S121" i="56"/>
  <c r="R142" i="56" s="1"/>
  <c r="Q121" i="56"/>
  <c r="P142" i="56" s="1"/>
  <c r="M97" i="47" s="1"/>
  <c r="Q112" i="56"/>
  <c r="P133" i="56" s="1"/>
  <c r="M88" i="47" s="1"/>
  <c r="S112" i="56"/>
  <c r="R133" i="56" s="1"/>
  <c r="O88" i="47" s="1"/>
  <c r="Q117" i="56"/>
  <c r="P138" i="56" s="1"/>
  <c r="M93" i="47" s="1"/>
  <c r="S117" i="56"/>
  <c r="R138" i="56" s="1"/>
  <c r="O93" i="47" s="1"/>
  <c r="R215" i="57"/>
  <c r="O102" i="47" s="1"/>
  <c r="S201" i="57"/>
  <c r="R216" i="57"/>
  <c r="O101" i="47" s="1"/>
  <c r="S202" i="57"/>
  <c r="G186" i="57"/>
  <c r="G112" i="57"/>
  <c r="O201" i="57"/>
  <c r="N215" i="57"/>
  <c r="K102" i="47" s="1"/>
  <c r="P201" i="57"/>
  <c r="Q201" i="57" s="1"/>
  <c r="R201" i="57" s="1"/>
  <c r="U128" i="57"/>
  <c r="N216" i="57"/>
  <c r="K101" i="47" s="1"/>
  <c r="O202" i="57"/>
  <c r="P202" i="57"/>
  <c r="Q202" i="57" s="1"/>
  <c r="R202" i="57" s="1"/>
  <c r="U129" i="57"/>
  <c r="H186" i="57"/>
  <c r="M186" i="57" s="1"/>
  <c r="N186" i="57" s="1"/>
  <c r="O186" i="57" s="1"/>
  <c r="P186" i="57" s="1"/>
  <c r="Q186" i="57" s="1"/>
  <c r="R186" i="57" s="1"/>
  <c r="S186" i="57" s="1"/>
  <c r="T186" i="57" s="1"/>
  <c r="U186" i="57" s="1"/>
  <c r="V186" i="57" s="1"/>
  <c r="W186" i="57" s="1"/>
  <c r="X186" i="57" s="1"/>
  <c r="Y186" i="57" s="1"/>
  <c r="Z186" i="57" s="1"/>
  <c r="AA186" i="57" s="1"/>
  <c r="AB186" i="57" s="1"/>
  <c r="AC186" i="57" s="1"/>
  <c r="AD186" i="57" s="1"/>
  <c r="AE186" i="57" s="1"/>
  <c r="AF186" i="57" s="1"/>
  <c r="AG186" i="57" s="1"/>
  <c r="AH186" i="57" s="1"/>
  <c r="AI186" i="57" s="1"/>
  <c r="AJ186" i="57" s="1"/>
  <c r="H112" i="57"/>
  <c r="G251" i="57"/>
  <c r="R258" i="57" s="1"/>
  <c r="U127" i="57"/>
  <c r="I89" i="56"/>
  <c r="H252" i="57"/>
  <c r="AB259" i="57" s="1"/>
  <c r="H251" i="57"/>
  <c r="G253" i="57"/>
  <c r="R260" i="57" s="1"/>
  <c r="G252" i="57"/>
  <c r="N259" i="57" s="1"/>
  <c r="O259" i="57" s="1"/>
  <c r="P259" i="57" s="1"/>
  <c r="Q259" i="57" s="1"/>
  <c r="P129" i="57"/>
  <c r="P128" i="57"/>
  <c r="P156" i="57" s="1"/>
  <c r="P168" i="57" s="1"/>
  <c r="P57" i="57"/>
  <c r="P50" i="57"/>
  <c r="Q49" i="57"/>
  <c r="P127" i="57"/>
  <c r="P154" i="57" s="1"/>
  <c r="P166" i="57" s="1"/>
  <c r="T57" i="57"/>
  <c r="T50" i="57"/>
  <c r="K98" i="56"/>
  <c r="W127" i="57"/>
  <c r="T129" i="57"/>
  <c r="AC121" i="56"/>
  <c r="AB142" i="56" s="1"/>
  <c r="Y97" i="47" s="1"/>
  <c r="R127" i="47"/>
  <c r="V28" i="55"/>
  <c r="K95" i="56"/>
  <c r="P92" i="56"/>
  <c r="P76" i="56"/>
  <c r="Q43" i="56"/>
  <c r="O101" i="56"/>
  <c r="O85" i="56"/>
  <c r="H168" i="57"/>
  <c r="H193" i="57"/>
  <c r="W129" i="57"/>
  <c r="T128" i="57"/>
  <c r="K100" i="56"/>
  <c r="O127" i="57"/>
  <c r="O154" i="57" s="1"/>
  <c r="O166" i="57" s="1"/>
  <c r="O97" i="56"/>
  <c r="O81" i="56"/>
  <c r="AC119" i="56"/>
  <c r="AB140" i="56" s="1"/>
  <c r="Y95" i="47" s="1"/>
  <c r="K87" i="57"/>
  <c r="K90" i="57" s="1"/>
  <c r="K125" i="57" s="1"/>
  <c r="K109" i="57"/>
  <c r="R256" i="57"/>
  <c r="N256" i="57"/>
  <c r="O256" i="57" s="1"/>
  <c r="P256" i="57" s="1"/>
  <c r="Q256" i="57" s="1"/>
  <c r="T127" i="57"/>
  <c r="U50" i="57"/>
  <c r="U57" i="57"/>
  <c r="N50" i="57"/>
  <c r="N57" i="57"/>
  <c r="K94" i="56"/>
  <c r="O128" i="57"/>
  <c r="O156" i="57" s="1"/>
  <c r="O168" i="57" s="1"/>
  <c r="O79" i="56"/>
  <c r="O95" i="56"/>
  <c r="T31" i="55"/>
  <c r="P129" i="47"/>
  <c r="N258" i="57"/>
  <c r="O258" i="57" s="1"/>
  <c r="O82" i="56"/>
  <c r="O98" i="56"/>
  <c r="K46" i="56"/>
  <c r="AM172" i="56" s="1"/>
  <c r="K47" i="56"/>
  <c r="L48" i="56"/>
  <c r="M187" i="57"/>
  <c r="N187" i="57" s="1"/>
  <c r="O187" i="57" s="1"/>
  <c r="P187" i="57" s="1"/>
  <c r="Q187" i="57" s="1"/>
  <c r="R187" i="57" s="1"/>
  <c r="S187" i="57" s="1"/>
  <c r="T187" i="57" s="1"/>
  <c r="U187" i="57" s="1"/>
  <c r="V187" i="57" s="1"/>
  <c r="W187" i="57" s="1"/>
  <c r="X187" i="57" s="1"/>
  <c r="Y187" i="57" s="1"/>
  <c r="Z187" i="57" s="1"/>
  <c r="AA187" i="57" s="1"/>
  <c r="AB187" i="57" s="1"/>
  <c r="AC187" i="57" s="1"/>
  <c r="AD187" i="57" s="1"/>
  <c r="AE187" i="57" s="1"/>
  <c r="AF187" i="57" s="1"/>
  <c r="AG187" i="57" s="1"/>
  <c r="AH187" i="57" s="1"/>
  <c r="AI187" i="57" s="1"/>
  <c r="AJ187" i="57" s="1"/>
  <c r="O57" i="57"/>
  <c r="O50" i="57"/>
  <c r="M188" i="57"/>
  <c r="N188" i="57" s="1"/>
  <c r="O188" i="57" s="1"/>
  <c r="P188" i="57" s="1"/>
  <c r="Q188" i="57" s="1"/>
  <c r="R188" i="57" s="1"/>
  <c r="S188" i="57" s="1"/>
  <c r="T188" i="57" s="1"/>
  <c r="U188" i="57" s="1"/>
  <c r="V188" i="57" s="1"/>
  <c r="W188" i="57" s="1"/>
  <c r="X188" i="57" s="1"/>
  <c r="Y188" i="57" s="1"/>
  <c r="Z188" i="57" s="1"/>
  <c r="AA188" i="57" s="1"/>
  <c r="AB188" i="57" s="1"/>
  <c r="AC188" i="57" s="1"/>
  <c r="AD188" i="57" s="1"/>
  <c r="AE188" i="57" s="1"/>
  <c r="AF188" i="57" s="1"/>
  <c r="AG188" i="57" s="1"/>
  <c r="AH188" i="57" s="1"/>
  <c r="AI188" i="57" s="1"/>
  <c r="AJ188" i="57" s="1"/>
  <c r="I253" i="57"/>
  <c r="H191" i="57"/>
  <c r="H166" i="57"/>
  <c r="P47" i="56"/>
  <c r="P87" i="56" s="1"/>
  <c r="P46" i="56"/>
  <c r="Q48" i="56"/>
  <c r="AC115" i="56"/>
  <c r="AB136" i="56" s="1"/>
  <c r="Y91" i="47" s="1"/>
  <c r="O96" i="56"/>
  <c r="O80" i="56"/>
  <c r="J93" i="56"/>
  <c r="V49" i="57"/>
  <c r="W49" i="57" s="1"/>
  <c r="I251" i="57"/>
  <c r="AL258" i="57" s="1"/>
  <c r="AC118" i="56"/>
  <c r="AB139" i="56" s="1"/>
  <c r="Y94" i="47" s="1"/>
  <c r="AC116" i="56"/>
  <c r="AB137" i="56" s="1"/>
  <c r="Y92" i="47" s="1"/>
  <c r="V128" i="57"/>
  <c r="L51" i="56"/>
  <c r="AN173" i="56" s="1"/>
  <c r="L59" i="56"/>
  <c r="L52" i="56"/>
  <c r="AN174" i="56" s="1"/>
  <c r="L53" i="56"/>
  <c r="AO175" i="56" s="1"/>
  <c r="AP175" i="56" s="1"/>
  <c r="AQ175" i="56" s="1"/>
  <c r="L56" i="56"/>
  <c r="AN178" i="56" s="1"/>
  <c r="L58" i="56"/>
  <c r="AN180" i="56" s="1"/>
  <c r="AO180" i="56" s="1"/>
  <c r="AP180" i="56" s="1"/>
  <c r="AQ180" i="56" s="1"/>
  <c r="L54" i="56"/>
  <c r="AO176" i="56" s="1"/>
  <c r="AP176" i="56" s="1"/>
  <c r="AQ176" i="56" s="1"/>
  <c r="L57" i="56"/>
  <c r="AN179" i="56" s="1"/>
  <c r="AO179" i="56" s="1"/>
  <c r="AP179" i="56" s="1"/>
  <c r="AQ179" i="56" s="1"/>
  <c r="L55" i="56"/>
  <c r="AO177" i="56" s="1"/>
  <c r="AP177" i="56" s="1"/>
  <c r="AQ177" i="56" s="1"/>
  <c r="T36" i="55"/>
  <c r="P133" i="47"/>
  <c r="O93" i="56"/>
  <c r="O77" i="56"/>
  <c r="O94" i="56"/>
  <c r="O78" i="56"/>
  <c r="J103" i="56"/>
  <c r="AC122" i="56" s="1"/>
  <c r="AB143" i="56" s="1"/>
  <c r="Y98" i="47" s="1"/>
  <c r="J87" i="56"/>
  <c r="P135" i="47"/>
  <c r="T27" i="55"/>
  <c r="K92" i="56"/>
  <c r="L43" i="56"/>
  <c r="AO171" i="56" s="1"/>
  <c r="AP171" i="56" s="1"/>
  <c r="AQ171" i="56" s="1"/>
  <c r="I252" i="57"/>
  <c r="AL259" i="57" s="1"/>
  <c r="U32" i="55"/>
  <c r="Q131" i="47"/>
  <c r="V129" i="57"/>
  <c r="U33" i="55"/>
  <c r="Q130" i="47"/>
  <c r="K102" i="56"/>
  <c r="AM121" i="56" s="1"/>
  <c r="AL142" i="56" s="1"/>
  <c r="AI97" i="47" s="1"/>
  <c r="K86" i="56"/>
  <c r="AJ77" i="56" s="1"/>
  <c r="AC114" i="56"/>
  <c r="AB135" i="56" s="1"/>
  <c r="Y90" i="47" s="1"/>
  <c r="J111" i="57"/>
  <c r="O83" i="56"/>
  <c r="O99" i="56"/>
  <c r="AC120" i="56"/>
  <c r="AB141" i="56" s="1"/>
  <c r="Y96" i="47" s="1"/>
  <c r="K88" i="56"/>
  <c r="Q88" i="56"/>
  <c r="W88" i="56" s="1"/>
  <c r="L104" i="56"/>
  <c r="V127" i="57"/>
  <c r="K97" i="56"/>
  <c r="O84" i="56"/>
  <c r="O100" i="56"/>
  <c r="AC113" i="56"/>
  <c r="AB134" i="56" s="1"/>
  <c r="Y89" i="47" s="1"/>
  <c r="Q127" i="57"/>
  <c r="Q154" i="57" s="1"/>
  <c r="Q166" i="57" s="1"/>
  <c r="P53" i="56"/>
  <c r="P58" i="56"/>
  <c r="P54" i="56"/>
  <c r="P56" i="56"/>
  <c r="P55" i="56"/>
  <c r="P52" i="56"/>
  <c r="P59" i="56"/>
  <c r="P86" i="56" s="1"/>
  <c r="AC77" i="56" s="1"/>
  <c r="P51" i="56"/>
  <c r="P57" i="56"/>
  <c r="Q60" i="56"/>
  <c r="U34" i="55"/>
  <c r="Q128" i="47"/>
  <c r="N128" i="57"/>
  <c r="N156" i="57" s="1"/>
  <c r="N168" i="57" s="1"/>
  <c r="T168" i="57" s="1"/>
  <c r="T156" i="57" s="1"/>
  <c r="U46" i="56"/>
  <c r="U47" i="56"/>
  <c r="U87" i="56" s="1"/>
  <c r="V48" i="56"/>
  <c r="K99" i="56"/>
  <c r="AC117" i="56"/>
  <c r="AB138" i="56" s="1"/>
  <c r="Y93" i="47" s="1"/>
  <c r="Q129" i="57"/>
  <c r="U51" i="56"/>
  <c r="U52" i="56"/>
  <c r="U79" i="56" s="1"/>
  <c r="U56" i="56"/>
  <c r="U54" i="56"/>
  <c r="U58" i="56"/>
  <c r="U55" i="56"/>
  <c r="U57" i="56"/>
  <c r="U53" i="56"/>
  <c r="U59" i="56"/>
  <c r="U86" i="56" s="1"/>
  <c r="V60" i="56"/>
  <c r="K96" i="56"/>
  <c r="H190" i="57"/>
  <c r="H165" i="57"/>
  <c r="N257" i="57"/>
  <c r="O257" i="57" s="1"/>
  <c r="P257" i="57" s="1"/>
  <c r="Q257" i="57" s="1"/>
  <c r="R257" i="57"/>
  <c r="O129" i="57"/>
  <c r="Q128" i="57"/>
  <c r="Q156" i="57" s="1"/>
  <c r="Q168" i="57" s="1"/>
  <c r="U37" i="55"/>
  <c r="Q134" i="47"/>
  <c r="H253" i="57"/>
  <c r="U76" i="56"/>
  <c r="U92" i="56"/>
  <c r="V43" i="56"/>
  <c r="K101" i="56"/>
  <c r="N260" i="57"/>
  <c r="O260" i="57" s="1"/>
  <c r="W128" i="57"/>
  <c r="AF7" i="47"/>
  <c r="AJ26" i="35"/>
  <c r="AJ24" i="35"/>
  <c r="AF9" i="47"/>
  <c r="AK25" i="35"/>
  <c r="AG6" i="47"/>
  <c r="AJ22" i="35"/>
  <c r="AF5" i="47"/>
  <c r="AF8" i="47"/>
  <c r="AJ23" i="35"/>
  <c r="AM46" i="58" l="1"/>
  <c r="AM52" i="58" s="1"/>
  <c r="AM44" i="58"/>
  <c r="AM50" i="58" s="1"/>
  <c r="AL205" i="58"/>
  <c r="AL190" i="58"/>
  <c r="AL186" i="58"/>
  <c r="AL187" i="58"/>
  <c r="AL193" i="58"/>
  <c r="AL189" i="58"/>
  <c r="AL200" i="58"/>
  <c r="AL204" i="58"/>
  <c r="AL198" i="58"/>
  <c r="AL202" i="58"/>
  <c r="AL197" i="58"/>
  <c r="AM51" i="58"/>
  <c r="AM197" i="58" s="1"/>
  <c r="AL181" i="58"/>
  <c r="AL240" i="58" s="1"/>
  <c r="AL255" i="58" s="1"/>
  <c r="AI116" i="47" s="1"/>
  <c r="AL201" i="58"/>
  <c r="AL188" i="58"/>
  <c r="AL199" i="58"/>
  <c r="AM183" i="56"/>
  <c r="AI99" i="47"/>
  <c r="S182" i="56"/>
  <c r="O98" i="47"/>
  <c r="AD183" i="56"/>
  <c r="Z99" i="47"/>
  <c r="AL209" i="58"/>
  <c r="AL213" i="58"/>
  <c r="AL182" i="58"/>
  <c r="AL241" i="58" s="1"/>
  <c r="AL256" i="58" s="1"/>
  <c r="AI114" i="47" s="1"/>
  <c r="S181" i="56"/>
  <c r="O97" i="47"/>
  <c r="AL192" i="58"/>
  <c r="AL175" i="58"/>
  <c r="AL234" i="58" s="1"/>
  <c r="AL249" i="58" s="1"/>
  <c r="AI111" i="47" s="1"/>
  <c r="AL191" i="58"/>
  <c r="V123" i="56"/>
  <c r="AL178" i="58"/>
  <c r="AL237" i="58" s="1"/>
  <c r="AL252" i="58" s="1"/>
  <c r="AI115" i="47" s="1"/>
  <c r="AL177" i="58"/>
  <c r="AL236" i="58" s="1"/>
  <c r="AL251" i="58" s="1"/>
  <c r="AI113" i="47" s="1"/>
  <c r="AL174" i="58"/>
  <c r="AL233" i="58" s="1"/>
  <c r="AL248" i="58" s="1"/>
  <c r="AI109" i="47" s="1"/>
  <c r="AL176" i="58"/>
  <c r="AL235" i="58" s="1"/>
  <c r="AL250" i="58" s="1"/>
  <c r="AI112" i="47" s="1"/>
  <c r="AL179" i="58"/>
  <c r="AL238" i="58" s="1"/>
  <c r="AL253" i="58" s="1"/>
  <c r="AI117" i="47" s="1"/>
  <c r="AM49" i="58"/>
  <c r="AM174" i="58" s="1"/>
  <c r="AM233" i="58" s="1"/>
  <c r="AL53" i="58"/>
  <c r="AL212" i="58"/>
  <c r="AL214" i="58"/>
  <c r="AL226" i="58" s="1"/>
  <c r="AL264" i="58" s="1"/>
  <c r="AI119" i="47" s="1"/>
  <c r="AL215" i="58"/>
  <c r="AL211" i="58"/>
  <c r="AL216" i="58"/>
  <c r="AL208" i="58"/>
  <c r="AN163" i="58"/>
  <c r="AN167" i="58"/>
  <c r="AN168" i="58"/>
  <c r="AN170" i="58"/>
  <c r="AN162" i="58"/>
  <c r="AN165" i="58"/>
  <c r="AN169" i="58"/>
  <c r="AN164" i="58"/>
  <c r="AN166" i="58"/>
  <c r="AN36" i="58"/>
  <c r="AN41" i="58" s="1"/>
  <c r="AM191" i="58"/>
  <c r="AM190" i="58"/>
  <c r="AM188" i="58"/>
  <c r="AM187" i="58"/>
  <c r="AM192" i="58"/>
  <c r="AM189" i="58"/>
  <c r="AM193" i="58"/>
  <c r="AM186" i="58"/>
  <c r="AM194" i="58"/>
  <c r="AO35" i="58"/>
  <c r="AO156" i="58"/>
  <c r="AO155" i="58"/>
  <c r="AO159" i="58"/>
  <c r="AO153" i="58"/>
  <c r="AO151" i="58"/>
  <c r="AO154" i="58"/>
  <c r="AO152" i="58"/>
  <c r="AO158" i="58"/>
  <c r="AO157" i="58"/>
  <c r="AM205" i="58"/>
  <c r="AM202" i="58"/>
  <c r="AM201" i="58"/>
  <c r="AM199" i="58"/>
  <c r="AM198" i="58"/>
  <c r="AM200" i="58"/>
  <c r="AM203" i="58"/>
  <c r="AM204" i="58"/>
  <c r="AP24" i="58"/>
  <c r="AK245" i="58"/>
  <c r="AK258" i="58"/>
  <c r="AH118" i="47" s="1"/>
  <c r="AQ23" i="58"/>
  <c r="AP31" i="58"/>
  <c r="AP34" i="58" s="1"/>
  <c r="K51" i="57"/>
  <c r="T120" i="56"/>
  <c r="S141" i="56" s="1"/>
  <c r="P96" i="47" s="1"/>
  <c r="AB76" i="56"/>
  <c r="AB79" i="56" s="1"/>
  <c r="AB80" i="56" s="1"/>
  <c r="T117" i="56"/>
  <c r="S138" i="56" s="1"/>
  <c r="P93" i="47" s="1"/>
  <c r="AE123" i="56"/>
  <c r="AD144" i="56" s="1"/>
  <c r="AN123" i="56"/>
  <c r="AO123" i="56" s="1"/>
  <c r="AP123" i="56" s="1"/>
  <c r="AQ123" i="56" s="1"/>
  <c r="AR123" i="56" s="1"/>
  <c r="AM144" i="56" s="1"/>
  <c r="T113" i="56"/>
  <c r="S134" i="56" s="1"/>
  <c r="P89" i="47" s="1"/>
  <c r="T118" i="56"/>
  <c r="S139" i="56" s="1"/>
  <c r="P94" i="47" s="1"/>
  <c r="AN176" i="56"/>
  <c r="AM113" i="56"/>
  <c r="AL134" i="56" s="1"/>
  <c r="AI89" i="47" s="1"/>
  <c r="K78" i="56"/>
  <c r="AM118" i="56"/>
  <c r="AL139" i="56" s="1"/>
  <c r="AI94" i="47" s="1"/>
  <c r="K83" i="56"/>
  <c r="AM119" i="56"/>
  <c r="AL140" i="56" s="1"/>
  <c r="AI95" i="47" s="1"/>
  <c r="K84" i="56"/>
  <c r="AM115" i="56"/>
  <c r="AL136" i="56" s="1"/>
  <c r="AI91" i="47" s="1"/>
  <c r="K80" i="56"/>
  <c r="AM117" i="56"/>
  <c r="AL138" i="56" s="1"/>
  <c r="AI93" i="47" s="1"/>
  <c r="K82" i="56"/>
  <c r="AM120" i="56"/>
  <c r="AL141" i="56" s="1"/>
  <c r="AI96" i="47" s="1"/>
  <c r="K85" i="56"/>
  <c r="AM114" i="56"/>
  <c r="AL135" i="56" s="1"/>
  <c r="AI90" i="47" s="1"/>
  <c r="K79" i="56"/>
  <c r="AM116" i="56"/>
  <c r="AL137" i="56" s="1"/>
  <c r="AI92" i="47" s="1"/>
  <c r="K81" i="56"/>
  <c r="AM111" i="56"/>
  <c r="AL132" i="56" s="1"/>
  <c r="AI87" i="47" s="1"/>
  <c r="K76" i="56"/>
  <c r="AC112" i="56"/>
  <c r="AB133" i="56" s="1"/>
  <c r="Y88" i="47" s="1"/>
  <c r="J77" i="56"/>
  <c r="J89" i="56" s="1"/>
  <c r="AD172" i="56"/>
  <c r="AE172" i="56" s="1"/>
  <c r="AF172" i="56" s="1"/>
  <c r="AG172" i="56" s="1"/>
  <c r="AH172" i="56" s="1"/>
  <c r="AI172" i="56" s="1"/>
  <c r="AJ172" i="56" s="1"/>
  <c r="AK172" i="56" s="1"/>
  <c r="AL172" i="56" s="1"/>
  <c r="AO178" i="56"/>
  <c r="AP178" i="56" s="1"/>
  <c r="AQ178" i="56" s="1"/>
  <c r="AN175" i="56"/>
  <c r="N161" i="57"/>
  <c r="T161" i="57" s="1"/>
  <c r="T149" i="57" s="1"/>
  <c r="S255" i="57"/>
  <c r="T255" i="57" s="1"/>
  <c r="U255" i="57" s="1"/>
  <c r="V255" i="57" s="1"/>
  <c r="W255" i="57" s="1"/>
  <c r="X255" i="57" s="1"/>
  <c r="Y255" i="57" s="1"/>
  <c r="Z255" i="57" s="1"/>
  <c r="AA255" i="57" s="1"/>
  <c r="S256" i="57"/>
  <c r="T256" i="57" s="1"/>
  <c r="U256" i="57" s="1"/>
  <c r="V256" i="57" s="1"/>
  <c r="W256" i="57" s="1"/>
  <c r="X256" i="57" s="1"/>
  <c r="Y256" i="57" s="1"/>
  <c r="Z256" i="57" s="1"/>
  <c r="AA256" i="57" s="1"/>
  <c r="S257" i="57"/>
  <c r="T257" i="57" s="1"/>
  <c r="U257" i="57" s="1"/>
  <c r="V257" i="57" s="1"/>
  <c r="W257" i="57" s="1"/>
  <c r="X257" i="57" s="1"/>
  <c r="Y257" i="57" s="1"/>
  <c r="Z257" i="57" s="1"/>
  <c r="AA257" i="57" s="1"/>
  <c r="P260" i="57"/>
  <c r="Q260" i="57" s="1"/>
  <c r="T115" i="56"/>
  <c r="S136" i="56" s="1"/>
  <c r="P91" i="47" s="1"/>
  <c r="U111" i="56"/>
  <c r="T132" i="56" s="1"/>
  <c r="Q87" i="47" s="1"/>
  <c r="AO174" i="56"/>
  <c r="AP174" i="56" s="1"/>
  <c r="AQ174" i="56" s="1"/>
  <c r="R120" i="56"/>
  <c r="Q141" i="56" s="1"/>
  <c r="N96" i="47" s="1"/>
  <c r="T114" i="56"/>
  <c r="S135" i="56" s="1"/>
  <c r="P90" i="47" s="1"/>
  <c r="P258" i="57"/>
  <c r="Q258" i="57" s="1"/>
  <c r="R117" i="56"/>
  <c r="Q138" i="56" s="1"/>
  <c r="N93" i="47" s="1"/>
  <c r="AN171" i="56"/>
  <c r="R119" i="56"/>
  <c r="Q140" i="56" s="1"/>
  <c r="N95" i="47" s="1"/>
  <c r="AN177" i="56"/>
  <c r="R118" i="56"/>
  <c r="Q139" i="56" s="1"/>
  <c r="N94" i="47" s="1"/>
  <c r="T116" i="56"/>
  <c r="S137" i="56" s="1"/>
  <c r="P92" i="47" s="1"/>
  <c r="AE48" i="29"/>
  <c r="AB84" i="47" s="1"/>
  <c r="T119" i="56"/>
  <c r="S140" i="56" s="1"/>
  <c r="P95" i="47" s="1"/>
  <c r="AE50" i="29"/>
  <c r="AB86" i="47" s="1"/>
  <c r="AO173" i="56"/>
  <c r="AP173" i="56" s="1"/>
  <c r="AQ173" i="56" s="1"/>
  <c r="T121" i="56"/>
  <c r="S142" i="56" s="1"/>
  <c r="R121" i="56"/>
  <c r="Q142" i="56" s="1"/>
  <c r="N97" i="47" s="1"/>
  <c r="AC108" i="47"/>
  <c r="AG51" i="29"/>
  <c r="AA85" i="47"/>
  <c r="AE49" i="29"/>
  <c r="AD111" i="56"/>
  <c r="AC132" i="56" s="1"/>
  <c r="Z87" i="47" s="1"/>
  <c r="R116" i="56"/>
  <c r="Q137" i="56" s="1"/>
  <c r="N92" i="47" s="1"/>
  <c r="T112" i="56"/>
  <c r="S133" i="56" s="1"/>
  <c r="P88" i="47" s="1"/>
  <c r="R115" i="56"/>
  <c r="Q136" i="56" s="1"/>
  <c r="N91" i="47" s="1"/>
  <c r="R112" i="56"/>
  <c r="Q133" i="56" s="1"/>
  <c r="N88" i="47" s="1"/>
  <c r="R113" i="56"/>
  <c r="Q134" i="56" s="1"/>
  <c r="N89" i="47" s="1"/>
  <c r="T122" i="56"/>
  <c r="S143" i="56" s="1"/>
  <c r="Q181" i="56"/>
  <c r="R122" i="56"/>
  <c r="Q143" i="56" s="1"/>
  <c r="N98" i="47" s="1"/>
  <c r="P143" i="56"/>
  <c r="M98" i="47" s="1"/>
  <c r="R114" i="56"/>
  <c r="Q135" i="56" s="1"/>
  <c r="N90" i="47" s="1"/>
  <c r="AD119" i="56"/>
  <c r="AC140" i="56" s="1"/>
  <c r="Z95" i="47" s="1"/>
  <c r="AD121" i="56"/>
  <c r="AC142" i="56" s="1"/>
  <c r="Z97" i="47" s="1"/>
  <c r="R233" i="57"/>
  <c r="P233" i="57"/>
  <c r="Q233" i="57" s="1"/>
  <c r="R232" i="57"/>
  <c r="P232" i="57"/>
  <c r="Q232" i="57" s="1"/>
  <c r="P218" i="57"/>
  <c r="P219" i="57"/>
  <c r="P221" i="57"/>
  <c r="R235" i="57"/>
  <c r="P235" i="57"/>
  <c r="Q235" i="57" s="1"/>
  <c r="S258" i="57"/>
  <c r="T258" i="57" s="1"/>
  <c r="U258" i="57" s="1"/>
  <c r="V258" i="57" s="1"/>
  <c r="W258" i="57" s="1"/>
  <c r="X258" i="57" s="1"/>
  <c r="Y258" i="57" s="1"/>
  <c r="Z258" i="57" s="1"/>
  <c r="AA258" i="57" s="1"/>
  <c r="Q204" i="57"/>
  <c r="R204" i="57" s="1"/>
  <c r="R218" i="57"/>
  <c r="O106" i="47" s="1"/>
  <c r="S204" i="57"/>
  <c r="S207" i="57"/>
  <c r="R221" i="57"/>
  <c r="O105" i="47" s="1"/>
  <c r="Q207" i="57"/>
  <c r="R207" i="57" s="1"/>
  <c r="O216" i="57"/>
  <c r="L101" i="47" s="1"/>
  <c r="N214" i="57"/>
  <c r="K100" i="47" s="1"/>
  <c r="O200" i="57"/>
  <c r="P200" i="57" s="1"/>
  <c r="Q200" i="57" s="1"/>
  <c r="R200" i="57" s="1"/>
  <c r="O214" i="57"/>
  <c r="L100" i="47" s="1"/>
  <c r="R219" i="57"/>
  <c r="O103" i="47" s="1"/>
  <c r="S205" i="57"/>
  <c r="Q205" i="57"/>
  <c r="R205" i="57" s="1"/>
  <c r="AB258" i="57"/>
  <c r="AC258" i="57" s="1"/>
  <c r="AD258" i="57" s="1"/>
  <c r="AE258" i="57" s="1"/>
  <c r="AF258" i="57" s="1"/>
  <c r="AG258" i="57" s="1"/>
  <c r="AH258" i="57" s="1"/>
  <c r="AI258" i="57" s="1"/>
  <c r="AJ258" i="57" s="1"/>
  <c r="AK258" i="57" s="1"/>
  <c r="S200" i="57"/>
  <c r="R214" i="57"/>
  <c r="O100" i="47" s="1"/>
  <c r="O215" i="57"/>
  <c r="L102" i="47" s="1"/>
  <c r="AD120" i="56"/>
  <c r="AC141" i="56" s="1"/>
  <c r="Z96" i="47" s="1"/>
  <c r="R259" i="57"/>
  <c r="S259" i="57" s="1"/>
  <c r="T259" i="57" s="1"/>
  <c r="U259" i="57" s="1"/>
  <c r="V259" i="57" s="1"/>
  <c r="W259" i="57" s="1"/>
  <c r="X259" i="57" s="1"/>
  <c r="Y259" i="57" s="1"/>
  <c r="Z259" i="57" s="1"/>
  <c r="AA259" i="57" s="1"/>
  <c r="P153" i="57"/>
  <c r="P165" i="57" s="1"/>
  <c r="O89" i="56"/>
  <c r="AD113" i="56"/>
  <c r="AC134" i="56" s="1"/>
  <c r="Z89" i="47" s="1"/>
  <c r="N51" i="57"/>
  <c r="N110" i="57"/>
  <c r="N111" i="57" s="1"/>
  <c r="N149" i="57" s="1"/>
  <c r="Q92" i="56"/>
  <c r="Q76" i="56"/>
  <c r="R43" i="56"/>
  <c r="K129" i="57"/>
  <c r="K253" i="57" s="1"/>
  <c r="U183" i="56"/>
  <c r="U80" i="56"/>
  <c r="U96" i="56"/>
  <c r="Q153" i="57"/>
  <c r="Q165" i="57" s="1"/>
  <c r="Q53" i="56"/>
  <c r="Q55" i="56"/>
  <c r="Q54" i="56"/>
  <c r="Q57" i="56"/>
  <c r="Q59" i="56"/>
  <c r="Q86" i="56" s="1"/>
  <c r="AD77" i="56" s="1"/>
  <c r="Q51" i="56"/>
  <c r="Q58" i="56"/>
  <c r="Q56" i="56"/>
  <c r="Q52" i="56"/>
  <c r="R60" i="56"/>
  <c r="M191" i="57"/>
  <c r="N191" i="57" s="1"/>
  <c r="O191" i="57" s="1"/>
  <c r="P191" i="57" s="1"/>
  <c r="Q191" i="57" s="1"/>
  <c r="R191" i="57" s="1"/>
  <c r="S191" i="57" s="1"/>
  <c r="T191" i="57" s="1"/>
  <c r="U191" i="57" s="1"/>
  <c r="V191" i="57" s="1"/>
  <c r="W191" i="57" s="1"/>
  <c r="X191" i="57" s="1"/>
  <c r="Y191" i="57" s="1"/>
  <c r="Z191" i="57" s="1"/>
  <c r="AA191" i="57" s="1"/>
  <c r="AB191" i="57" s="1"/>
  <c r="AC191" i="57" s="1"/>
  <c r="AD191" i="57" s="1"/>
  <c r="AE191" i="57" s="1"/>
  <c r="AF191" i="57" s="1"/>
  <c r="AG191" i="57" s="1"/>
  <c r="AH191" i="57" s="1"/>
  <c r="AI191" i="57" s="1"/>
  <c r="AJ191" i="57" s="1"/>
  <c r="Q129" i="47"/>
  <c r="U31" i="55"/>
  <c r="AD114" i="56"/>
  <c r="V92" i="56"/>
  <c r="V76" i="56"/>
  <c r="W43" i="56"/>
  <c r="U84" i="56"/>
  <c r="U100" i="56"/>
  <c r="U98" i="56"/>
  <c r="U82" i="56"/>
  <c r="P78" i="56"/>
  <c r="P94" i="56"/>
  <c r="U36" i="55"/>
  <c r="Q133" i="47"/>
  <c r="U58" i="57"/>
  <c r="U59" i="57" s="1"/>
  <c r="U60" i="57" s="1"/>
  <c r="AD118" i="56"/>
  <c r="L94" i="56"/>
  <c r="M190" i="57"/>
  <c r="N190" i="57" s="1"/>
  <c r="O190" i="57" s="1"/>
  <c r="P190" i="57" s="1"/>
  <c r="Q190" i="57" s="1"/>
  <c r="R190" i="57" s="1"/>
  <c r="S190" i="57" s="1"/>
  <c r="T190" i="57" s="1"/>
  <c r="U190" i="57" s="1"/>
  <c r="V190" i="57" s="1"/>
  <c r="W190" i="57" s="1"/>
  <c r="X190" i="57" s="1"/>
  <c r="Y190" i="57" s="1"/>
  <c r="Z190" i="57" s="1"/>
  <c r="AA190" i="57" s="1"/>
  <c r="AB190" i="57" s="1"/>
  <c r="AC190" i="57" s="1"/>
  <c r="AD190" i="57" s="1"/>
  <c r="AE190" i="57" s="1"/>
  <c r="AF190" i="57" s="1"/>
  <c r="AG190" i="57" s="1"/>
  <c r="AH190" i="57" s="1"/>
  <c r="AI190" i="57" s="1"/>
  <c r="AJ190" i="57" s="1"/>
  <c r="U77" i="56"/>
  <c r="U93" i="56"/>
  <c r="AL260" i="57"/>
  <c r="R88" i="56"/>
  <c r="X88" i="56" s="1"/>
  <c r="L88" i="56"/>
  <c r="L98" i="56"/>
  <c r="V50" i="57"/>
  <c r="V57" i="57"/>
  <c r="J57" i="57" s="1"/>
  <c r="U51" i="57"/>
  <c r="U110" i="57"/>
  <c r="U111" i="57" s="1"/>
  <c r="AD116" i="56"/>
  <c r="AC181" i="56"/>
  <c r="P100" i="56"/>
  <c r="P84" i="56"/>
  <c r="U81" i="56"/>
  <c r="U97" i="56"/>
  <c r="P79" i="56"/>
  <c r="P95" i="56"/>
  <c r="R131" i="47"/>
  <c r="V32" i="55"/>
  <c r="U27" i="55"/>
  <c r="Q135" i="47"/>
  <c r="L100" i="56"/>
  <c r="V37" i="55"/>
  <c r="R134" i="47"/>
  <c r="U99" i="56"/>
  <c r="U83" i="56"/>
  <c r="P82" i="56"/>
  <c r="P98" i="56"/>
  <c r="L97" i="56"/>
  <c r="V33" i="55"/>
  <c r="R130" i="47"/>
  <c r="S260" i="57"/>
  <c r="T260" i="57" s="1"/>
  <c r="U260" i="57" s="1"/>
  <c r="V260" i="57" s="1"/>
  <c r="W260" i="57" s="1"/>
  <c r="X260" i="57" s="1"/>
  <c r="Y260" i="57" s="1"/>
  <c r="Z260" i="57" s="1"/>
  <c r="AA260" i="57" s="1"/>
  <c r="AB260" i="57"/>
  <c r="AC260" i="57" s="1"/>
  <c r="AD260" i="57" s="1"/>
  <c r="AE260" i="57" s="1"/>
  <c r="AF260" i="57" s="1"/>
  <c r="AG260" i="57" s="1"/>
  <c r="AH260" i="57" s="1"/>
  <c r="AI260" i="57" s="1"/>
  <c r="AJ260" i="57" s="1"/>
  <c r="AK260" i="57" s="1"/>
  <c r="W57" i="57"/>
  <c r="W50" i="57"/>
  <c r="O153" i="57"/>
  <c r="O165" i="57" s="1"/>
  <c r="U95" i="56"/>
  <c r="P83" i="56"/>
  <c r="P99" i="56"/>
  <c r="L101" i="56"/>
  <c r="L85" i="56" s="1"/>
  <c r="AD115" i="56"/>
  <c r="AC259" i="57"/>
  <c r="AD259" i="57" s="1"/>
  <c r="AE259" i="57" s="1"/>
  <c r="AF259" i="57" s="1"/>
  <c r="AG259" i="57" s="1"/>
  <c r="AH259" i="57" s="1"/>
  <c r="AI259" i="57" s="1"/>
  <c r="AJ259" i="57" s="1"/>
  <c r="AK259" i="57" s="1"/>
  <c r="AC182" i="56"/>
  <c r="W28" i="55"/>
  <c r="S127" i="47"/>
  <c r="L92" i="56"/>
  <c r="U101" i="56"/>
  <c r="U85" i="56"/>
  <c r="U94" i="56"/>
  <c r="U78" i="56"/>
  <c r="P97" i="56"/>
  <c r="P81" i="56"/>
  <c r="AD117" i="56"/>
  <c r="L99" i="56"/>
  <c r="M193" i="57"/>
  <c r="N193" i="57" s="1"/>
  <c r="O193" i="57" s="1"/>
  <c r="P193" i="57" s="1"/>
  <c r="Q193" i="57" s="1"/>
  <c r="R193" i="57" s="1"/>
  <c r="S193" i="57" s="1"/>
  <c r="T193" i="57" s="1"/>
  <c r="U193" i="57" s="1"/>
  <c r="V193" i="57" s="1"/>
  <c r="W193" i="57" s="1"/>
  <c r="X193" i="57" s="1"/>
  <c r="Y193" i="57" s="1"/>
  <c r="Z193" i="57" s="1"/>
  <c r="AA193" i="57" s="1"/>
  <c r="AB193" i="57" s="1"/>
  <c r="AC193" i="57" s="1"/>
  <c r="AD193" i="57" s="1"/>
  <c r="AE193" i="57" s="1"/>
  <c r="AF193" i="57" s="1"/>
  <c r="AG193" i="57" s="1"/>
  <c r="AH193" i="57" s="1"/>
  <c r="AI193" i="57" s="1"/>
  <c r="AJ193" i="57" s="1"/>
  <c r="R128" i="47"/>
  <c r="V34" i="55"/>
  <c r="P85" i="56"/>
  <c r="P101" i="56"/>
  <c r="L96" i="56"/>
  <c r="Q46" i="56"/>
  <c r="Q47" i="56"/>
  <c r="Q87" i="56" s="1"/>
  <c r="R48" i="56"/>
  <c r="O51" i="57"/>
  <c r="O110" i="57"/>
  <c r="O111" i="57" s="1"/>
  <c r="O149" i="57" s="1"/>
  <c r="L46" i="56"/>
  <c r="AN172" i="56" s="1"/>
  <c r="L47" i="56"/>
  <c r="AM181" i="56"/>
  <c r="N153" i="57"/>
  <c r="N165" i="57" s="1"/>
  <c r="T165" i="57" s="1"/>
  <c r="T153" i="57" s="1"/>
  <c r="Q57" i="57"/>
  <c r="Q50" i="57"/>
  <c r="V46" i="56"/>
  <c r="V47" i="56"/>
  <c r="V87" i="56" s="1"/>
  <c r="W48" i="56"/>
  <c r="I250" i="57"/>
  <c r="AL257" i="57" s="1"/>
  <c r="I249" i="57"/>
  <c r="I248" i="57"/>
  <c r="P80" i="56"/>
  <c r="P96" i="56"/>
  <c r="L95" i="56"/>
  <c r="P77" i="56"/>
  <c r="P93" i="56"/>
  <c r="I57" i="57"/>
  <c r="O163" i="57"/>
  <c r="O162" i="57"/>
  <c r="O58" i="57"/>
  <c r="O161" i="57"/>
  <c r="K87" i="56"/>
  <c r="K103" i="56"/>
  <c r="AD122" i="56" s="1"/>
  <c r="AC143" i="56" s="1"/>
  <c r="Z98" i="47" s="1"/>
  <c r="T51" i="57"/>
  <c r="T110" i="57"/>
  <c r="T111" i="57" s="1"/>
  <c r="P110" i="57"/>
  <c r="P111" i="57" s="1"/>
  <c r="P51" i="57"/>
  <c r="U144" i="56"/>
  <c r="R99" i="47" s="1"/>
  <c r="W123" i="56"/>
  <c r="V53" i="56"/>
  <c r="V57" i="56"/>
  <c r="V55" i="56"/>
  <c r="V59" i="56"/>
  <c r="V86" i="56" s="1"/>
  <c r="V51" i="56"/>
  <c r="V56" i="56"/>
  <c r="V54" i="56"/>
  <c r="V58" i="56"/>
  <c r="V52" i="56"/>
  <c r="W60" i="56"/>
  <c r="L102" i="56"/>
  <c r="AN121" i="56" s="1"/>
  <c r="AO121" i="56" s="1"/>
  <c r="AP121" i="56" s="1"/>
  <c r="AQ121" i="56" s="1"/>
  <c r="AR121" i="56" s="1"/>
  <c r="AM142" i="56" s="1"/>
  <c r="AJ97" i="47" s="1"/>
  <c r="L86" i="56"/>
  <c r="AK77" i="56" s="1"/>
  <c r="K93" i="56"/>
  <c r="H57" i="57"/>
  <c r="G57" i="57"/>
  <c r="N163" i="57"/>
  <c r="T163" i="57" s="1"/>
  <c r="T151" i="57" s="1"/>
  <c r="N162" i="57"/>
  <c r="N58" i="57"/>
  <c r="K111" i="57"/>
  <c r="T58" i="57"/>
  <c r="T59" i="57" s="1"/>
  <c r="T60" i="57" s="1"/>
  <c r="P58" i="57"/>
  <c r="P61" i="57" s="1"/>
  <c r="P161" i="57"/>
  <c r="P162" i="57"/>
  <c r="P163" i="57"/>
  <c r="AG9" i="47"/>
  <c r="AK24" i="35"/>
  <c r="AH6" i="47"/>
  <c r="AL25" i="35"/>
  <c r="AK26" i="35"/>
  <c r="AG7" i="47"/>
  <c r="AK23" i="35"/>
  <c r="AG8" i="47"/>
  <c r="AK22" i="35"/>
  <c r="AG5" i="47"/>
  <c r="AL228" i="58" l="1"/>
  <c r="AL266" i="58" s="1"/>
  <c r="AI123" i="47" s="1"/>
  <c r="AL223" i="58"/>
  <c r="AL261" i="58" s="1"/>
  <c r="AI122" i="47" s="1"/>
  <c r="AL222" i="58"/>
  <c r="AL260" i="58" s="1"/>
  <c r="AI121" i="47" s="1"/>
  <c r="AM182" i="58"/>
  <c r="AM241" i="58" s="1"/>
  <c r="AM175" i="58"/>
  <c r="AM234" i="58" s="1"/>
  <c r="AM177" i="58"/>
  <c r="AM236" i="58" s="1"/>
  <c r="AM216" i="58"/>
  <c r="AM211" i="58"/>
  <c r="AM215" i="58"/>
  <c r="AM208" i="58"/>
  <c r="AM220" i="58" s="1"/>
  <c r="AM213" i="58"/>
  <c r="AM225" i="58" s="1"/>
  <c r="AM212" i="58"/>
  <c r="AM224" i="58" s="1"/>
  <c r="AM210" i="58"/>
  <c r="AM222" i="58" s="1"/>
  <c r="AM214" i="58"/>
  <c r="AM226" i="58" s="1"/>
  <c r="AM209" i="58"/>
  <c r="AM221" i="58" s="1"/>
  <c r="AL221" i="58"/>
  <c r="AL259" i="58" s="1"/>
  <c r="AI120" i="47" s="1"/>
  <c r="AM178" i="58"/>
  <c r="AM237" i="58" s="1"/>
  <c r="AM176" i="58"/>
  <c r="AM235" i="58" s="1"/>
  <c r="AM181" i="58"/>
  <c r="AM240" i="58" s="1"/>
  <c r="AL227" i="58"/>
  <c r="AL265" i="58" s="1"/>
  <c r="AI125" i="47" s="1"/>
  <c r="AL224" i="58"/>
  <c r="AL262" i="58" s="1"/>
  <c r="AI124" i="47" s="1"/>
  <c r="AL220" i="58"/>
  <c r="AL258" i="58" s="1"/>
  <c r="AI118" i="47" s="1"/>
  <c r="AM53" i="58"/>
  <c r="AM180" i="58"/>
  <c r="AM239" i="58" s="1"/>
  <c r="AM179" i="58"/>
  <c r="AM238" i="58" s="1"/>
  <c r="AL225" i="58"/>
  <c r="AL263" i="58" s="1"/>
  <c r="AI126" i="47" s="1"/>
  <c r="Q221" i="57"/>
  <c r="N105" i="47" s="1"/>
  <c r="M105" i="47"/>
  <c r="Q219" i="57"/>
  <c r="N103" i="47" s="1"/>
  <c r="M103" i="47"/>
  <c r="T182" i="56"/>
  <c r="P98" i="47"/>
  <c r="T181" i="56"/>
  <c r="P97" i="47"/>
  <c r="Q218" i="57"/>
  <c r="N106" i="47" s="1"/>
  <c r="M106" i="47"/>
  <c r="AN183" i="56"/>
  <c r="AJ99" i="47"/>
  <c r="AE183" i="56"/>
  <c r="AA99" i="47"/>
  <c r="U120" i="56"/>
  <c r="T141" i="56" s="1"/>
  <c r="Q96" i="47" s="1"/>
  <c r="U117" i="56"/>
  <c r="T138" i="56" s="1"/>
  <c r="Q93" i="47" s="1"/>
  <c r="AF123" i="56"/>
  <c r="AE144" i="56" s="1"/>
  <c r="AB99" i="47" s="1"/>
  <c r="AS123" i="56"/>
  <c r="AT123" i="56" s="1"/>
  <c r="AU123" i="56" s="1"/>
  <c r="AV123" i="56" s="1"/>
  <c r="AW123" i="56" s="1"/>
  <c r="AX123" i="56" s="1"/>
  <c r="AO144" i="56" s="1"/>
  <c r="AL99" i="47" s="1"/>
  <c r="U113" i="56"/>
  <c r="AN45" i="58"/>
  <c r="AN51" i="58" s="1"/>
  <c r="AN46" i="58"/>
  <c r="AN52" i="58" s="1"/>
  <c r="AN44" i="58"/>
  <c r="AN50" i="58" s="1"/>
  <c r="AN43" i="58"/>
  <c r="AN49" i="58" s="1"/>
  <c r="AQ31" i="58"/>
  <c r="AQ34" i="58" s="1"/>
  <c r="AR23" i="58"/>
  <c r="AO169" i="58"/>
  <c r="AO168" i="58"/>
  <c r="AO162" i="58"/>
  <c r="AO164" i="58"/>
  <c r="AO170" i="58"/>
  <c r="AO166" i="58"/>
  <c r="AO165" i="58"/>
  <c r="AO163" i="58"/>
  <c r="AO167" i="58"/>
  <c r="AO36" i="58"/>
  <c r="AO41" i="58" s="1"/>
  <c r="AM228" i="58"/>
  <c r="AP35" i="58"/>
  <c r="AP155" i="58"/>
  <c r="AP159" i="58"/>
  <c r="AP156" i="58"/>
  <c r="AP157" i="58"/>
  <c r="AP152" i="58"/>
  <c r="AP151" i="58"/>
  <c r="AP153" i="58"/>
  <c r="AP154" i="58"/>
  <c r="AP158" i="58"/>
  <c r="AQ24" i="58"/>
  <c r="AM227" i="58"/>
  <c r="AM223" i="58"/>
  <c r="U118" i="56"/>
  <c r="T139" i="56" s="1"/>
  <c r="Q94" i="47" s="1"/>
  <c r="U114" i="56"/>
  <c r="T135" i="56" s="1"/>
  <c r="Q90" i="47" s="1"/>
  <c r="AJ76" i="56"/>
  <c r="AE111" i="56"/>
  <c r="AD132" i="56" s="1"/>
  <c r="AA87" i="47" s="1"/>
  <c r="AN120" i="56"/>
  <c r="AO120" i="56" s="1"/>
  <c r="AP120" i="56" s="1"/>
  <c r="AQ120" i="56" s="1"/>
  <c r="AR120" i="56" s="1"/>
  <c r="AM141" i="56" s="1"/>
  <c r="AJ96" i="47" s="1"/>
  <c r="AN118" i="56"/>
  <c r="AO118" i="56" s="1"/>
  <c r="AP118" i="56" s="1"/>
  <c r="AQ118" i="56" s="1"/>
  <c r="AR118" i="56" s="1"/>
  <c r="AM139" i="56" s="1"/>
  <c r="AJ94" i="47" s="1"/>
  <c r="L83" i="56"/>
  <c r="AN117" i="56"/>
  <c r="AO117" i="56" s="1"/>
  <c r="AP117" i="56" s="1"/>
  <c r="AQ117" i="56" s="1"/>
  <c r="AR117" i="56" s="1"/>
  <c r="AM138" i="56" s="1"/>
  <c r="AJ93" i="47" s="1"/>
  <c r="L82" i="56"/>
  <c r="AN116" i="56"/>
  <c r="AO116" i="56" s="1"/>
  <c r="AP116" i="56" s="1"/>
  <c r="AQ116" i="56" s="1"/>
  <c r="AR116" i="56" s="1"/>
  <c r="AM137" i="56" s="1"/>
  <c r="AJ92" i="47" s="1"/>
  <c r="L81" i="56"/>
  <c r="AN114" i="56"/>
  <c r="AO114" i="56" s="1"/>
  <c r="AP114" i="56" s="1"/>
  <c r="AQ114" i="56" s="1"/>
  <c r="AR114" i="56" s="1"/>
  <c r="AM135" i="56" s="1"/>
  <c r="AJ90" i="47" s="1"/>
  <c r="L79" i="56"/>
  <c r="AD112" i="56"/>
  <c r="AC133" i="56" s="1"/>
  <c r="Z88" i="47" s="1"/>
  <c r="K77" i="56"/>
  <c r="K89" i="56" s="1"/>
  <c r="AN113" i="56"/>
  <c r="AO113" i="56" s="1"/>
  <c r="AP113" i="56" s="1"/>
  <c r="AQ113" i="56" s="1"/>
  <c r="AR113" i="56" s="1"/>
  <c r="AM134" i="56" s="1"/>
  <c r="AJ89" i="47" s="1"/>
  <c r="L78" i="56"/>
  <c r="AN119" i="56"/>
  <c r="AO119" i="56" s="1"/>
  <c r="AP119" i="56" s="1"/>
  <c r="AQ119" i="56" s="1"/>
  <c r="AR119" i="56" s="1"/>
  <c r="AM140" i="56" s="1"/>
  <c r="AJ95" i="47" s="1"/>
  <c r="L84" i="56"/>
  <c r="AN111" i="56"/>
  <c r="AO111" i="56" s="1"/>
  <c r="AP111" i="56" s="1"/>
  <c r="AQ111" i="56" s="1"/>
  <c r="AR111" i="56" s="1"/>
  <c r="AM132" i="56" s="1"/>
  <c r="AJ87" i="47" s="1"/>
  <c r="L76" i="56"/>
  <c r="AN115" i="56"/>
  <c r="AO115" i="56" s="1"/>
  <c r="AP115" i="56" s="1"/>
  <c r="AQ115" i="56" s="1"/>
  <c r="AR115" i="56" s="1"/>
  <c r="AM136" i="56" s="1"/>
  <c r="AJ91" i="47" s="1"/>
  <c r="L80" i="56"/>
  <c r="V162" i="57" a="1"/>
  <c r="V162" i="57" s="1"/>
  <c r="U163" i="57" a="1"/>
  <c r="U163" i="57" s="1"/>
  <c r="V161" i="57" a="1"/>
  <c r="V161" i="57" s="1"/>
  <c r="V149" i="57" s="1"/>
  <c r="U161" i="57" a="1"/>
  <c r="U161" i="57" s="1"/>
  <c r="V163" i="57" a="1"/>
  <c r="V163" i="57" s="1"/>
  <c r="U162" i="57" a="1"/>
  <c r="U162" i="57" s="1"/>
  <c r="AD181" i="56"/>
  <c r="AE121" i="56"/>
  <c r="AD142" i="56" s="1"/>
  <c r="AA97" i="47" s="1"/>
  <c r="V111" i="56"/>
  <c r="U132" i="56" s="1"/>
  <c r="R87" i="47" s="1"/>
  <c r="U116" i="56"/>
  <c r="T137" i="56" s="1"/>
  <c r="Q92" i="47" s="1"/>
  <c r="U115" i="56"/>
  <c r="T136" i="56" s="1"/>
  <c r="Q91" i="47" s="1"/>
  <c r="T162" i="57"/>
  <c r="AF48" i="29"/>
  <c r="AG48" i="29" s="1"/>
  <c r="U122" i="56"/>
  <c r="T143" i="56" s="1"/>
  <c r="Q98" i="47" s="1"/>
  <c r="V120" i="56"/>
  <c r="W120" i="56" s="1"/>
  <c r="AE113" i="56"/>
  <c r="AD134" i="56" s="1"/>
  <c r="AA89" i="47" s="1"/>
  <c r="R181" i="56"/>
  <c r="U119" i="56"/>
  <c r="T140" i="56" s="1"/>
  <c r="Q95" i="47" s="1"/>
  <c r="AO172" i="56"/>
  <c r="AP172" i="56" s="1"/>
  <c r="AQ172" i="56" s="1"/>
  <c r="AF50" i="29"/>
  <c r="AC86" i="47" s="1"/>
  <c r="U121" i="56"/>
  <c r="T142" i="56" s="1"/>
  <c r="Q97" i="47" s="1"/>
  <c r="U112" i="56"/>
  <c r="T133" i="56" s="1"/>
  <c r="Q88" i="47" s="1"/>
  <c r="AD108" i="47"/>
  <c r="AH51" i="29"/>
  <c r="AB85" i="47"/>
  <c r="AF49" i="29"/>
  <c r="AM112" i="56"/>
  <c r="AL133" i="56" s="1"/>
  <c r="AI88" i="47" s="1"/>
  <c r="AM122" i="56"/>
  <c r="AL143" i="56" s="1"/>
  <c r="Q182" i="56"/>
  <c r="R182" i="56"/>
  <c r="AE119" i="56"/>
  <c r="AD140" i="56" s="1"/>
  <c r="AA95" i="47" s="1"/>
  <c r="P216" i="57"/>
  <c r="M101" i="47" s="1"/>
  <c r="P215" i="57"/>
  <c r="M102" i="47" s="1"/>
  <c r="P214" i="57"/>
  <c r="M100" i="47" s="1"/>
  <c r="AE120" i="56"/>
  <c r="AF120" i="56" s="1"/>
  <c r="U89" i="56"/>
  <c r="AC76" i="56"/>
  <c r="AC79" i="56" s="1"/>
  <c r="AC80" i="56" s="1"/>
  <c r="X28" i="55"/>
  <c r="T127" i="47"/>
  <c r="AN181" i="56"/>
  <c r="R92" i="56"/>
  <c r="R76" i="56"/>
  <c r="H58" i="57"/>
  <c r="G58" i="57"/>
  <c r="N59" i="57"/>
  <c r="V79" i="56"/>
  <c r="V95" i="56"/>
  <c r="S128" i="47"/>
  <c r="W34" i="55"/>
  <c r="AC138" i="56"/>
  <c r="Z93" i="47" s="1"/>
  <c r="AE117" i="56"/>
  <c r="V27" i="55"/>
  <c r="R135" i="47"/>
  <c r="AC257" i="57"/>
  <c r="AD257" i="57" s="1"/>
  <c r="AE257" i="57" s="1"/>
  <c r="AF257" i="57" s="1"/>
  <c r="AG257" i="57" s="1"/>
  <c r="AH257" i="57" s="1"/>
  <c r="AI257" i="57" s="1"/>
  <c r="AJ257" i="57" s="1"/>
  <c r="AK257" i="57" s="1"/>
  <c r="Q96" i="56"/>
  <c r="Q80" i="56"/>
  <c r="W52" i="56"/>
  <c r="W55" i="56"/>
  <c r="W59" i="56"/>
  <c r="W86" i="56" s="1"/>
  <c r="W51" i="56"/>
  <c r="W57" i="56"/>
  <c r="W56" i="56"/>
  <c r="W54" i="56"/>
  <c r="W53" i="56"/>
  <c r="W58" i="56"/>
  <c r="X60" i="56"/>
  <c r="W32" i="55"/>
  <c r="S131" i="47"/>
  <c r="R57" i="56"/>
  <c r="R55" i="56"/>
  <c r="R59" i="56"/>
  <c r="R86" i="56" s="1"/>
  <c r="AE77" i="56" s="1"/>
  <c r="R51" i="56"/>
  <c r="R53" i="56"/>
  <c r="R52" i="56"/>
  <c r="R56" i="56"/>
  <c r="R54" i="56"/>
  <c r="R58" i="56"/>
  <c r="K250" i="57"/>
  <c r="K248" i="57"/>
  <c r="J248" i="57"/>
  <c r="K249" i="57"/>
  <c r="J249" i="57"/>
  <c r="I58" i="57"/>
  <c r="O59" i="57"/>
  <c r="V85" i="56"/>
  <c r="V101" i="56"/>
  <c r="P59" i="57"/>
  <c r="V97" i="56"/>
  <c r="V81" i="56"/>
  <c r="O61" i="57"/>
  <c r="W46" i="56"/>
  <c r="W47" i="56"/>
  <c r="W87" i="56" s="1"/>
  <c r="X48" i="56"/>
  <c r="R46" i="56"/>
  <c r="R47" i="56"/>
  <c r="R87" i="56" s="1"/>
  <c r="Q95" i="56"/>
  <c r="Q79" i="56"/>
  <c r="J251" i="57"/>
  <c r="K251" i="57"/>
  <c r="K252" i="57"/>
  <c r="J252" i="57"/>
  <c r="AC135" i="56"/>
  <c r="Z90" i="47" s="1"/>
  <c r="AE114" i="56"/>
  <c r="V83" i="56"/>
  <c r="V99" i="56"/>
  <c r="W37" i="55"/>
  <c r="S134" i="47"/>
  <c r="Q83" i="56"/>
  <c r="Q99" i="56"/>
  <c r="O151" i="57"/>
  <c r="O150" i="57"/>
  <c r="J250" i="57"/>
  <c r="I45" i="57"/>
  <c r="J45" i="57"/>
  <c r="N61" i="57"/>
  <c r="V78" i="56"/>
  <c r="V94" i="56"/>
  <c r="V77" i="56"/>
  <c r="V93" i="56"/>
  <c r="Q77" i="56"/>
  <c r="Q93" i="56"/>
  <c r="V58" i="57"/>
  <c r="V59" i="57" s="1"/>
  <c r="V60" i="57" s="1"/>
  <c r="V31" i="55"/>
  <c r="R129" i="47"/>
  <c r="Q101" i="56"/>
  <c r="Q85" i="56"/>
  <c r="J253" i="57"/>
  <c r="N151" i="57"/>
  <c r="N150" i="57"/>
  <c r="P151" i="57"/>
  <c r="P149" i="57"/>
  <c r="P150" i="57"/>
  <c r="G45" i="57"/>
  <c r="G161" i="57"/>
  <c r="G163" i="57"/>
  <c r="G162" i="57"/>
  <c r="P89" i="56"/>
  <c r="AC136" i="56"/>
  <c r="Z91" i="47" s="1"/>
  <c r="AE115" i="56"/>
  <c r="W33" i="55"/>
  <c r="S130" i="47"/>
  <c r="V110" i="57"/>
  <c r="V111" i="57" s="1"/>
  <c r="V51" i="57"/>
  <c r="U61" i="57"/>
  <c r="W76" i="56"/>
  <c r="W92" i="56"/>
  <c r="X43" i="56"/>
  <c r="Q94" i="56"/>
  <c r="Q78" i="56"/>
  <c r="AC137" i="56"/>
  <c r="Z92" i="47" s="1"/>
  <c r="AE116" i="56"/>
  <c r="AD182" i="56"/>
  <c r="AC255" i="57"/>
  <c r="AD255" i="57" s="1"/>
  <c r="AE255" i="57" s="1"/>
  <c r="AF255" i="57" s="1"/>
  <c r="AG255" i="57" s="1"/>
  <c r="AH255" i="57" s="1"/>
  <c r="AI255" i="57" s="1"/>
  <c r="AJ255" i="57" s="1"/>
  <c r="AK255" i="57" s="1"/>
  <c r="AL255" i="57"/>
  <c r="V100" i="56"/>
  <c r="V84" i="56"/>
  <c r="V144" i="56"/>
  <c r="S99" i="47" s="1"/>
  <c r="X123" i="56"/>
  <c r="AL256" i="57"/>
  <c r="AC256" i="57"/>
  <c r="AD256" i="57" s="1"/>
  <c r="AE256" i="57" s="1"/>
  <c r="AF256" i="57" s="1"/>
  <c r="AG256" i="57" s="1"/>
  <c r="AH256" i="57" s="1"/>
  <c r="AI256" i="57" s="1"/>
  <c r="AJ256" i="57" s="1"/>
  <c r="AK256" i="57" s="1"/>
  <c r="Q51" i="57"/>
  <c r="Q110" i="57"/>
  <c r="Q111" i="57" s="1"/>
  <c r="Q149" i="57" s="1"/>
  <c r="W51" i="57"/>
  <c r="W110" i="57"/>
  <c r="W111" i="57" s="1"/>
  <c r="T134" i="56"/>
  <c r="Q89" i="47" s="1"/>
  <c r="V113" i="56"/>
  <c r="Q84" i="56"/>
  <c r="Q100" i="56"/>
  <c r="AC139" i="56"/>
  <c r="Z94" i="47" s="1"/>
  <c r="AE118" i="56"/>
  <c r="V36" i="55"/>
  <c r="R133" i="47"/>
  <c r="H45" i="57"/>
  <c r="H162" i="57"/>
  <c r="H161" i="57"/>
  <c r="H163" i="57"/>
  <c r="V82" i="56"/>
  <c r="V98" i="56"/>
  <c r="V96" i="56"/>
  <c r="V80" i="56"/>
  <c r="V183" i="56"/>
  <c r="K57" i="57"/>
  <c r="Q161" i="57"/>
  <c r="Q58" i="57"/>
  <c r="Q61" i="57" s="1"/>
  <c r="Q162" i="57"/>
  <c r="Q163" i="57"/>
  <c r="L87" i="56"/>
  <c r="L103" i="56"/>
  <c r="W58" i="57"/>
  <c r="W59" i="57" s="1"/>
  <c r="W60" i="57" s="1"/>
  <c r="AE122" i="56"/>
  <c r="Q97" i="56"/>
  <c r="Q81" i="56"/>
  <c r="T61" i="57"/>
  <c r="L93" i="56"/>
  <c r="AH79" i="56"/>
  <c r="AH80" i="56" s="1"/>
  <c r="AS121" i="56"/>
  <c r="AT121" i="56" s="1"/>
  <c r="AU121" i="56" s="1"/>
  <c r="AV121" i="56" s="1"/>
  <c r="AW121" i="56" s="1"/>
  <c r="AN142" i="56" s="1"/>
  <c r="AK97" i="47" s="1"/>
  <c r="Q98" i="56"/>
  <c r="Q82" i="56"/>
  <c r="AL22" i="35"/>
  <c r="AH5" i="47"/>
  <c r="AH8" i="47"/>
  <c r="AL23" i="35"/>
  <c r="AI6" i="47"/>
  <c r="AM25" i="35"/>
  <c r="AH9" i="47"/>
  <c r="AL24" i="35"/>
  <c r="AL26" i="35"/>
  <c r="AH7" i="47"/>
  <c r="V117" i="56" l="1"/>
  <c r="U138" i="56" s="1"/>
  <c r="R93" i="47" s="1"/>
  <c r="AL245" i="58"/>
  <c r="AY123" i="56"/>
  <c r="AP144" i="56" s="1"/>
  <c r="AM99" i="47" s="1"/>
  <c r="AG123" i="56"/>
  <c r="AF144" i="56" s="1"/>
  <c r="AC99" i="47" s="1"/>
  <c r="AF183" i="56"/>
  <c r="AM182" i="56"/>
  <c r="AI98" i="47"/>
  <c r="V114" i="56"/>
  <c r="AN144" i="56"/>
  <c r="AM245" i="58"/>
  <c r="AR24" i="58"/>
  <c r="AP169" i="58"/>
  <c r="AP164" i="58"/>
  <c r="AP165" i="58"/>
  <c r="AP167" i="58"/>
  <c r="AP162" i="58"/>
  <c r="AP163" i="58"/>
  <c r="AP166" i="58"/>
  <c r="AP170" i="58"/>
  <c r="AP168" i="58"/>
  <c r="AP36" i="58"/>
  <c r="AP41" i="58" s="1"/>
  <c r="AR31" i="58"/>
  <c r="AR34" i="58" s="1"/>
  <c r="AS23" i="58"/>
  <c r="AO45" i="58"/>
  <c r="AO51" i="58" s="1"/>
  <c r="AO44" i="58"/>
  <c r="AO50" i="58" s="1"/>
  <c r="AO46" i="58"/>
  <c r="AO52" i="58" s="1"/>
  <c r="AO43" i="58"/>
  <c r="AO49" i="58" s="1"/>
  <c r="AQ35" i="58"/>
  <c r="AQ156" i="58"/>
  <c r="AQ155" i="58"/>
  <c r="AQ159" i="58"/>
  <c r="AQ151" i="58"/>
  <c r="AQ154" i="58"/>
  <c r="AQ152" i="58"/>
  <c r="AQ158" i="58"/>
  <c r="AQ153" i="58"/>
  <c r="AQ157" i="58"/>
  <c r="AN178" i="58"/>
  <c r="AN237" i="58" s="1"/>
  <c r="AN176" i="58"/>
  <c r="AN235" i="58" s="1"/>
  <c r="AN53" i="58"/>
  <c r="AN181" i="58"/>
  <c r="AN240" i="58" s="1"/>
  <c r="AN180" i="58"/>
  <c r="AN239" i="58" s="1"/>
  <c r="AN179" i="58"/>
  <c r="AN238" i="58" s="1"/>
  <c r="AN175" i="58"/>
  <c r="AN234" i="58" s="1"/>
  <c r="AN182" i="58"/>
  <c r="AN241" i="58" s="1"/>
  <c r="AN177" i="58"/>
  <c r="AN236" i="58" s="1"/>
  <c r="AN174" i="58"/>
  <c r="AN233" i="58" s="1"/>
  <c r="AN187" i="58"/>
  <c r="AN191" i="58"/>
  <c r="AN188" i="58"/>
  <c r="AN190" i="58"/>
  <c r="AN194" i="58"/>
  <c r="AN186" i="58"/>
  <c r="AN189" i="58"/>
  <c r="AN193" i="58"/>
  <c r="AN192" i="58"/>
  <c r="AN209" i="58"/>
  <c r="AN213" i="58"/>
  <c r="AN212" i="58"/>
  <c r="AN208" i="58"/>
  <c r="AN216" i="58"/>
  <c r="AN210" i="58"/>
  <c r="AN214" i="58"/>
  <c r="AN215" i="58"/>
  <c r="AN211" i="58"/>
  <c r="AN199" i="58"/>
  <c r="AN204" i="58"/>
  <c r="AN202" i="58"/>
  <c r="AN198" i="58"/>
  <c r="AN201" i="58"/>
  <c r="AN205" i="58"/>
  <c r="AN197" i="58"/>
  <c r="AN203" i="58"/>
  <c r="AN200" i="58"/>
  <c r="I162" i="57"/>
  <c r="AB229" i="57" s="1"/>
  <c r="U150" i="57"/>
  <c r="I150" i="57" s="1"/>
  <c r="I187" i="57" s="1"/>
  <c r="AB215" i="57" s="1"/>
  <c r="Y102" i="47" s="1"/>
  <c r="J163" i="57"/>
  <c r="AL230" i="57" s="1"/>
  <c r="V151" i="57"/>
  <c r="J151" i="57" s="1"/>
  <c r="J188" i="57" s="1"/>
  <c r="I161" i="57"/>
  <c r="AB228" i="57" s="1"/>
  <c r="U149" i="57"/>
  <c r="I149" i="57" s="1"/>
  <c r="I186" i="57" s="1"/>
  <c r="I163" i="57"/>
  <c r="AB230" i="57" s="1"/>
  <c r="U151" i="57"/>
  <c r="I151" i="57" s="1"/>
  <c r="I188" i="57" s="1"/>
  <c r="AC202" i="57" s="1"/>
  <c r="J162" i="57"/>
  <c r="AL229" i="57" s="1"/>
  <c r="V150" i="57"/>
  <c r="J150" i="57" s="1"/>
  <c r="J187" i="57" s="1"/>
  <c r="T183" i="57"/>
  <c r="T150" i="57"/>
  <c r="V183" i="57"/>
  <c r="J161" i="57"/>
  <c r="AL228" i="57" s="1"/>
  <c r="U183" i="57"/>
  <c r="V116" i="56"/>
  <c r="W116" i="56" s="1"/>
  <c r="AE112" i="56"/>
  <c r="AD133" i="56" s="1"/>
  <c r="AA88" i="47" s="1"/>
  <c r="V118" i="56"/>
  <c r="AH123" i="56"/>
  <c r="AI123" i="56" s="1"/>
  <c r="AF111" i="56"/>
  <c r="AG111" i="56" s="1"/>
  <c r="AC84" i="47"/>
  <c r="AK76" i="56"/>
  <c r="AS120" i="56"/>
  <c r="AT120" i="56" s="1"/>
  <c r="AU120" i="56" s="1"/>
  <c r="AV120" i="56" s="1"/>
  <c r="AW120" i="56" s="1"/>
  <c r="AX120" i="56" s="1"/>
  <c r="AY120" i="56" s="1"/>
  <c r="AP141" i="56" s="1"/>
  <c r="AM96" i="47" s="1"/>
  <c r="AS118" i="56"/>
  <c r="AT118" i="56" s="1"/>
  <c r="AU118" i="56" s="1"/>
  <c r="AV118" i="56" s="1"/>
  <c r="AW118" i="56" s="1"/>
  <c r="AX118" i="56" s="1"/>
  <c r="AO139" i="56" s="1"/>
  <c r="AL94" i="47" s="1"/>
  <c r="AF121" i="56"/>
  <c r="AE142" i="56" s="1"/>
  <c r="AB97" i="47" s="1"/>
  <c r="AF113" i="56"/>
  <c r="AE134" i="56" s="1"/>
  <c r="AB89" i="47" s="1"/>
  <c r="AS116" i="56"/>
  <c r="AT116" i="56" s="1"/>
  <c r="AU116" i="56" s="1"/>
  <c r="AV116" i="56" s="1"/>
  <c r="AW116" i="56" s="1"/>
  <c r="AN137" i="56" s="1"/>
  <c r="AK92" i="47" s="1"/>
  <c r="AS114" i="56"/>
  <c r="AT114" i="56" s="1"/>
  <c r="AU114" i="56" s="1"/>
  <c r="AV114" i="56" s="1"/>
  <c r="AW114" i="56" s="1"/>
  <c r="AX114" i="56" s="1"/>
  <c r="AY114" i="56" s="1"/>
  <c r="AP135" i="56" s="1"/>
  <c r="AM90" i="47" s="1"/>
  <c r="AD141" i="56"/>
  <c r="AA96" i="47" s="1"/>
  <c r="AS119" i="56"/>
  <c r="AT119" i="56" s="1"/>
  <c r="AU119" i="56" s="1"/>
  <c r="AV119" i="56" s="1"/>
  <c r="AW119" i="56" s="1"/>
  <c r="AN140" i="56" s="1"/>
  <c r="AK95" i="47" s="1"/>
  <c r="AS117" i="56"/>
  <c r="AT117" i="56" s="1"/>
  <c r="AU117" i="56" s="1"/>
  <c r="AV117" i="56" s="1"/>
  <c r="AW117" i="56" s="1"/>
  <c r="AN138" i="56" s="1"/>
  <c r="AK93" i="47" s="1"/>
  <c r="AS111" i="56"/>
  <c r="AT111" i="56" s="1"/>
  <c r="AU111" i="56" s="1"/>
  <c r="AV111" i="56" s="1"/>
  <c r="AW111" i="56" s="1"/>
  <c r="AX111" i="56" s="1"/>
  <c r="AO132" i="56" s="1"/>
  <c r="AL87" i="47" s="1"/>
  <c r="AS113" i="56"/>
  <c r="AT113" i="56" s="1"/>
  <c r="AU113" i="56" s="1"/>
  <c r="AV113" i="56" s="1"/>
  <c r="AW113" i="56" s="1"/>
  <c r="AX113" i="56" s="1"/>
  <c r="AY113" i="56" s="1"/>
  <c r="AP134" i="56" s="1"/>
  <c r="AM89" i="47" s="1"/>
  <c r="AS115" i="56"/>
  <c r="AT115" i="56" s="1"/>
  <c r="AU115" i="56" s="1"/>
  <c r="AV115" i="56" s="1"/>
  <c r="AW115" i="56" s="1"/>
  <c r="AX115" i="56" s="1"/>
  <c r="AO136" i="56" s="1"/>
  <c r="AL91" i="47" s="1"/>
  <c r="AN112" i="56"/>
  <c r="AO112" i="56" s="1"/>
  <c r="AP112" i="56" s="1"/>
  <c r="AQ112" i="56" s="1"/>
  <c r="AR112" i="56" s="1"/>
  <c r="AM133" i="56" s="1"/>
  <c r="AJ88" i="47" s="1"/>
  <c r="L77" i="56"/>
  <c r="L89" i="56" s="1"/>
  <c r="L90" i="56" s="1"/>
  <c r="AN122" i="56"/>
  <c r="AO122" i="56" s="1"/>
  <c r="AP122" i="56" s="1"/>
  <c r="AQ122" i="56" s="1"/>
  <c r="AR122" i="56" s="1"/>
  <c r="AM143" i="56" s="1"/>
  <c r="W162" i="57" a="1"/>
  <c r="W162" i="57" s="1"/>
  <c r="W111" i="56"/>
  <c r="V132" i="56" s="1"/>
  <c r="S87" i="47" s="1"/>
  <c r="W161" i="57" a="1"/>
  <c r="W161" i="57" s="1"/>
  <c r="U141" i="56"/>
  <c r="R96" i="47" s="1"/>
  <c r="W163" i="57" a="1"/>
  <c r="W163" i="57" s="1"/>
  <c r="V115" i="56"/>
  <c r="AF119" i="56"/>
  <c r="AE140" i="56" s="1"/>
  <c r="AB95" i="47" s="1"/>
  <c r="V121" i="56"/>
  <c r="U142" i="56" s="1"/>
  <c r="R97" i="47" s="1"/>
  <c r="V122" i="56"/>
  <c r="U143" i="56" s="1"/>
  <c r="R98" i="47" s="1"/>
  <c r="I61" i="57"/>
  <c r="J58" i="57"/>
  <c r="AG50" i="29"/>
  <c r="AD86" i="47" s="1"/>
  <c r="V112" i="56"/>
  <c r="V119" i="56"/>
  <c r="W119" i="56" s="1"/>
  <c r="U181" i="56"/>
  <c r="AE108" i="47"/>
  <c r="AI51" i="29"/>
  <c r="AD84" i="47"/>
  <c r="AH48" i="29"/>
  <c r="AC85" i="47"/>
  <c r="AG49" i="29"/>
  <c r="W117" i="56"/>
  <c r="V138" i="56" s="1"/>
  <c r="S93" i="47" s="1"/>
  <c r="AX121" i="56"/>
  <c r="AO142" i="56" s="1"/>
  <c r="AL97" i="47" s="1"/>
  <c r="Q215" i="57"/>
  <c r="N102" i="47" s="1"/>
  <c r="Q216" i="57"/>
  <c r="N101" i="47" s="1"/>
  <c r="Q214" i="57"/>
  <c r="N100" i="47" s="1"/>
  <c r="AM256" i="57"/>
  <c r="AN256" i="57" s="1"/>
  <c r="AO256" i="57" s="1"/>
  <c r="AP256" i="57" s="1"/>
  <c r="AQ256" i="57" s="1"/>
  <c r="AR256" i="57" s="1"/>
  <c r="AS256" i="57" s="1"/>
  <c r="AT256" i="57" s="1"/>
  <c r="AU256" i="57" s="1"/>
  <c r="V61" i="57"/>
  <c r="J61" i="57" s="1"/>
  <c r="AM255" i="57"/>
  <c r="AN255" i="57" s="1"/>
  <c r="AO255" i="57" s="1"/>
  <c r="AP255" i="57" s="1"/>
  <c r="AQ255" i="57" s="1"/>
  <c r="AR255" i="57" s="1"/>
  <c r="AS255" i="57" s="1"/>
  <c r="AT255" i="57" s="1"/>
  <c r="AU255" i="57" s="1"/>
  <c r="V89" i="56"/>
  <c r="Q89" i="56"/>
  <c r="W79" i="56"/>
  <c r="W95" i="56"/>
  <c r="W27" i="55"/>
  <c r="S135" i="47"/>
  <c r="AF115" i="56"/>
  <c r="AD136" i="56"/>
  <c r="AA91" i="47" s="1"/>
  <c r="N60" i="57"/>
  <c r="H59" i="57"/>
  <c r="G59" i="57"/>
  <c r="W144" i="56"/>
  <c r="T99" i="47" s="1"/>
  <c r="Y123" i="56"/>
  <c r="N230" i="57"/>
  <c r="O230" i="57" s="1"/>
  <c r="P230" i="57" s="1"/>
  <c r="Q230" i="57" s="1"/>
  <c r="R230" i="57"/>
  <c r="AG183" i="56"/>
  <c r="N229" i="57"/>
  <c r="O229" i="57" s="1"/>
  <c r="P229" i="57" s="1"/>
  <c r="Q229" i="57" s="1"/>
  <c r="R229" i="57"/>
  <c r="W183" i="56"/>
  <c r="N228" i="57"/>
  <c r="O228" i="57" s="1"/>
  <c r="P228" i="57" s="1"/>
  <c r="Q228" i="57" s="1"/>
  <c r="G169" i="57"/>
  <c r="G172" i="57" s="1"/>
  <c r="R228" i="57"/>
  <c r="X37" i="55"/>
  <c r="T134" i="47"/>
  <c r="R77" i="56"/>
  <c r="R93" i="56"/>
  <c r="R101" i="56"/>
  <c r="R85" i="56"/>
  <c r="X32" i="55"/>
  <c r="T131" i="47"/>
  <c r="AO181" i="56"/>
  <c r="W61" i="57"/>
  <c r="K61" i="57" s="1"/>
  <c r="K58" i="57"/>
  <c r="Q59" i="57"/>
  <c r="AF116" i="56"/>
  <c r="AD137" i="56"/>
  <c r="AA92" i="47" s="1"/>
  <c r="W31" i="55"/>
  <c r="S129" i="47"/>
  <c r="P60" i="57"/>
  <c r="J60" i="57" s="1"/>
  <c r="J59" i="57"/>
  <c r="R81" i="56"/>
  <c r="R97" i="56"/>
  <c r="X57" i="56"/>
  <c r="X53" i="56"/>
  <c r="X55" i="56"/>
  <c r="X56" i="56"/>
  <c r="X54" i="56"/>
  <c r="X58" i="56"/>
  <c r="X52" i="56"/>
  <c r="X59" i="56"/>
  <c r="X86" i="56" s="1"/>
  <c r="X51" i="56"/>
  <c r="AE141" i="56"/>
  <c r="AB96" i="47" s="1"/>
  <c r="AG120" i="56"/>
  <c r="J149" i="57"/>
  <c r="J186" i="57" s="1"/>
  <c r="AE181" i="56"/>
  <c r="AD135" i="56"/>
  <c r="AA90" i="47" s="1"/>
  <c r="AF114" i="56"/>
  <c r="AP183" i="56"/>
  <c r="X46" i="56"/>
  <c r="X47" i="56"/>
  <c r="X87" i="56" s="1"/>
  <c r="O60" i="57"/>
  <c r="I60" i="57" s="1"/>
  <c r="I59" i="57"/>
  <c r="R99" i="56"/>
  <c r="R83" i="56"/>
  <c r="U182" i="56"/>
  <c r="W101" i="56"/>
  <c r="W85" i="56"/>
  <c r="U134" i="56"/>
  <c r="R89" i="47" s="1"/>
  <c r="W113" i="56"/>
  <c r="AI79" i="56"/>
  <c r="AI80" i="56" s="1"/>
  <c r="R95" i="56"/>
  <c r="R79" i="56"/>
  <c r="W80" i="56"/>
  <c r="W96" i="56"/>
  <c r="AD138" i="56"/>
  <c r="AA93" i="47" s="1"/>
  <c r="AF117" i="56"/>
  <c r="AD143" i="56"/>
  <c r="AA98" i="47" s="1"/>
  <c r="AF122" i="56"/>
  <c r="K45" i="57"/>
  <c r="W36" i="55"/>
  <c r="S133" i="47"/>
  <c r="W77" i="56"/>
  <c r="W93" i="56"/>
  <c r="AV256" i="57"/>
  <c r="AW256" i="57" s="1"/>
  <c r="AX256" i="57" s="1"/>
  <c r="AY256" i="57" s="1"/>
  <c r="AZ256" i="57" s="1"/>
  <c r="BA256" i="57" s="1"/>
  <c r="BB256" i="57" s="1"/>
  <c r="BC256" i="57" s="1"/>
  <c r="BD256" i="57" s="1"/>
  <c r="R80" i="56"/>
  <c r="R96" i="56"/>
  <c r="W81" i="56"/>
  <c r="W97" i="56"/>
  <c r="Y28" i="55"/>
  <c r="U127" i="47"/>
  <c r="AD139" i="56"/>
  <c r="AA94" i="47" s="1"/>
  <c r="AF118" i="56"/>
  <c r="Q151" i="57"/>
  <c r="Q150" i="57"/>
  <c r="H61" i="57"/>
  <c r="G61" i="57"/>
  <c r="AM257" i="57"/>
  <c r="AN257" i="57" s="1"/>
  <c r="AO257" i="57" s="1"/>
  <c r="AP257" i="57" s="1"/>
  <c r="AQ257" i="57" s="1"/>
  <c r="AR257" i="57" s="1"/>
  <c r="AS257" i="57" s="1"/>
  <c r="AT257" i="57" s="1"/>
  <c r="AU257" i="57" s="1"/>
  <c r="AV257" i="57"/>
  <c r="AW257" i="57" s="1"/>
  <c r="AX257" i="57" s="1"/>
  <c r="AY257" i="57" s="1"/>
  <c r="AZ257" i="57" s="1"/>
  <c r="BA257" i="57" s="1"/>
  <c r="BB257" i="57" s="1"/>
  <c r="BC257" i="57" s="1"/>
  <c r="BD257" i="57" s="1"/>
  <c r="R78" i="56"/>
  <c r="R94" i="56"/>
  <c r="W99" i="56"/>
  <c r="W83" i="56"/>
  <c r="U135" i="56"/>
  <c r="R90" i="47" s="1"/>
  <c r="W114" i="56"/>
  <c r="AV259" i="57"/>
  <c r="AW259" i="57" s="1"/>
  <c r="AX259" i="57" s="1"/>
  <c r="AY259" i="57" s="1"/>
  <c r="AZ259" i="57" s="1"/>
  <c r="BA259" i="57" s="1"/>
  <c r="BB259" i="57" s="1"/>
  <c r="BC259" i="57" s="1"/>
  <c r="BD259" i="57" s="1"/>
  <c r="AM259" i="57"/>
  <c r="AN259" i="57" s="1"/>
  <c r="AO259" i="57" s="1"/>
  <c r="AP259" i="57" s="1"/>
  <c r="AQ259" i="57" s="1"/>
  <c r="AR259" i="57" s="1"/>
  <c r="AS259" i="57" s="1"/>
  <c r="AT259" i="57" s="1"/>
  <c r="AU259" i="57" s="1"/>
  <c r="AZ255" i="57"/>
  <c r="BA255" i="57" s="1"/>
  <c r="BB255" i="57" s="1"/>
  <c r="BC255" i="57" s="1"/>
  <c r="BD255" i="57" s="1"/>
  <c r="AV255" i="57"/>
  <c r="AW255" i="57" s="1"/>
  <c r="AX255" i="57" s="1"/>
  <c r="AY255" i="57" s="1"/>
  <c r="W100" i="56"/>
  <c r="W84" i="56"/>
  <c r="AD76" i="56"/>
  <c r="AD79" i="56" s="1"/>
  <c r="AD80" i="56" s="1"/>
  <c r="R82" i="56"/>
  <c r="R98" i="56"/>
  <c r="W94" i="56"/>
  <c r="W78" i="56"/>
  <c r="X34" i="55"/>
  <c r="T128" i="47"/>
  <c r="X33" i="55"/>
  <c r="T130" i="47"/>
  <c r="R84" i="56"/>
  <c r="R100" i="56"/>
  <c r="X92" i="56"/>
  <c r="X76" i="56"/>
  <c r="AM260" i="57"/>
  <c r="AN260" i="57" s="1"/>
  <c r="AO260" i="57" s="1"/>
  <c r="AP260" i="57" s="1"/>
  <c r="AQ260" i="57" s="1"/>
  <c r="AR260" i="57" s="1"/>
  <c r="AS260" i="57" s="1"/>
  <c r="AT260" i="57" s="1"/>
  <c r="AU260" i="57" s="1"/>
  <c r="AV260" i="57" s="1"/>
  <c r="AW260" i="57" s="1"/>
  <c r="AX260" i="57" s="1"/>
  <c r="AY260" i="57" s="1"/>
  <c r="AZ260" i="57" s="1"/>
  <c r="BA260" i="57" s="1"/>
  <c r="BB260" i="57" s="1"/>
  <c r="BC260" i="57" s="1"/>
  <c r="BD260" i="57" s="1"/>
  <c r="V141" i="56"/>
  <c r="S96" i="47" s="1"/>
  <c r="X120" i="56"/>
  <c r="AV258" i="57"/>
  <c r="AW258" i="57" s="1"/>
  <c r="AX258" i="57" s="1"/>
  <c r="AY258" i="57" s="1"/>
  <c r="AZ258" i="57" s="1"/>
  <c r="BA258" i="57" s="1"/>
  <c r="BB258" i="57" s="1"/>
  <c r="BC258" i="57" s="1"/>
  <c r="BD258" i="57" s="1"/>
  <c r="AM258" i="57"/>
  <c r="AN258" i="57" s="1"/>
  <c r="AO258" i="57" s="1"/>
  <c r="AP258" i="57" s="1"/>
  <c r="AQ258" i="57" s="1"/>
  <c r="AR258" i="57" s="1"/>
  <c r="AS258" i="57" s="1"/>
  <c r="AT258" i="57" s="1"/>
  <c r="AU258" i="57" s="1"/>
  <c r="W98" i="56"/>
  <c r="W82" i="56"/>
  <c r="AM24" i="35"/>
  <c r="AI9" i="47"/>
  <c r="AI7" i="47"/>
  <c r="AM26" i="35"/>
  <c r="AN25" i="35"/>
  <c r="AJ6" i="47"/>
  <c r="AM23" i="35"/>
  <c r="AI8" i="47"/>
  <c r="AM22" i="35"/>
  <c r="AI5" i="47"/>
  <c r="AQ183" i="56" l="1"/>
  <c r="U137" i="56"/>
  <c r="R92" i="47" s="1"/>
  <c r="AN182" i="56"/>
  <c r="AJ98" i="47"/>
  <c r="AO183" i="56"/>
  <c r="AK99" i="47"/>
  <c r="AC228" i="57"/>
  <c r="AD228" i="57" s="1"/>
  <c r="AE228" i="57" s="1"/>
  <c r="AF228" i="57" s="1"/>
  <c r="AG228" i="57" s="1"/>
  <c r="AH228" i="57" s="1"/>
  <c r="AI228" i="57" s="1"/>
  <c r="AJ228" i="57" s="1"/>
  <c r="AK228" i="57" s="1"/>
  <c r="AF112" i="56"/>
  <c r="AS24" i="58"/>
  <c r="AS31" i="58"/>
  <c r="AS34" i="58" s="1"/>
  <c r="AT23" i="58"/>
  <c r="AR35" i="58"/>
  <c r="AR156" i="58"/>
  <c r="AR155" i="58"/>
  <c r="AR159" i="58"/>
  <c r="AR153" i="58"/>
  <c r="AR152" i="58"/>
  <c r="AR157" i="58"/>
  <c r="AR154" i="58"/>
  <c r="AR158" i="58"/>
  <c r="AR151" i="58"/>
  <c r="AN226" i="58"/>
  <c r="AP44" i="58"/>
  <c r="AP50" i="58" s="1"/>
  <c r="AP46" i="58"/>
  <c r="AP52" i="58" s="1"/>
  <c r="AP43" i="58"/>
  <c r="AP49" i="58" s="1"/>
  <c r="AP45" i="58"/>
  <c r="AP51" i="58" s="1"/>
  <c r="AN227" i="58"/>
  <c r="AN223" i="58"/>
  <c r="AN220" i="58"/>
  <c r="AN228" i="58"/>
  <c r="AQ169" i="58"/>
  <c r="AQ168" i="58"/>
  <c r="AQ164" i="58"/>
  <c r="AQ163" i="58"/>
  <c r="AQ162" i="58"/>
  <c r="AQ165" i="58"/>
  <c r="AQ166" i="58"/>
  <c r="AQ167" i="58"/>
  <c r="AQ170" i="58"/>
  <c r="AQ36" i="58"/>
  <c r="AQ41" i="58" s="1"/>
  <c r="AN224" i="58"/>
  <c r="AO179" i="58"/>
  <c r="AO238" i="58" s="1"/>
  <c r="AO177" i="58"/>
  <c r="AO236" i="58" s="1"/>
  <c r="AO181" i="58"/>
  <c r="AO240" i="58" s="1"/>
  <c r="AO175" i="58"/>
  <c r="AO234" i="58" s="1"/>
  <c r="AO180" i="58"/>
  <c r="AO239" i="58" s="1"/>
  <c r="AO174" i="58"/>
  <c r="AO233" i="58" s="1"/>
  <c r="AO182" i="58"/>
  <c r="AO241" i="58" s="1"/>
  <c r="AO176" i="58"/>
  <c r="AO235" i="58" s="1"/>
  <c r="AO53" i="58"/>
  <c r="AO178" i="58"/>
  <c r="AO237" i="58" s="1"/>
  <c r="AN222" i="58"/>
  <c r="AO211" i="58"/>
  <c r="AO214" i="58"/>
  <c r="AO215" i="58"/>
  <c r="AO212" i="58"/>
  <c r="AO208" i="58"/>
  <c r="AO213" i="58"/>
  <c r="AO216" i="58"/>
  <c r="AO209" i="58"/>
  <c r="AO210" i="58"/>
  <c r="AN225" i="58"/>
  <c r="AO191" i="58"/>
  <c r="AO188" i="58"/>
  <c r="AO186" i="58"/>
  <c r="AO187" i="58"/>
  <c r="AO189" i="58"/>
  <c r="AO193" i="58"/>
  <c r="AO192" i="58"/>
  <c r="AO194" i="58"/>
  <c r="AO190" i="58"/>
  <c r="AN221" i="58"/>
  <c r="AO197" i="58"/>
  <c r="AO200" i="58"/>
  <c r="AO198" i="58"/>
  <c r="AO199" i="58"/>
  <c r="AO201" i="58"/>
  <c r="AO203" i="58"/>
  <c r="AO205" i="58"/>
  <c r="AO202" i="58"/>
  <c r="AO204" i="58"/>
  <c r="S229" i="57"/>
  <c r="T229" i="57" s="1"/>
  <c r="U229" i="57" s="1"/>
  <c r="V229" i="57" s="1"/>
  <c r="W229" i="57" s="1"/>
  <c r="X229" i="57" s="1"/>
  <c r="Y229" i="57" s="1"/>
  <c r="Z229" i="57" s="1"/>
  <c r="AA229" i="57" s="1"/>
  <c r="AC230" i="57"/>
  <c r="AD230" i="57" s="1"/>
  <c r="AE230" i="57" s="1"/>
  <c r="AF230" i="57" s="1"/>
  <c r="AG230" i="57" s="1"/>
  <c r="AH230" i="57" s="1"/>
  <c r="AI230" i="57" s="1"/>
  <c r="AJ230" i="57" s="1"/>
  <c r="AK230" i="57" s="1"/>
  <c r="S228" i="57"/>
  <c r="T228" i="57" s="1"/>
  <c r="U228" i="57" s="1"/>
  <c r="V228" i="57" s="1"/>
  <c r="W228" i="57" s="1"/>
  <c r="X228" i="57" s="1"/>
  <c r="Y228" i="57" s="1"/>
  <c r="Z228" i="57" s="1"/>
  <c r="AA228" i="57" s="1"/>
  <c r="S230" i="57"/>
  <c r="T230" i="57" s="1"/>
  <c r="U230" i="57" s="1"/>
  <c r="V230" i="57" s="1"/>
  <c r="W230" i="57" s="1"/>
  <c r="X230" i="57" s="1"/>
  <c r="Y230" i="57" s="1"/>
  <c r="Z230" i="57" s="1"/>
  <c r="AA230" i="57" s="1"/>
  <c r="W122" i="56"/>
  <c r="V143" i="56" s="1"/>
  <c r="S98" i="47" s="1"/>
  <c r="AC229" i="57"/>
  <c r="AD229" i="57" s="1"/>
  <c r="AE229" i="57" s="1"/>
  <c r="AF229" i="57" s="1"/>
  <c r="AG229" i="57" s="1"/>
  <c r="AH229" i="57" s="1"/>
  <c r="AI229" i="57" s="1"/>
  <c r="AJ229" i="57" s="1"/>
  <c r="AK229" i="57" s="1"/>
  <c r="K163" i="57"/>
  <c r="AV230" i="57" s="1"/>
  <c r="AW230" i="57" s="1"/>
  <c r="AX230" i="57" s="1"/>
  <c r="W151" i="57"/>
  <c r="K151" i="57" s="1"/>
  <c r="K188" i="57" s="1"/>
  <c r="K161" i="57"/>
  <c r="W149" i="57"/>
  <c r="K149" i="57" s="1"/>
  <c r="K186" i="57" s="1"/>
  <c r="K162" i="57"/>
  <c r="AM229" i="57" s="1"/>
  <c r="AN229" i="57" s="1"/>
  <c r="AO229" i="57" s="1"/>
  <c r="AP229" i="57" s="1"/>
  <c r="AQ229" i="57" s="1"/>
  <c r="AR229" i="57" s="1"/>
  <c r="AS229" i="57" s="1"/>
  <c r="AT229" i="57" s="1"/>
  <c r="AU229" i="57" s="1"/>
  <c r="AV229" i="57" s="1"/>
  <c r="AW229" i="57" s="1"/>
  <c r="AX229" i="57" s="1"/>
  <c r="W150" i="57"/>
  <c r="K150" i="57" s="1"/>
  <c r="K187" i="57" s="1"/>
  <c r="AE132" i="56"/>
  <c r="AB87" i="47" s="1"/>
  <c r="AG144" i="56"/>
  <c r="AD99" i="47" s="1"/>
  <c r="S216" i="57"/>
  <c r="W183" i="57"/>
  <c r="AO141" i="56"/>
  <c r="AL96" i="47" s="1"/>
  <c r="X117" i="56"/>
  <c r="W138" i="56" s="1"/>
  <c r="T93" i="47" s="1"/>
  <c r="AN139" i="56"/>
  <c r="AK94" i="47" s="1"/>
  <c r="AY118" i="56"/>
  <c r="AP139" i="56" s="1"/>
  <c r="AM94" i="47" s="1"/>
  <c r="AG113" i="56"/>
  <c r="AH113" i="56" s="1"/>
  <c r="AG121" i="56"/>
  <c r="AF142" i="56" s="1"/>
  <c r="AC97" i="47" s="1"/>
  <c r="U139" i="56"/>
  <c r="R94" i="47" s="1"/>
  <c r="W118" i="56"/>
  <c r="AO135" i="56"/>
  <c r="AL90" i="47" s="1"/>
  <c r="U140" i="56"/>
  <c r="R95" i="47" s="1"/>
  <c r="V181" i="56"/>
  <c r="AN141" i="56"/>
  <c r="AK96" i="47" s="1"/>
  <c r="AO134" i="56"/>
  <c r="AL89" i="47" s="1"/>
  <c r="AY111" i="56"/>
  <c r="AP132" i="56" s="1"/>
  <c r="AM87" i="47" s="1"/>
  <c r="AY115" i="56"/>
  <c r="AP136" i="56" s="1"/>
  <c r="AM91" i="47" s="1"/>
  <c r="AX119" i="56"/>
  <c r="AO140" i="56" s="1"/>
  <c r="AL95" i="47" s="1"/>
  <c r="AN135" i="56"/>
  <c r="AK90" i="47" s="1"/>
  <c r="AN134" i="56"/>
  <c r="AK89" i="47" s="1"/>
  <c r="T201" i="57"/>
  <c r="U201" i="57" s="1"/>
  <c r="V201" i="57" s="1"/>
  <c r="W201" i="57" s="1"/>
  <c r="X201" i="57" s="1"/>
  <c r="Y201" i="57" s="1"/>
  <c r="Z201" i="57" s="1"/>
  <c r="AA201" i="57" s="1"/>
  <c r="AB201" i="57" s="1"/>
  <c r="S215" i="57"/>
  <c r="AS112" i="56"/>
  <c r="AT112" i="56" s="1"/>
  <c r="AU112" i="56" s="1"/>
  <c r="AV112" i="56" s="1"/>
  <c r="AW112" i="56" s="1"/>
  <c r="AN133" i="56" s="1"/>
  <c r="AK88" i="47" s="1"/>
  <c r="AX116" i="56"/>
  <c r="AN136" i="56"/>
  <c r="AK91" i="47" s="1"/>
  <c r="AC201" i="57"/>
  <c r="AD201" i="57" s="1"/>
  <c r="AE201" i="57" s="1"/>
  <c r="AF201" i="57" s="1"/>
  <c r="AG201" i="57" s="1"/>
  <c r="AH201" i="57" s="1"/>
  <c r="AI201" i="57" s="1"/>
  <c r="AJ201" i="57" s="1"/>
  <c r="AK201" i="57" s="1"/>
  <c r="AL201" i="57" s="1"/>
  <c r="X111" i="56"/>
  <c r="W132" i="56" s="1"/>
  <c r="T87" i="47" s="1"/>
  <c r="AS122" i="56"/>
  <c r="AT122" i="56" s="1"/>
  <c r="AU122" i="56" s="1"/>
  <c r="AV122" i="56" s="1"/>
  <c r="AW122" i="56" s="1"/>
  <c r="AX122" i="56" s="1"/>
  <c r="AO143" i="56" s="1"/>
  <c r="AL98" i="47" s="1"/>
  <c r="AX117" i="56"/>
  <c r="AO138" i="56" s="1"/>
  <c r="AL93" i="47" s="1"/>
  <c r="AN132" i="56"/>
  <c r="AK87" i="47" s="1"/>
  <c r="AG119" i="56"/>
  <c r="AH119" i="56" s="1"/>
  <c r="W121" i="56"/>
  <c r="V142" i="56" s="1"/>
  <c r="AB216" i="57"/>
  <c r="Y101" i="47" s="1"/>
  <c r="T202" i="57"/>
  <c r="U202" i="57" s="1"/>
  <c r="V202" i="57" s="1"/>
  <c r="W202" i="57" s="1"/>
  <c r="X202" i="57" s="1"/>
  <c r="Y202" i="57" s="1"/>
  <c r="Z202" i="57" s="1"/>
  <c r="AA202" i="57" s="1"/>
  <c r="AB202" i="57" s="1"/>
  <c r="U136" i="56"/>
  <c r="R91" i="47" s="1"/>
  <c r="W115" i="56"/>
  <c r="AY121" i="56"/>
  <c r="AP142" i="56" s="1"/>
  <c r="AM97" i="47" s="1"/>
  <c r="AL215" i="57"/>
  <c r="AI102" i="47" s="1"/>
  <c r="AC215" i="57"/>
  <c r="Z102" i="47" s="1"/>
  <c r="AM201" i="57"/>
  <c r="AM200" i="57"/>
  <c r="AL214" i="57"/>
  <c r="AI100" i="47" s="1"/>
  <c r="AM202" i="57"/>
  <c r="AD202" i="57"/>
  <c r="AE202" i="57" s="1"/>
  <c r="AF202" i="57" s="1"/>
  <c r="AG202" i="57" s="1"/>
  <c r="AH202" i="57" s="1"/>
  <c r="AI202" i="57" s="1"/>
  <c r="AJ202" i="57" s="1"/>
  <c r="AK202" i="57" s="1"/>
  <c r="AL202" i="57" s="1"/>
  <c r="AL216" i="57"/>
  <c r="AI101" i="47" s="1"/>
  <c r="AC200" i="57"/>
  <c r="AD200" i="57" s="1"/>
  <c r="AE200" i="57" s="1"/>
  <c r="AF200" i="57" s="1"/>
  <c r="AG200" i="57" s="1"/>
  <c r="AH200" i="57" s="1"/>
  <c r="AI200" i="57" s="1"/>
  <c r="AJ200" i="57" s="1"/>
  <c r="AK200" i="57" s="1"/>
  <c r="AL200" i="57" s="1"/>
  <c r="AB214" i="57"/>
  <c r="Y100" i="47" s="1"/>
  <c r="T200" i="57"/>
  <c r="U200" i="57" s="1"/>
  <c r="V200" i="57" s="1"/>
  <c r="W200" i="57" s="1"/>
  <c r="X200" i="57" s="1"/>
  <c r="Y200" i="57" s="1"/>
  <c r="Z200" i="57" s="1"/>
  <c r="AA200" i="57" s="1"/>
  <c r="AB200" i="57" s="1"/>
  <c r="S214" i="57"/>
  <c r="P100" i="47" s="1"/>
  <c r="AH50" i="29"/>
  <c r="AI50" i="29" s="1"/>
  <c r="U133" i="56"/>
  <c r="R88" i="47" s="1"/>
  <c r="W112" i="56"/>
  <c r="AF108" i="47"/>
  <c r="AJ51" i="29"/>
  <c r="AI108" i="47"/>
  <c r="AD85" i="47"/>
  <c r="AH49" i="29"/>
  <c r="AE84" i="47"/>
  <c r="AI48" i="29"/>
  <c r="AM228" i="57"/>
  <c r="AN228" i="57" s="1"/>
  <c r="AO228" i="57" s="1"/>
  <c r="AP228" i="57" s="1"/>
  <c r="AQ228" i="57" s="1"/>
  <c r="AR228" i="57" s="1"/>
  <c r="AS228" i="57" s="1"/>
  <c r="AT228" i="57" s="1"/>
  <c r="AU228" i="57" s="1"/>
  <c r="AV228" i="57" s="1"/>
  <c r="AW228" i="57" s="1"/>
  <c r="AX228" i="57" s="1"/>
  <c r="W89" i="56"/>
  <c r="V140" i="56"/>
  <c r="S95" i="47" s="1"/>
  <c r="X119" i="56"/>
  <c r="W141" i="56"/>
  <c r="T96" i="47" s="1"/>
  <c r="Y120" i="56"/>
  <c r="AE76" i="56"/>
  <c r="AE79" i="56" s="1"/>
  <c r="AE80" i="56" s="1"/>
  <c r="AE182" i="56"/>
  <c r="AH144" i="56"/>
  <c r="AE99" i="47" s="1"/>
  <c r="AJ123" i="56"/>
  <c r="X80" i="56"/>
  <c r="X96" i="56"/>
  <c r="X31" i="55"/>
  <c r="T129" i="47"/>
  <c r="Y33" i="55"/>
  <c r="U130" i="47"/>
  <c r="AJ79" i="56"/>
  <c r="AJ80" i="56" s="1"/>
  <c r="V134" i="56"/>
  <c r="S89" i="47" s="1"/>
  <c r="X113" i="56"/>
  <c r="X100" i="56"/>
  <c r="X84" i="56"/>
  <c r="AE137" i="56"/>
  <c r="AB92" i="47" s="1"/>
  <c r="AG116" i="56"/>
  <c r="AF132" i="56"/>
  <c r="AC87" i="47" s="1"/>
  <c r="AH111" i="56"/>
  <c r="V137" i="56"/>
  <c r="S92" i="47" s="1"/>
  <c r="X116" i="56"/>
  <c r="AF181" i="56"/>
  <c r="V182" i="56"/>
  <c r="G173" i="57"/>
  <c r="G176" i="57"/>
  <c r="G177" i="57"/>
  <c r="G179" i="57"/>
  <c r="G178" i="57"/>
  <c r="G175" i="57"/>
  <c r="V135" i="56"/>
  <c r="S90" i="47" s="1"/>
  <c r="X114" i="56"/>
  <c r="Z28" i="55"/>
  <c r="V127" i="47"/>
  <c r="T135" i="47"/>
  <c r="X27" i="55"/>
  <c r="X77" i="56"/>
  <c r="X93" i="56"/>
  <c r="X94" i="56"/>
  <c r="X78" i="56"/>
  <c r="X144" i="56"/>
  <c r="U99" i="47" s="1"/>
  <c r="Z123" i="56"/>
  <c r="H60" i="57"/>
  <c r="G60" i="57"/>
  <c r="X36" i="55"/>
  <c r="T133" i="47"/>
  <c r="X183" i="56"/>
  <c r="R89" i="56"/>
  <c r="X95" i="56"/>
  <c r="X79" i="56"/>
  <c r="Q60" i="57"/>
  <c r="K60" i="57" s="1"/>
  <c r="K59" i="57"/>
  <c r="Y32" i="55"/>
  <c r="U131" i="47"/>
  <c r="Y37" i="55"/>
  <c r="U134" i="47"/>
  <c r="AE135" i="56"/>
  <c r="AB90" i="47" s="1"/>
  <c r="AG114" i="56"/>
  <c r="AF141" i="56"/>
  <c r="AC96" i="47" s="1"/>
  <c r="AH120" i="56"/>
  <c r="X85" i="56"/>
  <c r="X101" i="56"/>
  <c r="G174" i="57"/>
  <c r="X97" i="56"/>
  <c r="X81" i="56"/>
  <c r="AE133" i="56"/>
  <c r="AB88" i="47" s="1"/>
  <c r="AG112" i="56"/>
  <c r="AE136" i="56"/>
  <c r="AB91" i="47" s="1"/>
  <c r="AG115" i="56"/>
  <c r="Y34" i="55"/>
  <c r="U128" i="47"/>
  <c r="X83" i="56"/>
  <c r="X99" i="56"/>
  <c r="AE139" i="56"/>
  <c r="AB94" i="47" s="1"/>
  <c r="AG118" i="56"/>
  <c r="AE143" i="56"/>
  <c r="AB98" i="47" s="1"/>
  <c r="AG122" i="56"/>
  <c r="AE138" i="56"/>
  <c r="AB93" i="47" s="1"/>
  <c r="AG117" i="56"/>
  <c r="X98" i="56"/>
  <c r="X82" i="56"/>
  <c r="AP181" i="56"/>
  <c r="AN26" i="35"/>
  <c r="AJ7" i="47"/>
  <c r="AJ5" i="47"/>
  <c r="AN22" i="35"/>
  <c r="AN24" i="35"/>
  <c r="AJ9" i="47"/>
  <c r="AO25" i="35"/>
  <c r="AK6" i="47"/>
  <c r="AN23" i="35"/>
  <c r="AJ8" i="47"/>
  <c r="T216" i="57" l="1"/>
  <c r="Q101" i="47" s="1"/>
  <c r="P101" i="47"/>
  <c r="T215" i="57"/>
  <c r="P102" i="47"/>
  <c r="W181" i="56"/>
  <c r="S97" i="47"/>
  <c r="AN245" i="58"/>
  <c r="AO223" i="58"/>
  <c r="AO225" i="58"/>
  <c r="AO224" i="58"/>
  <c r="AO221" i="58"/>
  <c r="AO220" i="58"/>
  <c r="AO222" i="58"/>
  <c r="AQ45" i="58"/>
  <c r="AQ51" i="58" s="1"/>
  <c r="AQ44" i="58"/>
  <c r="AQ50" i="58" s="1"/>
  <c r="AQ46" i="58"/>
  <c r="AQ52" i="58" s="1"/>
  <c r="AQ43" i="58"/>
  <c r="AQ49" i="58" s="1"/>
  <c r="AP200" i="58"/>
  <c r="AP199" i="58"/>
  <c r="AP203" i="58"/>
  <c r="AP204" i="58"/>
  <c r="AP198" i="58"/>
  <c r="AP205" i="58"/>
  <c r="AP202" i="58"/>
  <c r="AP197" i="58"/>
  <c r="AP201" i="58"/>
  <c r="AP176" i="58"/>
  <c r="AP235" i="58" s="1"/>
  <c r="AP178" i="58"/>
  <c r="AP237" i="58" s="1"/>
  <c r="AP179" i="58"/>
  <c r="AP238" i="58" s="1"/>
  <c r="AP180" i="58"/>
  <c r="AP239" i="58" s="1"/>
  <c r="AP174" i="58"/>
  <c r="AP233" i="58" s="1"/>
  <c r="AP175" i="58"/>
  <c r="AP234" i="58" s="1"/>
  <c r="AP177" i="58"/>
  <c r="AP236" i="58" s="1"/>
  <c r="AP53" i="58"/>
  <c r="AP182" i="58"/>
  <c r="AP241" i="58" s="1"/>
  <c r="AP181" i="58"/>
  <c r="AP240" i="58" s="1"/>
  <c r="AP215" i="58"/>
  <c r="AP214" i="58"/>
  <c r="AP208" i="58"/>
  <c r="AP213" i="58"/>
  <c r="AP210" i="58"/>
  <c r="AP216" i="58"/>
  <c r="AP209" i="58"/>
  <c r="AP212" i="58"/>
  <c r="AP211" i="58"/>
  <c r="AR167" i="58"/>
  <c r="AR166" i="58"/>
  <c r="AR164" i="58"/>
  <c r="AR162" i="58"/>
  <c r="AR165" i="58"/>
  <c r="AR169" i="58"/>
  <c r="AR163" i="58"/>
  <c r="AR168" i="58"/>
  <c r="AR170" i="58"/>
  <c r="AR36" i="58"/>
  <c r="AR41" i="58" s="1"/>
  <c r="AP188" i="58"/>
  <c r="AP189" i="58"/>
  <c r="AP193" i="58"/>
  <c r="AP191" i="58"/>
  <c r="AP194" i="58"/>
  <c r="AP192" i="58"/>
  <c r="AP186" i="58"/>
  <c r="AP190" i="58"/>
  <c r="AP187" i="58"/>
  <c r="AO228" i="58"/>
  <c r="AU23" i="58"/>
  <c r="AT31" i="58"/>
  <c r="AT34" i="58" s="1"/>
  <c r="AO226" i="58"/>
  <c r="AS35" i="58"/>
  <c r="AS156" i="58"/>
  <c r="AS159" i="58"/>
  <c r="AS155" i="58"/>
  <c r="AS152" i="58"/>
  <c r="AS151" i="58"/>
  <c r="AS157" i="58"/>
  <c r="AS153" i="58"/>
  <c r="AS154" i="58"/>
  <c r="AS158" i="58"/>
  <c r="AO227" i="58"/>
  <c r="AT24" i="58"/>
  <c r="X122" i="56"/>
  <c r="Y122" i="56" s="1"/>
  <c r="AF134" i="56"/>
  <c r="AC89" i="47" s="1"/>
  <c r="G181" i="57"/>
  <c r="G182" i="57" s="1"/>
  <c r="AN200" i="57"/>
  <c r="AO200" i="57" s="1"/>
  <c r="AP200" i="57" s="1"/>
  <c r="AQ200" i="57" s="1"/>
  <c r="AM230" i="57"/>
  <c r="AN230" i="57" s="1"/>
  <c r="AO230" i="57" s="1"/>
  <c r="AP230" i="57" s="1"/>
  <c r="AQ230" i="57" s="1"/>
  <c r="AR230" i="57" s="1"/>
  <c r="AS230" i="57" s="1"/>
  <c r="AT230" i="57" s="1"/>
  <c r="AU230" i="57" s="1"/>
  <c r="AH183" i="56"/>
  <c r="Y117" i="56"/>
  <c r="X138" i="56" s="1"/>
  <c r="U93" i="47" s="1"/>
  <c r="AH121" i="56"/>
  <c r="AI121" i="56" s="1"/>
  <c r="AY122" i="56"/>
  <c r="AP143" i="56" s="1"/>
  <c r="AM98" i="47" s="1"/>
  <c r="X118" i="56"/>
  <c r="V139" i="56"/>
  <c r="S94" i="47" s="1"/>
  <c r="AN202" i="57"/>
  <c r="AO202" i="57" s="1"/>
  <c r="AP202" i="57" s="1"/>
  <c r="AQ202" i="57" s="1"/>
  <c r="Y111" i="56"/>
  <c r="X132" i="56" s="1"/>
  <c r="U87" i="47" s="1"/>
  <c r="AY119" i="56"/>
  <c r="AP140" i="56" s="1"/>
  <c r="AM95" i="47" s="1"/>
  <c r="X121" i="56"/>
  <c r="AF140" i="56"/>
  <c r="AC95" i="47" s="1"/>
  <c r="AX112" i="56"/>
  <c r="AY112" i="56" s="1"/>
  <c r="AP133" i="56" s="1"/>
  <c r="AM88" i="47" s="1"/>
  <c r="AQ181" i="56"/>
  <c r="AY117" i="56"/>
  <c r="AP138" i="56" s="1"/>
  <c r="AM93" i="47" s="1"/>
  <c r="AY116" i="56"/>
  <c r="AP137" i="56" s="1"/>
  <c r="AM92" i="47" s="1"/>
  <c r="AO137" i="56"/>
  <c r="AL92" i="47" s="1"/>
  <c r="AN201" i="57"/>
  <c r="AO201" i="57" s="1"/>
  <c r="AP201" i="57" s="1"/>
  <c r="AQ201" i="57" s="1"/>
  <c r="AC216" i="57"/>
  <c r="AN143" i="56"/>
  <c r="AE86" i="47"/>
  <c r="V136" i="56"/>
  <c r="S91" i="47" s="1"/>
  <c r="X115" i="56"/>
  <c r="AC214" i="57"/>
  <c r="AD215" i="57"/>
  <c r="AA102" i="47" s="1"/>
  <c r="T214" i="57"/>
  <c r="Q100" i="47" s="1"/>
  <c r="V133" i="56"/>
  <c r="S88" i="47" s="1"/>
  <c r="X112" i="56"/>
  <c r="AG108" i="47"/>
  <c r="AK51" i="29"/>
  <c r="AH108" i="47" s="1"/>
  <c r="AF84" i="47"/>
  <c r="AJ48" i="29"/>
  <c r="AE85" i="47"/>
  <c r="AI49" i="29"/>
  <c r="AF86" i="47"/>
  <c r="AJ50" i="29"/>
  <c r="X89" i="56"/>
  <c r="Z32" i="55"/>
  <c r="V131" i="47"/>
  <c r="Y144" i="56"/>
  <c r="V99" i="47" s="1"/>
  <c r="AA123" i="56"/>
  <c r="Y183" i="56"/>
  <c r="AG132" i="56"/>
  <c r="AD87" i="47" s="1"/>
  <c r="AI111" i="56"/>
  <c r="AG140" i="56"/>
  <c r="AD95" i="47" s="1"/>
  <c r="AI119" i="56"/>
  <c r="Z33" i="55"/>
  <c r="V130" i="47"/>
  <c r="W137" i="56"/>
  <c r="T92" i="47" s="1"/>
  <c r="Y116" i="56"/>
  <c r="AG181" i="56"/>
  <c r="W140" i="56"/>
  <c r="T95" i="47" s="1"/>
  <c r="Y119" i="56"/>
  <c r="AF138" i="56"/>
  <c r="AC93" i="47" s="1"/>
  <c r="AH117" i="56"/>
  <c r="AP182" i="56"/>
  <c r="AK79" i="56"/>
  <c r="AK80" i="56" s="1"/>
  <c r="Y27" i="55"/>
  <c r="U135" i="47"/>
  <c r="W134" i="56"/>
  <c r="T89" i="47" s="1"/>
  <c r="Y113" i="56"/>
  <c r="AF143" i="56"/>
  <c r="AC98" i="47" s="1"/>
  <c r="AH122" i="56"/>
  <c r="V128" i="47"/>
  <c r="Z34" i="55"/>
  <c r="AG134" i="56"/>
  <c r="AD89" i="47" s="1"/>
  <c r="AI113" i="56"/>
  <c r="AF137" i="56"/>
  <c r="AC92" i="47" s="1"/>
  <c r="AH116" i="56"/>
  <c r="W135" i="56"/>
  <c r="T90" i="47" s="1"/>
  <c r="Y114" i="56"/>
  <c r="AF182" i="56"/>
  <c r="Y36" i="55"/>
  <c r="U133" i="47"/>
  <c r="Y31" i="55"/>
  <c r="U129" i="47"/>
  <c r="AG141" i="56"/>
  <c r="AD96" i="47" s="1"/>
  <c r="AI120" i="56"/>
  <c r="AF139" i="56"/>
  <c r="AC94" i="47" s="1"/>
  <c r="AH118" i="56"/>
  <c r="AA28" i="55"/>
  <c r="W127" i="47"/>
  <c r="AF133" i="56"/>
  <c r="AC88" i="47" s="1"/>
  <c r="AH112" i="56"/>
  <c r="AF136" i="56"/>
  <c r="AC91" i="47" s="1"/>
  <c r="AH115" i="56"/>
  <c r="AF135" i="56"/>
  <c r="AC90" i="47" s="1"/>
  <c r="AH114" i="56"/>
  <c r="W182" i="56"/>
  <c r="X141" i="56"/>
  <c r="U96" i="47" s="1"/>
  <c r="Z120" i="56"/>
  <c r="AI183" i="56"/>
  <c r="V134" i="47"/>
  <c r="Z37" i="55"/>
  <c r="AI144" i="56"/>
  <c r="AF99" i="47" s="1"/>
  <c r="AK123" i="56"/>
  <c r="AO23" i="35"/>
  <c r="AK8" i="47"/>
  <c r="AP25" i="35"/>
  <c r="AM6" i="47" s="1"/>
  <c r="AL6" i="47"/>
  <c r="AK5" i="47"/>
  <c r="AO22" i="35"/>
  <c r="AK9" i="47"/>
  <c r="AO24" i="35"/>
  <c r="AO26" i="35"/>
  <c r="AK7" i="47"/>
  <c r="U216" i="57" l="1"/>
  <c r="R101" i="47" s="1"/>
  <c r="AD214" i="57"/>
  <c r="AA100" i="47" s="1"/>
  <c r="Z100" i="47"/>
  <c r="AO182" i="56"/>
  <c r="AK98" i="47"/>
  <c r="AD216" i="57"/>
  <c r="Z101" i="47"/>
  <c r="U215" i="57"/>
  <c r="Q102" i="47"/>
  <c r="AO245" i="58"/>
  <c r="Z117" i="56"/>
  <c r="AA117" i="56" s="1"/>
  <c r="AP224" i="58"/>
  <c r="AP226" i="58"/>
  <c r="AP221" i="58"/>
  <c r="AP220" i="58"/>
  <c r="AP223" i="58"/>
  <c r="AU24" i="58"/>
  <c r="AG142" i="56"/>
  <c r="AD97" i="47" s="1"/>
  <c r="W143" i="56"/>
  <c r="T98" i="47" s="1"/>
  <c r="AP225" i="58"/>
  <c r="AP227" i="58"/>
  <c r="AS168" i="58"/>
  <c r="AS162" i="58"/>
  <c r="AS169" i="58"/>
  <c r="AS166" i="58"/>
  <c r="AS165" i="58"/>
  <c r="AS170" i="58"/>
  <c r="AS164" i="58"/>
  <c r="AS167" i="58"/>
  <c r="AS163" i="58"/>
  <c r="AS36" i="58"/>
  <c r="AS41" i="58" s="1"/>
  <c r="AP222" i="58"/>
  <c r="AT35" i="58"/>
  <c r="AT159" i="58"/>
  <c r="AT155" i="58"/>
  <c r="AT156" i="58"/>
  <c r="AT151" i="58"/>
  <c r="AT153" i="58"/>
  <c r="AT154" i="58"/>
  <c r="AT152" i="58"/>
  <c r="AT157" i="58"/>
  <c r="AT158" i="58"/>
  <c r="AR45" i="58"/>
  <c r="AR51" i="58" s="1"/>
  <c r="AR43" i="58"/>
  <c r="AR49" i="58" s="1"/>
  <c r="AR44" i="58"/>
  <c r="AR50" i="58" s="1"/>
  <c r="AR46" i="58"/>
  <c r="AR52" i="58" s="1"/>
  <c r="AU31" i="58"/>
  <c r="AU34" i="58" s="1"/>
  <c r="AV23" i="58"/>
  <c r="AQ179" i="58"/>
  <c r="AQ238" i="58" s="1"/>
  <c r="AM253" i="58" s="1"/>
  <c r="AJ117" i="47" s="1"/>
  <c r="AQ181" i="58"/>
  <c r="AQ240" i="58" s="1"/>
  <c r="AM255" i="58" s="1"/>
  <c r="AJ116" i="47" s="1"/>
  <c r="AQ180" i="58"/>
  <c r="AQ239" i="58" s="1"/>
  <c r="AM254" i="58" s="1"/>
  <c r="AJ110" i="47" s="1"/>
  <c r="AQ53" i="58"/>
  <c r="AQ176" i="58"/>
  <c r="AQ235" i="58" s="1"/>
  <c r="AM250" i="58" s="1"/>
  <c r="AJ112" i="47" s="1"/>
  <c r="AQ182" i="58"/>
  <c r="AQ241" i="58" s="1"/>
  <c r="AM256" i="58" s="1"/>
  <c r="AJ114" i="47" s="1"/>
  <c r="AQ174" i="58"/>
  <c r="AQ233" i="58" s="1"/>
  <c r="AM248" i="58" s="1"/>
  <c r="AJ109" i="47" s="1"/>
  <c r="AQ177" i="58"/>
  <c r="AQ236" i="58" s="1"/>
  <c r="AM251" i="58" s="1"/>
  <c r="AJ113" i="47" s="1"/>
  <c r="AQ175" i="58"/>
  <c r="AQ234" i="58" s="1"/>
  <c r="AM249" i="58" s="1"/>
  <c r="AJ111" i="47" s="1"/>
  <c r="AQ178" i="58"/>
  <c r="AQ237" i="58" s="1"/>
  <c r="AM252" i="58" s="1"/>
  <c r="AJ115" i="47" s="1"/>
  <c r="AQ211" i="58"/>
  <c r="AQ208" i="58"/>
  <c r="AQ212" i="58"/>
  <c r="AQ215" i="58"/>
  <c r="AQ214" i="58"/>
  <c r="AQ213" i="58"/>
  <c r="AQ210" i="58"/>
  <c r="AQ216" i="58"/>
  <c r="AQ209" i="58"/>
  <c r="AQ186" i="58"/>
  <c r="AQ194" i="58"/>
  <c r="AQ190" i="58"/>
  <c r="AQ193" i="58"/>
  <c r="AQ187" i="58"/>
  <c r="AQ192" i="58"/>
  <c r="AQ189" i="58"/>
  <c r="AQ191" i="58"/>
  <c r="AQ188" i="58"/>
  <c r="AQ198" i="58"/>
  <c r="AQ202" i="58"/>
  <c r="AQ199" i="58"/>
  <c r="AQ205" i="58"/>
  <c r="AQ201" i="58"/>
  <c r="AQ203" i="58"/>
  <c r="AQ200" i="58"/>
  <c r="AQ204" i="58"/>
  <c r="AQ197" i="58"/>
  <c r="AP228" i="58"/>
  <c r="Z111" i="56"/>
  <c r="Y132" i="56" s="1"/>
  <c r="V87" i="47" s="1"/>
  <c r="AQ182" i="56"/>
  <c r="Y118" i="56"/>
  <c r="W139" i="56"/>
  <c r="T94" i="47" s="1"/>
  <c r="AO133" i="56"/>
  <c r="AL88" i="47" s="1"/>
  <c r="W142" i="56"/>
  <c r="T97" i="47" s="1"/>
  <c r="Y121" i="56"/>
  <c r="Y115" i="56"/>
  <c r="W136" i="56"/>
  <c r="T91" i="47" s="1"/>
  <c r="AE215" i="57"/>
  <c r="AB102" i="47" s="1"/>
  <c r="U214" i="57"/>
  <c r="R100" i="47" s="1"/>
  <c r="Y112" i="56"/>
  <c r="W133" i="56"/>
  <c r="T88" i="47" s="1"/>
  <c r="AG86" i="47"/>
  <c r="AK50" i="29"/>
  <c r="AH86" i="47" s="1"/>
  <c r="AF85" i="47"/>
  <c r="AJ49" i="29"/>
  <c r="AK48" i="29"/>
  <c r="AH84" i="47" s="1"/>
  <c r="AG84" i="47"/>
  <c r="AJ183" i="56"/>
  <c r="AH142" i="56"/>
  <c r="AE97" i="47" s="1"/>
  <c r="AJ121" i="56"/>
  <c r="X143" i="56"/>
  <c r="U98" i="47" s="1"/>
  <c r="Z122" i="56"/>
  <c r="Z36" i="55"/>
  <c r="V133" i="47"/>
  <c r="AG138" i="56"/>
  <c r="AD93" i="47" s="1"/>
  <c r="AI117" i="56"/>
  <c r="AH140" i="56"/>
  <c r="AE95" i="47" s="1"/>
  <c r="AJ119" i="56"/>
  <c r="X135" i="56"/>
  <c r="U90" i="47" s="1"/>
  <c r="Z114" i="56"/>
  <c r="AH134" i="56"/>
  <c r="AE89" i="47" s="1"/>
  <c r="AJ113" i="56"/>
  <c r="AA37" i="55"/>
  <c r="W134" i="47"/>
  <c r="X137" i="56"/>
  <c r="U92" i="47" s="1"/>
  <c r="Z116" i="56"/>
  <c r="V129" i="47"/>
  <c r="Z31" i="55"/>
  <c r="X140" i="56"/>
  <c r="U95" i="47" s="1"/>
  <c r="Z119" i="56"/>
  <c r="Z144" i="56"/>
  <c r="W99" i="47" s="1"/>
  <c r="AB123" i="56"/>
  <c r="AA144" i="56" s="1"/>
  <c r="X99" i="47" s="1"/>
  <c r="AA34" i="55"/>
  <c r="W128" i="47"/>
  <c r="Z183" i="56"/>
  <c r="AJ144" i="56"/>
  <c r="AG99" i="47" s="1"/>
  <c r="AL123" i="56"/>
  <c r="AK144" i="56" s="1"/>
  <c r="AH99" i="47" s="1"/>
  <c r="V135" i="47"/>
  <c r="Z27" i="55"/>
  <c r="AH132" i="56"/>
  <c r="AE87" i="47" s="1"/>
  <c r="AJ111" i="56"/>
  <c r="AG139" i="56"/>
  <c r="AD94" i="47" s="1"/>
  <c r="AI118" i="56"/>
  <c r="AG137" i="56"/>
  <c r="AD92" i="47" s="1"/>
  <c r="AI116" i="56"/>
  <c r="AG143" i="56"/>
  <c r="AD98" i="47" s="1"/>
  <c r="AI122" i="56"/>
  <c r="AA32" i="55"/>
  <c r="W131" i="47"/>
  <c r="X127" i="47"/>
  <c r="AB28" i="55"/>
  <c r="AG182" i="56"/>
  <c r="AG135" i="56"/>
  <c r="AD90" i="47" s="1"/>
  <c r="AI114" i="56"/>
  <c r="AG136" i="56"/>
  <c r="AD91" i="47" s="1"/>
  <c r="AI115" i="56"/>
  <c r="AG133" i="56"/>
  <c r="AD88" i="47" s="1"/>
  <c r="AI112" i="56"/>
  <c r="AH141" i="56"/>
  <c r="AE96" i="47" s="1"/>
  <c r="AJ120" i="56"/>
  <c r="X134" i="56"/>
  <c r="U89" i="47" s="1"/>
  <c r="Z113" i="56"/>
  <c r="Y141" i="56"/>
  <c r="V96" i="47" s="1"/>
  <c r="AA120" i="56"/>
  <c r="AA33" i="55"/>
  <c r="W130" i="47"/>
  <c r="AL7" i="47"/>
  <c r="AP26" i="35"/>
  <c r="AM7" i="47" s="1"/>
  <c r="AP24" i="35"/>
  <c r="AM9" i="47" s="1"/>
  <c r="AL9" i="47"/>
  <c r="AP22" i="35"/>
  <c r="AM5" i="47" s="1"/>
  <c r="AL5" i="47"/>
  <c r="AP23" i="35"/>
  <c r="AM8" i="47" s="1"/>
  <c r="AL8" i="47"/>
  <c r="AH181" i="56" l="1"/>
  <c r="AE214" i="57"/>
  <c r="AB100" i="47" s="1"/>
  <c r="V216" i="57"/>
  <c r="W216" i="57" s="1"/>
  <c r="T101" i="47" s="1"/>
  <c r="Y138" i="56"/>
  <c r="V93" i="47" s="1"/>
  <c r="R102" i="47"/>
  <c r="V215" i="57"/>
  <c r="AE216" i="57"/>
  <c r="AA101" i="47"/>
  <c r="X182" i="56"/>
  <c r="AP245" i="58"/>
  <c r="AA111" i="56"/>
  <c r="Z132" i="56" s="1"/>
  <c r="W87" i="47" s="1"/>
  <c r="AV24" i="58"/>
  <c r="AQ223" i="58"/>
  <c r="AM261" i="58" s="1"/>
  <c r="AJ122" i="47" s="1"/>
  <c r="AQ221" i="58"/>
  <c r="AM259" i="58" s="1"/>
  <c r="AJ120" i="47" s="1"/>
  <c r="AR53" i="58"/>
  <c r="AR182" i="58"/>
  <c r="AR241" i="58" s="1"/>
  <c r="AR178" i="58"/>
  <c r="AR237" i="58" s="1"/>
  <c r="AR174" i="58"/>
  <c r="AR233" i="58" s="1"/>
  <c r="AR177" i="58"/>
  <c r="AR236" i="58" s="1"/>
  <c r="AR181" i="58"/>
  <c r="AR240" i="58" s="1"/>
  <c r="AR175" i="58"/>
  <c r="AR234" i="58" s="1"/>
  <c r="AR176" i="58"/>
  <c r="AR235" i="58" s="1"/>
  <c r="AR179" i="58"/>
  <c r="AR238" i="58" s="1"/>
  <c r="AR180" i="58"/>
  <c r="AR239" i="58" s="1"/>
  <c r="AR202" i="58"/>
  <c r="AR201" i="58"/>
  <c r="AR199" i="58"/>
  <c r="AR205" i="58"/>
  <c r="AR197" i="58"/>
  <c r="AR198" i="58"/>
  <c r="AR204" i="58"/>
  <c r="AR200" i="58"/>
  <c r="AR203" i="58"/>
  <c r="AS44" i="58"/>
  <c r="AS50" i="58" s="1"/>
  <c r="AS45" i="58"/>
  <c r="AS51" i="58" s="1"/>
  <c r="AS46" i="58"/>
  <c r="AS52" i="58" s="1"/>
  <c r="AS43" i="58"/>
  <c r="AS49" i="58" s="1"/>
  <c r="AQ222" i="58"/>
  <c r="AM260" i="58" s="1"/>
  <c r="AJ121" i="47" s="1"/>
  <c r="AQ225" i="58"/>
  <c r="AM263" i="58" s="1"/>
  <c r="AJ126" i="47" s="1"/>
  <c r="AQ226" i="58"/>
  <c r="AM264" i="58" s="1"/>
  <c r="AJ119" i="47" s="1"/>
  <c r="AQ227" i="58"/>
  <c r="AM265" i="58" s="1"/>
  <c r="AJ125" i="47" s="1"/>
  <c r="AV31" i="58"/>
  <c r="AV34" i="58" s="1"/>
  <c r="AQ224" i="58"/>
  <c r="AM262" i="58" s="1"/>
  <c r="AJ124" i="47" s="1"/>
  <c r="AU35" i="58"/>
  <c r="AU159" i="58"/>
  <c r="AU156" i="58"/>
  <c r="AU155" i="58"/>
  <c r="AU151" i="58"/>
  <c r="AU154" i="58"/>
  <c r="AU152" i="58"/>
  <c r="AU158" i="58"/>
  <c r="AU157" i="58"/>
  <c r="AU153" i="58"/>
  <c r="AQ228" i="58"/>
  <c r="AM266" i="58" s="1"/>
  <c r="AJ123" i="47" s="1"/>
  <c r="AR211" i="58"/>
  <c r="AR215" i="58"/>
  <c r="AR216" i="58"/>
  <c r="AR214" i="58"/>
  <c r="AR213" i="58"/>
  <c r="AR209" i="58"/>
  <c r="AR208" i="58"/>
  <c r="AR210" i="58"/>
  <c r="AR212" i="58"/>
  <c r="AQ220" i="58"/>
  <c r="AR186" i="58"/>
  <c r="AR189" i="58"/>
  <c r="AR194" i="58"/>
  <c r="AR190" i="58"/>
  <c r="AR191" i="58"/>
  <c r="AR193" i="58"/>
  <c r="AR192" i="58"/>
  <c r="AR187" i="58"/>
  <c r="AR188" i="58"/>
  <c r="AT166" i="58"/>
  <c r="AT167" i="58"/>
  <c r="AT162" i="58"/>
  <c r="AT170" i="58"/>
  <c r="AT165" i="58"/>
  <c r="AT168" i="58"/>
  <c r="AT169" i="58"/>
  <c r="AT163" i="58"/>
  <c r="AT164" i="58"/>
  <c r="AT36" i="58"/>
  <c r="AT41" i="58" s="1"/>
  <c r="X139" i="56"/>
  <c r="U94" i="47" s="1"/>
  <c r="Z118" i="56"/>
  <c r="X142" i="56"/>
  <c r="U97" i="47" s="1"/>
  <c r="Z121" i="56"/>
  <c r="X181" i="56"/>
  <c r="X136" i="56"/>
  <c r="U91" i="47" s="1"/>
  <c r="Z115" i="56"/>
  <c r="AF215" i="57"/>
  <c r="AC102" i="47" s="1"/>
  <c r="V214" i="57"/>
  <c r="S100" i="47" s="1"/>
  <c r="Z112" i="56"/>
  <c r="X133" i="56"/>
  <c r="U88" i="47" s="1"/>
  <c r="AK49" i="29"/>
  <c r="AH85" i="47" s="1"/>
  <c r="AG85" i="47"/>
  <c r="AB33" i="55"/>
  <c r="X130" i="47"/>
  <c r="AA183" i="56"/>
  <c r="AB37" i="55"/>
  <c r="X134" i="47"/>
  <c r="AH136" i="56"/>
  <c r="AE91" i="47" s="1"/>
  <c r="AJ115" i="56"/>
  <c r="AH143" i="56"/>
  <c r="AE98" i="47" s="1"/>
  <c r="AJ122" i="56"/>
  <c r="AA27" i="55"/>
  <c r="W135" i="47"/>
  <c r="AA31" i="55"/>
  <c r="W129" i="47"/>
  <c r="AI140" i="56"/>
  <c r="AF95" i="47" s="1"/>
  <c r="AK119" i="56"/>
  <c r="AH182" i="56"/>
  <c r="AB34" i="55"/>
  <c r="X128" i="47"/>
  <c r="Z141" i="56"/>
  <c r="W96" i="47" s="1"/>
  <c r="AB120" i="56"/>
  <c r="AA141" i="56" s="1"/>
  <c r="X96" i="47" s="1"/>
  <c r="AH137" i="56"/>
  <c r="AE92" i="47" s="1"/>
  <c r="AJ116" i="56"/>
  <c r="AB183" i="56"/>
  <c r="AI141" i="56"/>
  <c r="AF96" i="47" s="1"/>
  <c r="AK120" i="56"/>
  <c r="AH135" i="56"/>
  <c r="AE90" i="47" s="1"/>
  <c r="AJ114" i="56"/>
  <c r="AI132" i="56"/>
  <c r="AF87" i="47" s="1"/>
  <c r="AK111" i="56"/>
  <c r="AL183" i="56"/>
  <c r="Y143" i="56"/>
  <c r="V98" i="47" s="1"/>
  <c r="AA122" i="56"/>
  <c r="AK183" i="56"/>
  <c r="Y182" i="56"/>
  <c r="Y134" i="56"/>
  <c r="V89" i="47" s="1"/>
  <c r="AA113" i="56"/>
  <c r="Z138" i="56"/>
  <c r="W93" i="47" s="1"/>
  <c r="AB117" i="56"/>
  <c r="AA138" i="56" s="1"/>
  <c r="X93" i="47" s="1"/>
  <c r="AI134" i="56"/>
  <c r="AF89" i="47" s="1"/>
  <c r="AK113" i="56"/>
  <c r="AH138" i="56"/>
  <c r="AE93" i="47" s="1"/>
  <c r="AJ117" i="56"/>
  <c r="AI142" i="56"/>
  <c r="AF97" i="47" s="1"/>
  <c r="AK121" i="56"/>
  <c r="AB32" i="55"/>
  <c r="X131" i="47"/>
  <c r="AI181" i="56"/>
  <c r="AH133" i="56"/>
  <c r="AE88" i="47" s="1"/>
  <c r="AJ112" i="56"/>
  <c r="AH139" i="56"/>
  <c r="AE94" i="47" s="1"/>
  <c r="AJ118" i="56"/>
  <c r="Y140" i="56"/>
  <c r="V95" i="47" s="1"/>
  <c r="AA119" i="56"/>
  <c r="Y137" i="56"/>
  <c r="V92" i="47" s="1"/>
  <c r="AA116" i="56"/>
  <c r="Y135" i="56"/>
  <c r="V90" i="47" s="1"/>
  <c r="AA114" i="56"/>
  <c r="AC28" i="55"/>
  <c r="Y127" i="47"/>
  <c r="AA36" i="55"/>
  <c r="W133" i="47"/>
  <c r="S101" i="47" l="1"/>
  <c r="AF214" i="57"/>
  <c r="AB111" i="56"/>
  <c r="AA132" i="56" s="1"/>
  <c r="X87" i="47" s="1"/>
  <c r="AB101" i="47"/>
  <c r="AF216" i="57"/>
  <c r="S102" i="47"/>
  <c r="W215" i="57"/>
  <c r="X216" i="57"/>
  <c r="AR222" i="58"/>
  <c r="AR227" i="58"/>
  <c r="AR226" i="58"/>
  <c r="AR228" i="58"/>
  <c r="AR225" i="58"/>
  <c r="AR221" i="58"/>
  <c r="AR224" i="58"/>
  <c r="AS181" i="58"/>
  <c r="AS240" i="58" s="1"/>
  <c r="AS178" i="58"/>
  <c r="AS237" i="58" s="1"/>
  <c r="AS174" i="58"/>
  <c r="AS233" i="58" s="1"/>
  <c r="AS180" i="58"/>
  <c r="AS239" i="58" s="1"/>
  <c r="AS177" i="58"/>
  <c r="AS236" i="58" s="1"/>
  <c r="AS179" i="58"/>
  <c r="AS238" i="58" s="1"/>
  <c r="AS176" i="58"/>
  <c r="AS235" i="58" s="1"/>
  <c r="AS182" i="58"/>
  <c r="AS241" i="58" s="1"/>
  <c r="AS175" i="58"/>
  <c r="AS234" i="58" s="1"/>
  <c r="AS53" i="58"/>
  <c r="AT45" i="58"/>
  <c r="AT51" i="58" s="1"/>
  <c r="AT46" i="58"/>
  <c r="AT52" i="58" s="1"/>
  <c r="AT43" i="58"/>
  <c r="AT49" i="58" s="1"/>
  <c r="AT44" i="58"/>
  <c r="AT50" i="58" s="1"/>
  <c r="AS208" i="58"/>
  <c r="AS213" i="58"/>
  <c r="AS209" i="58"/>
  <c r="AS216" i="58"/>
  <c r="AS210" i="58"/>
  <c r="AS212" i="58"/>
  <c r="AS215" i="58"/>
  <c r="AS211" i="58"/>
  <c r="AS214" i="58"/>
  <c r="AS201" i="58"/>
  <c r="AS197" i="58"/>
  <c r="AS205" i="58"/>
  <c r="AS199" i="58"/>
  <c r="AS202" i="58"/>
  <c r="AS198" i="58"/>
  <c r="AS200" i="58"/>
  <c r="AS204" i="58"/>
  <c r="AS203" i="58"/>
  <c r="AS190" i="58"/>
  <c r="AS191" i="58"/>
  <c r="AS186" i="58"/>
  <c r="AS188" i="58"/>
  <c r="AS192" i="58"/>
  <c r="AS194" i="58"/>
  <c r="AS193" i="58"/>
  <c r="AS189" i="58"/>
  <c r="AS187" i="58"/>
  <c r="AU163" i="58"/>
  <c r="AU164" i="58"/>
  <c r="AU168" i="58"/>
  <c r="AU165" i="58"/>
  <c r="AU167" i="58"/>
  <c r="AU170" i="58"/>
  <c r="AU169" i="58"/>
  <c r="AU166" i="58"/>
  <c r="AU162" i="58"/>
  <c r="AU36" i="58"/>
  <c r="AU41" i="58" s="1"/>
  <c r="AR223" i="58"/>
  <c r="AR220" i="58"/>
  <c r="AV35" i="58"/>
  <c r="AV154" i="58"/>
  <c r="AV153" i="58"/>
  <c r="AV158" i="58"/>
  <c r="AV157" i="58"/>
  <c r="AV156" i="58"/>
  <c r="AV159" i="58"/>
  <c r="AV155" i="58"/>
  <c r="AV151" i="58"/>
  <c r="AV152" i="58"/>
  <c r="AQ245" i="58"/>
  <c r="AM258" i="58"/>
  <c r="AJ118" i="47" s="1"/>
  <c r="Y139" i="56"/>
  <c r="V94" i="47" s="1"/>
  <c r="AA118" i="56"/>
  <c r="Y142" i="56"/>
  <c r="V97" i="47" s="1"/>
  <c r="AA121" i="56"/>
  <c r="Y181" i="56"/>
  <c r="AA115" i="56"/>
  <c r="Y136" i="56"/>
  <c r="V91" i="47" s="1"/>
  <c r="AG215" i="57"/>
  <c r="W214" i="57"/>
  <c r="T100" i="47" s="1"/>
  <c r="AA112" i="56"/>
  <c r="Y133" i="56"/>
  <c r="V88" i="47" s="1"/>
  <c r="AB36" i="55"/>
  <c r="X133" i="47"/>
  <c r="AJ181" i="56"/>
  <c r="AI182" i="56"/>
  <c r="Z143" i="56"/>
  <c r="W98" i="47" s="1"/>
  <c r="AB122" i="56"/>
  <c r="AA143" i="56" s="1"/>
  <c r="X98" i="47" s="1"/>
  <c r="AI135" i="56"/>
  <c r="AF90" i="47" s="1"/>
  <c r="AK114" i="56"/>
  <c r="AI143" i="56"/>
  <c r="AF98" i="47" s="1"/>
  <c r="AK122" i="56"/>
  <c r="Z182" i="56"/>
  <c r="Z140" i="56"/>
  <c r="W95" i="47" s="1"/>
  <c r="AB119" i="56"/>
  <c r="AA140" i="56" s="1"/>
  <c r="X95" i="47" s="1"/>
  <c r="AJ141" i="56"/>
  <c r="AG96" i="47" s="1"/>
  <c r="AL120" i="56"/>
  <c r="AK141" i="56" s="1"/>
  <c r="AH96" i="47" s="1"/>
  <c r="Z135" i="56"/>
  <c r="W90" i="47" s="1"/>
  <c r="AB114" i="56"/>
  <c r="AA135" i="56" s="1"/>
  <c r="X90" i="47" s="1"/>
  <c r="AB31" i="55"/>
  <c r="X129" i="47"/>
  <c r="AC37" i="55"/>
  <c r="Y134" i="47"/>
  <c r="AI133" i="56"/>
  <c r="AF88" i="47" s="1"/>
  <c r="AK112" i="56"/>
  <c r="AJ134" i="56"/>
  <c r="AG89" i="47" s="1"/>
  <c r="AL113" i="56"/>
  <c r="AK134" i="56" s="1"/>
  <c r="AH89" i="47" s="1"/>
  <c r="AJ132" i="56"/>
  <c r="AG87" i="47" s="1"/>
  <c r="AL111" i="56"/>
  <c r="AK132" i="56" s="1"/>
  <c r="AH87" i="47" s="1"/>
  <c r="AI136" i="56"/>
  <c r="AF91" i="47" s="1"/>
  <c r="AK115" i="56"/>
  <c r="AI139" i="56"/>
  <c r="AF94" i="47" s="1"/>
  <c r="AK118" i="56"/>
  <c r="AI138" i="56"/>
  <c r="AF93" i="47" s="1"/>
  <c r="AK117" i="56"/>
  <c r="Z137" i="56"/>
  <c r="W92" i="47" s="1"/>
  <c r="AB116" i="56"/>
  <c r="AA137" i="56" s="1"/>
  <c r="X92" i="47" s="1"/>
  <c r="AC32" i="55"/>
  <c r="Y131" i="47"/>
  <c r="AB27" i="55"/>
  <c r="X135" i="47"/>
  <c r="Y130" i="47"/>
  <c r="AC33" i="55"/>
  <c r="AJ142" i="56"/>
  <c r="AG97" i="47" s="1"/>
  <c r="AL121" i="56"/>
  <c r="AK142" i="56" s="1"/>
  <c r="AH97" i="47" s="1"/>
  <c r="AI137" i="56"/>
  <c r="AF92" i="47" s="1"/>
  <c r="AK116" i="56"/>
  <c r="AJ140" i="56"/>
  <c r="AG95" i="47" s="1"/>
  <c r="AL119" i="56"/>
  <c r="AK140" i="56" s="1"/>
  <c r="AH95" i="47" s="1"/>
  <c r="Z134" i="56"/>
  <c r="W89" i="47" s="1"/>
  <c r="AB113" i="56"/>
  <c r="AA134" i="56" s="1"/>
  <c r="X89" i="47" s="1"/>
  <c r="AD28" i="55"/>
  <c r="Z127" i="47"/>
  <c r="AC34" i="55"/>
  <c r="Y128" i="47"/>
  <c r="AC100" i="47" l="1"/>
  <c r="AG214" i="57"/>
  <c r="AS221" i="58"/>
  <c r="Y216" i="57"/>
  <c r="U101" i="47"/>
  <c r="X215" i="57"/>
  <c r="T102" i="47"/>
  <c r="AH215" i="57"/>
  <c r="AE102" i="47" s="1"/>
  <c r="AD102" i="47"/>
  <c r="AC101" i="47"/>
  <c r="AG216" i="57"/>
  <c r="AR245" i="58"/>
  <c r="AS225" i="58"/>
  <c r="AS223" i="58"/>
  <c r="AS228" i="58"/>
  <c r="AS226" i="58"/>
  <c r="AS222" i="58"/>
  <c r="AT210" i="58"/>
  <c r="AT212" i="58"/>
  <c r="AT209" i="58"/>
  <c r="AT215" i="58"/>
  <c r="AT216" i="58"/>
  <c r="AT208" i="58"/>
  <c r="AT214" i="58"/>
  <c r="AT211" i="58"/>
  <c r="AT213" i="58"/>
  <c r="AS220" i="58"/>
  <c r="AT204" i="58"/>
  <c r="AT200" i="58"/>
  <c r="AT203" i="58"/>
  <c r="AT202" i="58"/>
  <c r="AT197" i="58"/>
  <c r="AT198" i="58"/>
  <c r="AT205" i="58"/>
  <c r="AT199" i="58"/>
  <c r="AT201" i="58"/>
  <c r="AS224" i="58"/>
  <c r="AV169" i="58"/>
  <c r="AV162" i="58"/>
  <c r="AV163" i="58"/>
  <c r="AV164" i="58"/>
  <c r="AV167" i="58"/>
  <c r="AV170" i="58"/>
  <c r="AV165" i="58"/>
  <c r="AV168" i="58"/>
  <c r="AV166" i="58"/>
  <c r="AV36" i="58"/>
  <c r="AV41" i="58" s="1"/>
  <c r="AU46" i="58"/>
  <c r="AU52" i="58" s="1"/>
  <c r="AU44" i="58"/>
  <c r="AU50" i="58" s="1"/>
  <c r="AU43" i="58"/>
  <c r="AU49" i="58" s="1"/>
  <c r="AU45" i="58"/>
  <c r="AU51" i="58" s="1"/>
  <c r="AS227" i="58"/>
  <c r="AT193" i="58"/>
  <c r="AT192" i="58"/>
  <c r="AT189" i="58"/>
  <c r="AT191" i="58"/>
  <c r="AT188" i="58"/>
  <c r="AT187" i="58"/>
  <c r="AT190" i="58"/>
  <c r="AT186" i="58"/>
  <c r="AT194" i="58"/>
  <c r="AT181" i="58"/>
  <c r="AT240" i="58" s="1"/>
  <c r="AT53" i="58"/>
  <c r="AT176" i="58"/>
  <c r="AT235" i="58" s="1"/>
  <c r="AT177" i="58"/>
  <c r="AT236" i="58" s="1"/>
  <c r="AT180" i="58"/>
  <c r="AT239" i="58" s="1"/>
  <c r="AT175" i="58"/>
  <c r="AT234" i="58" s="1"/>
  <c r="AT182" i="58"/>
  <c r="AT241" i="58" s="1"/>
  <c r="AT178" i="58"/>
  <c r="AT237" i="58" s="1"/>
  <c r="AT179" i="58"/>
  <c r="AT238" i="58" s="1"/>
  <c r="AT174" i="58"/>
  <c r="AT233" i="58" s="1"/>
  <c r="AB118" i="56"/>
  <c r="AA139" i="56" s="1"/>
  <c r="X94" i="47" s="1"/>
  <c r="Z139" i="56"/>
  <c r="W94" i="47" s="1"/>
  <c r="Z142" i="56"/>
  <c r="W97" i="47" s="1"/>
  <c r="AB121" i="56"/>
  <c r="AA142" i="56" s="1"/>
  <c r="X97" i="47" s="1"/>
  <c r="Z181" i="56"/>
  <c r="Z136" i="56"/>
  <c r="W91" i="47" s="1"/>
  <c r="AB115" i="56"/>
  <c r="AA136" i="56" s="1"/>
  <c r="X91" i="47" s="1"/>
  <c r="X214" i="57"/>
  <c r="U100" i="47" s="1"/>
  <c r="AB112" i="56"/>
  <c r="AA133" i="56" s="1"/>
  <c r="X88" i="47" s="1"/>
  <c r="Z133" i="56"/>
  <c r="W88" i="47" s="1"/>
  <c r="AD34" i="55"/>
  <c r="Z128" i="47"/>
  <c r="AD32" i="55"/>
  <c r="Z131" i="47"/>
  <c r="AC31" i="55"/>
  <c r="Y129" i="47"/>
  <c r="AJ138" i="56"/>
  <c r="AG93" i="47" s="1"/>
  <c r="AL117" i="56"/>
  <c r="AK138" i="56" s="1"/>
  <c r="AH93" i="47" s="1"/>
  <c r="AB182" i="56"/>
  <c r="AJ139" i="56"/>
  <c r="AG94" i="47" s="1"/>
  <c r="AL118" i="56"/>
  <c r="AK139" i="56" s="1"/>
  <c r="AH94" i="47" s="1"/>
  <c r="AA182" i="56"/>
  <c r="AJ136" i="56"/>
  <c r="AG91" i="47" s="1"/>
  <c r="AL115" i="56"/>
  <c r="AK136" i="56" s="1"/>
  <c r="AH91" i="47" s="1"/>
  <c r="AJ133" i="56"/>
  <c r="AG88" i="47" s="1"/>
  <c r="AL112" i="56"/>
  <c r="AK133" i="56" s="1"/>
  <c r="AH88" i="47" s="1"/>
  <c r="AJ143" i="56"/>
  <c r="AG98" i="47" s="1"/>
  <c r="AL122" i="56"/>
  <c r="AK143" i="56" s="1"/>
  <c r="AH98" i="47" s="1"/>
  <c r="AJ182" i="56"/>
  <c r="AJ137" i="56"/>
  <c r="AG92" i="47" s="1"/>
  <c r="AL116" i="56"/>
  <c r="AK137" i="56" s="1"/>
  <c r="AH92" i="47" s="1"/>
  <c r="AL181" i="56"/>
  <c r="AE28" i="55"/>
  <c r="AA127" i="47"/>
  <c r="AK181" i="56"/>
  <c r="AD33" i="55"/>
  <c r="Z130" i="47"/>
  <c r="AJ135" i="56"/>
  <c r="AG90" i="47" s="1"/>
  <c r="AL114" i="56"/>
  <c r="AK135" i="56" s="1"/>
  <c r="AH90" i="47" s="1"/>
  <c r="AC27" i="55"/>
  <c r="Y135" i="47"/>
  <c r="AD37" i="55"/>
  <c r="Z134" i="47"/>
  <c r="AC36" i="55"/>
  <c r="Y133" i="47"/>
  <c r="AI215" i="57" l="1"/>
  <c r="AF102" i="47" s="1"/>
  <c r="AD100" i="47"/>
  <c r="AH214" i="57"/>
  <c r="AH216" i="57"/>
  <c r="AD101" i="47"/>
  <c r="U102" i="47"/>
  <c r="Y215" i="57"/>
  <c r="V101" i="47"/>
  <c r="Z216" i="57"/>
  <c r="AS245" i="58"/>
  <c r="AT220" i="58"/>
  <c r="AT222" i="58"/>
  <c r="AT221" i="58"/>
  <c r="AT225" i="58"/>
  <c r="AT228" i="58"/>
  <c r="AT224" i="58"/>
  <c r="AT223" i="58"/>
  <c r="AT226" i="58"/>
  <c r="AT227" i="58"/>
  <c r="AU197" i="58"/>
  <c r="AU199" i="58"/>
  <c r="AU201" i="58"/>
  <c r="AU205" i="58"/>
  <c r="AU202" i="58"/>
  <c r="AU200" i="58"/>
  <c r="AU198" i="58"/>
  <c r="AU204" i="58"/>
  <c r="AU203" i="58"/>
  <c r="AU53" i="58"/>
  <c r="AU175" i="58"/>
  <c r="AU234" i="58" s="1"/>
  <c r="AU174" i="58"/>
  <c r="AU233" i="58" s="1"/>
  <c r="AU181" i="58"/>
  <c r="AU240" i="58" s="1"/>
  <c r="AU177" i="58"/>
  <c r="AU236" i="58" s="1"/>
  <c r="AU182" i="58"/>
  <c r="AU241" i="58" s="1"/>
  <c r="AU180" i="58"/>
  <c r="AU239" i="58" s="1"/>
  <c r="AU179" i="58"/>
  <c r="AU238" i="58" s="1"/>
  <c r="AU178" i="58"/>
  <c r="AU237" i="58" s="1"/>
  <c r="AU176" i="58"/>
  <c r="AU235" i="58" s="1"/>
  <c r="AU190" i="58"/>
  <c r="AU191" i="58"/>
  <c r="AU194" i="58"/>
  <c r="AU189" i="58"/>
  <c r="AU188" i="58"/>
  <c r="AU193" i="58"/>
  <c r="AU187" i="58"/>
  <c r="AU192" i="58"/>
  <c r="AU186" i="58"/>
  <c r="AU214" i="58"/>
  <c r="AU210" i="58"/>
  <c r="AU215" i="58"/>
  <c r="AU213" i="58"/>
  <c r="AU216" i="58"/>
  <c r="AU208" i="58"/>
  <c r="AU212" i="58"/>
  <c r="AU209" i="58"/>
  <c r="AU211" i="58"/>
  <c r="AV44" i="58"/>
  <c r="AV50" i="58" s="1"/>
  <c r="AV43" i="58"/>
  <c r="AV49" i="58" s="1"/>
  <c r="AV46" i="58"/>
  <c r="AV52" i="58" s="1"/>
  <c r="AV45" i="58"/>
  <c r="AV51" i="58" s="1"/>
  <c r="AB181" i="56"/>
  <c r="AA181" i="56"/>
  <c r="AJ215" i="57"/>
  <c r="AG102" i="47" s="1"/>
  <c r="Y214" i="57"/>
  <c r="V100" i="47" s="1"/>
  <c r="AE37" i="55"/>
  <c r="AA134" i="47"/>
  <c r="AL182" i="56"/>
  <c r="AD27" i="55"/>
  <c r="Z135" i="47"/>
  <c r="AF28" i="55"/>
  <c r="AB127" i="47"/>
  <c r="AK182" i="56"/>
  <c r="AD31" i="55"/>
  <c r="Z129" i="47"/>
  <c r="AE33" i="55"/>
  <c r="AA130" i="47"/>
  <c r="AE32" i="55"/>
  <c r="AA131" i="47"/>
  <c r="AD36" i="55"/>
  <c r="Z133" i="47"/>
  <c r="AA128" i="47"/>
  <c r="AE34" i="55"/>
  <c r="AE100" i="47" l="1"/>
  <c r="AI214" i="57"/>
  <c r="AA216" i="57"/>
  <c r="X101" i="47" s="1"/>
  <c r="W101" i="47"/>
  <c r="Z215" i="57"/>
  <c r="V102" i="47"/>
  <c r="AE101" i="47"/>
  <c r="AI216" i="57"/>
  <c r="AT245" i="58"/>
  <c r="AU225" i="58"/>
  <c r="AU226" i="58"/>
  <c r="AU223" i="58"/>
  <c r="AU222" i="58"/>
  <c r="AU228" i="58"/>
  <c r="AU224" i="58"/>
  <c r="AV204" i="58"/>
  <c r="AV200" i="58"/>
  <c r="AV203" i="58"/>
  <c r="AV199" i="58"/>
  <c r="AV202" i="58"/>
  <c r="AV201" i="58"/>
  <c r="AV205" i="58"/>
  <c r="AV198" i="58"/>
  <c r="AV197" i="58"/>
  <c r="AV216" i="58"/>
  <c r="AV212" i="58"/>
  <c r="AV211" i="58"/>
  <c r="AV213" i="58"/>
  <c r="AV208" i="58"/>
  <c r="AV210" i="58"/>
  <c r="AV209" i="58"/>
  <c r="AV215" i="58"/>
  <c r="AV214" i="58"/>
  <c r="AU220" i="58"/>
  <c r="AV175" i="58"/>
  <c r="AV234" i="58" s="1"/>
  <c r="AN249" i="58" s="1"/>
  <c r="AV178" i="58"/>
  <c r="AV237" i="58" s="1"/>
  <c r="AN252" i="58" s="1"/>
  <c r="AV53" i="58"/>
  <c r="AV180" i="58"/>
  <c r="AV239" i="58" s="1"/>
  <c r="AN254" i="58" s="1"/>
  <c r="AV181" i="58"/>
  <c r="AV240" i="58" s="1"/>
  <c r="AN255" i="58" s="1"/>
  <c r="AV179" i="58"/>
  <c r="AV238" i="58" s="1"/>
  <c r="AN253" i="58" s="1"/>
  <c r="AV174" i="58"/>
  <c r="AV233" i="58" s="1"/>
  <c r="AN248" i="58" s="1"/>
  <c r="AV176" i="58"/>
  <c r="AV235" i="58" s="1"/>
  <c r="AN250" i="58" s="1"/>
  <c r="AV177" i="58"/>
  <c r="AV236" i="58" s="1"/>
  <c r="AN251" i="58" s="1"/>
  <c r="AV182" i="58"/>
  <c r="AV241" i="58" s="1"/>
  <c r="AN256" i="58" s="1"/>
  <c r="AV187" i="58"/>
  <c r="AV188" i="58"/>
  <c r="AV189" i="58"/>
  <c r="AV192" i="58"/>
  <c r="AV190" i="58"/>
  <c r="AV194" i="58"/>
  <c r="AV193" i="58"/>
  <c r="AV191" i="58"/>
  <c r="AV186" i="58"/>
  <c r="AU221" i="58"/>
  <c r="AU227" i="58"/>
  <c r="AK215" i="57"/>
  <c r="AH102" i="47" s="1"/>
  <c r="Z214" i="57"/>
  <c r="W100" i="47" s="1"/>
  <c r="AF32" i="55"/>
  <c r="AB131" i="47"/>
  <c r="AF34" i="55"/>
  <c r="AB128" i="47"/>
  <c r="AG28" i="55"/>
  <c r="AC127" i="47"/>
  <c r="AE27" i="55"/>
  <c r="AA135" i="47"/>
  <c r="AE31" i="55"/>
  <c r="AA129" i="47"/>
  <c r="AF33" i="55"/>
  <c r="AB130" i="47"/>
  <c r="AE36" i="55"/>
  <c r="AA133" i="47"/>
  <c r="AF37" i="55"/>
  <c r="AB134" i="47"/>
  <c r="AF100" i="47" l="1"/>
  <c r="AJ214" i="57"/>
  <c r="AF101" i="47"/>
  <c r="AJ216" i="57"/>
  <c r="W102" i="47"/>
  <c r="AA215" i="57"/>
  <c r="X102" i="47" s="1"/>
  <c r="AV220" i="58"/>
  <c r="AU245" i="58"/>
  <c r="AV227" i="58"/>
  <c r="AN265" i="58" s="1"/>
  <c r="AO265" i="58" s="1"/>
  <c r="AV225" i="58"/>
  <c r="AN263" i="58" s="1"/>
  <c r="AO263" i="58" s="1"/>
  <c r="AV226" i="58"/>
  <c r="AN264" i="58" s="1"/>
  <c r="AO264" i="58" s="1"/>
  <c r="AV223" i="58"/>
  <c r="AN261" i="58" s="1"/>
  <c r="AO261" i="58" s="1"/>
  <c r="AV224" i="58"/>
  <c r="AN262" i="58" s="1"/>
  <c r="AO262" i="58" s="1"/>
  <c r="AO252" i="58"/>
  <c r="AK115" i="47"/>
  <c r="AO249" i="58"/>
  <c r="AK111" i="47"/>
  <c r="AV222" i="58"/>
  <c r="AN260" i="58" s="1"/>
  <c r="AV221" i="58"/>
  <c r="AN259" i="58" s="1"/>
  <c r="AO256" i="58"/>
  <c r="AK114" i="47"/>
  <c r="AO250" i="58"/>
  <c r="AK112" i="47"/>
  <c r="AN258" i="58"/>
  <c r="AO248" i="58"/>
  <c r="AK109" i="47"/>
  <c r="AK117" i="47"/>
  <c r="AO253" i="58"/>
  <c r="AO255" i="58"/>
  <c r="AK116" i="47"/>
  <c r="AO251" i="58"/>
  <c r="AK113" i="47"/>
  <c r="AV228" i="58"/>
  <c r="AN266" i="58" s="1"/>
  <c r="AO254" i="58"/>
  <c r="AK110" i="47"/>
  <c r="AA214" i="57"/>
  <c r="X100" i="47" s="1"/>
  <c r="AF31" i="55"/>
  <c r="AB129" i="47"/>
  <c r="AG32" i="55"/>
  <c r="AC131" i="47"/>
  <c r="AD127" i="47"/>
  <c r="AH28" i="55"/>
  <c r="AF27" i="55"/>
  <c r="AB135" i="47"/>
  <c r="AC128" i="47"/>
  <c r="AG34" i="55"/>
  <c r="AF36" i="55"/>
  <c r="AB133" i="47"/>
  <c r="AG33" i="55"/>
  <c r="AC130" i="47"/>
  <c r="AC134" i="47"/>
  <c r="AG37" i="55"/>
  <c r="AG100" i="47" l="1"/>
  <c r="AK214" i="57"/>
  <c r="AH100" i="47" s="1"/>
  <c r="AK125" i="47"/>
  <c r="AK216" i="57"/>
  <c r="AH101" i="47" s="1"/>
  <c r="AG101" i="47"/>
  <c r="AK126" i="47"/>
  <c r="AV245" i="58"/>
  <c r="AK122" i="47"/>
  <c r="AK119" i="47"/>
  <c r="AK124" i="47"/>
  <c r="AP253" i="58"/>
  <c r="AM117" i="47" s="1"/>
  <c r="AL117" i="47"/>
  <c r="AO259" i="58"/>
  <c r="AK120" i="47"/>
  <c r="AO260" i="58"/>
  <c r="AK121" i="47"/>
  <c r="AL126" i="47"/>
  <c r="AP263" i="58"/>
  <c r="AM126" i="47" s="1"/>
  <c r="AP249" i="58"/>
  <c r="AM111" i="47" s="1"/>
  <c r="AL111" i="47"/>
  <c r="AP254" i="58"/>
  <c r="AM110" i="47" s="1"/>
  <c r="AL110" i="47"/>
  <c r="AO266" i="58"/>
  <c r="AK123" i="47"/>
  <c r="AP248" i="58"/>
  <c r="AM109" i="47" s="1"/>
  <c r="AL109" i="47"/>
  <c r="AP261" i="58"/>
  <c r="AM122" i="47" s="1"/>
  <c r="AL122" i="47"/>
  <c r="AP262" i="58"/>
  <c r="AM124" i="47" s="1"/>
  <c r="AL124" i="47"/>
  <c r="AL113" i="47"/>
  <c r="AP251" i="58"/>
  <c r="AM113" i="47" s="1"/>
  <c r="AO258" i="58"/>
  <c r="AK118" i="47"/>
  <c r="AP255" i="58"/>
  <c r="AM116" i="47" s="1"/>
  <c r="AL116" i="47"/>
  <c r="AP250" i="58"/>
  <c r="AM112" i="47" s="1"/>
  <c r="AL112" i="47"/>
  <c r="AL115" i="47"/>
  <c r="AP252" i="58"/>
  <c r="AM115" i="47" s="1"/>
  <c r="AP264" i="58"/>
  <c r="AM119" i="47" s="1"/>
  <c r="AL119" i="47"/>
  <c r="AP265" i="58"/>
  <c r="AM125" i="47" s="1"/>
  <c r="AL125" i="47"/>
  <c r="AL114" i="47"/>
  <c r="AP256" i="58"/>
  <c r="AM114" i="47" s="1"/>
  <c r="AH34" i="55"/>
  <c r="AD128" i="47"/>
  <c r="AG27" i="55"/>
  <c r="AC135" i="47"/>
  <c r="AH32" i="55"/>
  <c r="AD131" i="47"/>
  <c r="AC133" i="47"/>
  <c r="AG36" i="55"/>
  <c r="AC129" i="47"/>
  <c r="AG31" i="55"/>
  <c r="AH37" i="55"/>
  <c r="AD134" i="47"/>
  <c r="AI28" i="55"/>
  <c r="AE127" i="47"/>
  <c r="AH33" i="55"/>
  <c r="AD130" i="47"/>
  <c r="AL118" i="47" l="1"/>
  <c r="AP258" i="58"/>
  <c r="AM118" i="47" s="1"/>
  <c r="AP260" i="58"/>
  <c r="AM121" i="47" s="1"/>
  <c r="AL121" i="47"/>
  <c r="AL120" i="47"/>
  <c r="AP259" i="58"/>
  <c r="AM120" i="47" s="1"/>
  <c r="AP266" i="58"/>
  <c r="AM123" i="47" s="1"/>
  <c r="AL123" i="47"/>
  <c r="AH36" i="55"/>
  <c r="AD133" i="47"/>
  <c r="AD129" i="47"/>
  <c r="AH31" i="55"/>
  <c r="AI32" i="55"/>
  <c r="AE131" i="47"/>
  <c r="AI34" i="55"/>
  <c r="AE128" i="47"/>
  <c r="AH27" i="55"/>
  <c r="AD135" i="47"/>
  <c r="AJ28" i="55"/>
  <c r="AF127" i="47"/>
  <c r="AI37" i="55"/>
  <c r="AE134" i="47"/>
  <c r="AE130" i="47"/>
  <c r="AI33" i="55"/>
  <c r="AI31" i="55" l="1"/>
  <c r="AE129" i="47"/>
  <c r="AF134" i="47"/>
  <c r="AJ37" i="55"/>
  <c r="AJ34" i="55"/>
  <c r="AF128" i="47"/>
  <c r="AE135" i="47"/>
  <c r="AI27" i="55"/>
  <c r="AF131" i="47"/>
  <c r="AJ32" i="55"/>
  <c r="AK28" i="55"/>
  <c r="AG127" i="47"/>
  <c r="AE133" i="47"/>
  <c r="AI36" i="55"/>
  <c r="AF130" i="47"/>
  <c r="AJ33" i="55"/>
  <c r="AK32" i="55" l="1"/>
  <c r="AG131" i="47"/>
  <c r="AF135" i="47"/>
  <c r="AJ27" i="55"/>
  <c r="AK37" i="55"/>
  <c r="AG134" i="47"/>
  <c r="AJ36" i="55"/>
  <c r="AF133" i="47"/>
  <c r="AL28" i="55"/>
  <c r="AH127" i="47"/>
  <c r="AJ31" i="55"/>
  <c r="AF129" i="47"/>
  <c r="AK33" i="55"/>
  <c r="AG130" i="47"/>
  <c r="AG128" i="47"/>
  <c r="AK34" i="55"/>
  <c r="AG135" i="47" l="1"/>
  <c r="AK27" i="55"/>
  <c r="AM28" i="55"/>
  <c r="AI127" i="47"/>
  <c r="AK36" i="55"/>
  <c r="AG133" i="47"/>
  <c r="AL32" i="55"/>
  <c r="AH131" i="47"/>
  <c r="AL33" i="55"/>
  <c r="AH130" i="47"/>
  <c r="AK31" i="55"/>
  <c r="AG129" i="47"/>
  <c r="AL37" i="55"/>
  <c r="AH134" i="47"/>
  <c r="AH128" i="47"/>
  <c r="AL34" i="55"/>
  <c r="AM32" i="55" l="1"/>
  <c r="AI131" i="47"/>
  <c r="AL31" i="55"/>
  <c r="AH129" i="47"/>
  <c r="AL36" i="55"/>
  <c r="AH133" i="47"/>
  <c r="AH135" i="47"/>
  <c r="AL27" i="55"/>
  <c r="AI134" i="47"/>
  <c r="AM37" i="55"/>
  <c r="AI130" i="47"/>
  <c r="AM33" i="55"/>
  <c r="AN28" i="55"/>
  <c r="AJ127" i="47"/>
  <c r="AM34" i="55"/>
  <c r="AI128" i="47"/>
  <c r="AI129" i="47" l="1"/>
  <c r="AM31" i="55"/>
  <c r="AN32" i="55"/>
  <c r="AJ131" i="47"/>
  <c r="AO28" i="55"/>
  <c r="AK127" i="47"/>
  <c r="AN37" i="55"/>
  <c r="AJ134" i="47"/>
  <c r="AI135" i="47"/>
  <c r="AM27" i="55"/>
  <c r="AN34" i="55"/>
  <c r="AJ128" i="47"/>
  <c r="AN33" i="55"/>
  <c r="AJ130" i="47"/>
  <c r="AM36" i="55"/>
  <c r="AI133" i="47"/>
  <c r="AJ129" i="47" l="1"/>
  <c r="AN31" i="55"/>
  <c r="AK128" i="47"/>
  <c r="AO34" i="55"/>
  <c r="AP28" i="55"/>
  <c r="AM127" i="47" s="1"/>
  <c r="AL127" i="47"/>
  <c r="AJ135" i="47"/>
  <c r="AN27" i="55"/>
  <c r="AO32" i="55"/>
  <c r="AK131" i="47"/>
  <c r="AJ133" i="47"/>
  <c r="AN36" i="55"/>
  <c r="AO33" i="55"/>
  <c r="AK130" i="47"/>
  <c r="AO37" i="55"/>
  <c r="AK134" i="47"/>
  <c r="AO27" i="55" l="1"/>
  <c r="AK135" i="47"/>
  <c r="AO36" i="55"/>
  <c r="AK133" i="47"/>
  <c r="AP37" i="55"/>
  <c r="AM134" i="47" s="1"/>
  <c r="AL134" i="47"/>
  <c r="AK129" i="47"/>
  <c r="AO31" i="55"/>
  <c r="AP33" i="55"/>
  <c r="AM130" i="47" s="1"/>
  <c r="AL130" i="47"/>
  <c r="AP32" i="55"/>
  <c r="AM131" i="47" s="1"/>
  <c r="AL131" i="47"/>
  <c r="AP34" i="55"/>
  <c r="AM128" i="47" s="1"/>
  <c r="AL128" i="47"/>
  <c r="AP31" i="55" l="1"/>
  <c r="AM129" i="47" s="1"/>
  <c r="AL129" i="47"/>
  <c r="AP27" i="55"/>
  <c r="AM135" i="47" s="1"/>
  <c r="AL135" i="47"/>
  <c r="AL133" i="47"/>
  <c r="AP36" i="55"/>
  <c r="AM133" i="47" s="1"/>
  <c r="AN216" i="57" l="1"/>
  <c r="AK101" i="47" s="1"/>
  <c r="AN214" i="57"/>
  <c r="AK100" i="47" s="1"/>
  <c r="AN215" i="57"/>
  <c r="AO215" i="57" l="1"/>
  <c r="AL102" i="47" s="1"/>
  <c r="AK102" i="47"/>
  <c r="AO216" i="57"/>
  <c r="AL101" i="47" s="1"/>
  <c r="AM216" i="57"/>
  <c r="AJ101" i="47" s="1"/>
  <c r="AM214" i="57"/>
  <c r="AJ100" i="47" s="1"/>
  <c r="AM215" i="57"/>
  <c r="AJ102" i="47" s="1"/>
  <c r="AO214" i="57"/>
  <c r="AL100" i="47" s="1"/>
  <c r="AP215" i="57" l="1"/>
  <c r="AM102" i="47" s="1"/>
  <c r="AP216" i="57"/>
  <c r="AM101" i="47" s="1"/>
  <c r="AP214" i="57"/>
  <c r="AM100" i="47" s="1"/>
  <c r="AN48" i="29" l="1"/>
  <c r="AO48" i="29" s="1"/>
  <c r="AN49" i="29"/>
  <c r="AK85" i="47" s="1"/>
  <c r="AN50" i="29"/>
  <c r="AM50" i="29" s="1"/>
  <c r="AJ86" i="47" s="1"/>
  <c r="AN51" i="29"/>
  <c r="AK108" i="47" s="1"/>
  <c r="AN47" i="29"/>
  <c r="AK83" i="47" s="1"/>
  <c r="AM49" i="29" l="1"/>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N152" i="57" l="1"/>
  <c r="N164" i="57" s="1"/>
  <c r="T139" i="57"/>
  <c r="H139" i="57" s="1"/>
  <c r="H155" i="57" s="1"/>
  <c r="T164" i="57" l="1"/>
  <c r="T152" i="57" s="1"/>
  <c r="H192" i="57"/>
  <c r="H167" i="57"/>
  <c r="T137" i="57"/>
  <c r="H137" i="57"/>
  <c r="H152" i="57" s="1"/>
  <c r="T167" i="57"/>
  <c r="T155" i="57" s="1"/>
  <c r="O139" i="57"/>
  <c r="H164" i="57" l="1"/>
  <c r="H189" i="57"/>
  <c r="O137" i="57"/>
  <c r="I139" i="57"/>
  <c r="O155" i="57"/>
  <c r="P139" i="57"/>
  <c r="Q139" i="57" s="1"/>
  <c r="P234" i="57"/>
  <c r="Q234" i="57" s="1"/>
  <c r="R234" i="57"/>
  <c r="T169" i="57"/>
  <c r="T175" i="57" s="1"/>
  <c r="S206" i="57"/>
  <c r="M192" i="57"/>
  <c r="N192" i="57" s="1"/>
  <c r="O192" i="57" s="1"/>
  <c r="P192" i="57" s="1"/>
  <c r="Q192" i="57" s="1"/>
  <c r="R192" i="57" s="1"/>
  <c r="S192" i="57" s="1"/>
  <c r="T192" i="57" s="1"/>
  <c r="U192" i="57" s="1"/>
  <c r="V192" i="57" s="1"/>
  <c r="W192" i="57" s="1"/>
  <c r="X192" i="57" s="1"/>
  <c r="Y192" i="57" s="1"/>
  <c r="Z192" i="57" s="1"/>
  <c r="AA192" i="57" s="1"/>
  <c r="AB192" i="57" s="1"/>
  <c r="AC192" i="57" s="1"/>
  <c r="AD192" i="57" s="1"/>
  <c r="AE192" i="57" s="1"/>
  <c r="AF192" i="57" s="1"/>
  <c r="AG192" i="57" s="1"/>
  <c r="AH192" i="57" s="1"/>
  <c r="AI192" i="57" s="1"/>
  <c r="AJ192" i="57" s="1"/>
  <c r="P220" i="57"/>
  <c r="M107" i="47" s="1"/>
  <c r="Q206" i="57"/>
  <c r="R206" i="57" s="1"/>
  <c r="R220" i="57"/>
  <c r="O107" i="47" s="1"/>
  <c r="N169" i="57"/>
  <c r="O167" i="57" l="1"/>
  <c r="O152" i="57"/>
  <c r="T174" i="57"/>
  <c r="T176" i="57"/>
  <c r="T172" i="57"/>
  <c r="T179" i="57"/>
  <c r="T177" i="57"/>
  <c r="T173" i="57"/>
  <c r="P155" i="57"/>
  <c r="P137" i="57"/>
  <c r="P152" i="57" s="1"/>
  <c r="J139" i="57"/>
  <c r="T178" i="57"/>
  <c r="I137" i="57"/>
  <c r="Q220" i="57"/>
  <c r="N107" i="47" s="1"/>
  <c r="N172" i="57"/>
  <c r="N174" i="57"/>
  <c r="N179" i="57"/>
  <c r="N176" i="57"/>
  <c r="N177" i="57"/>
  <c r="N173" i="57"/>
  <c r="N175" i="57"/>
  <c r="N178" i="57"/>
  <c r="M189" i="57"/>
  <c r="N189" i="57" s="1"/>
  <c r="O189" i="57" s="1"/>
  <c r="P189" i="57" s="1"/>
  <c r="Q189" i="57" s="1"/>
  <c r="R189" i="57" s="1"/>
  <c r="S189" i="57" s="1"/>
  <c r="T189" i="57" s="1"/>
  <c r="U189" i="57" s="1"/>
  <c r="V189" i="57" s="1"/>
  <c r="W189" i="57" s="1"/>
  <c r="X189" i="57" s="1"/>
  <c r="Y189" i="57" s="1"/>
  <c r="Z189" i="57" s="1"/>
  <c r="AA189" i="57" s="1"/>
  <c r="AB189" i="57" s="1"/>
  <c r="AC189" i="57" s="1"/>
  <c r="AD189" i="57" s="1"/>
  <c r="AE189" i="57" s="1"/>
  <c r="AF189" i="57" s="1"/>
  <c r="AG189" i="57" s="1"/>
  <c r="AH189" i="57" s="1"/>
  <c r="AI189" i="57" s="1"/>
  <c r="AJ189" i="57" s="1"/>
  <c r="S203" i="57"/>
  <c r="R217" i="57"/>
  <c r="O104" i="47" s="1"/>
  <c r="P217" i="57"/>
  <c r="M104" i="47" s="1"/>
  <c r="Q203" i="57"/>
  <c r="R203" i="57" s="1"/>
  <c r="R231" i="57"/>
  <c r="P231" i="57"/>
  <c r="Q231" i="57" s="1"/>
  <c r="H169" i="57"/>
  <c r="T181" i="57" l="1"/>
  <c r="T182" i="57" s="1"/>
  <c r="N181" i="57"/>
  <c r="N182" i="57" s="1"/>
  <c r="P164" i="57"/>
  <c r="P167" i="57"/>
  <c r="O164" i="57"/>
  <c r="Q217" i="57"/>
  <c r="N104" i="47" s="1"/>
  <c r="Q155" i="57"/>
  <c r="Q137" i="57"/>
  <c r="Q152" i="57" s="1"/>
  <c r="K139" i="57"/>
  <c r="H177" i="57"/>
  <c r="H179" i="57"/>
  <c r="H176" i="57"/>
  <c r="H172" i="57"/>
  <c r="H173" i="57"/>
  <c r="H174" i="57"/>
  <c r="H178" i="57"/>
  <c r="H175" i="57"/>
  <c r="J137" i="57"/>
  <c r="H181" i="57" l="1"/>
  <c r="H182" i="57" s="1"/>
  <c r="P169" i="57"/>
  <c r="P174" i="57" s="1"/>
  <c r="Q167" i="57"/>
  <c r="O169" i="57"/>
  <c r="Q164" i="57"/>
  <c r="K137" i="57"/>
  <c r="Q169" i="57" l="1"/>
  <c r="Q178" i="57" s="1"/>
  <c r="P179" i="57"/>
  <c r="P172" i="57"/>
  <c r="P178" i="57"/>
  <c r="P173" i="57"/>
  <c r="P176" i="57"/>
  <c r="P175" i="57"/>
  <c r="P177" i="57"/>
  <c r="O179" i="57"/>
  <c r="Y179" i="57" s="1"/>
  <c r="O172" i="57"/>
  <c r="O175" i="57"/>
  <c r="Y175" i="57" s="1"/>
  <c r="O174" i="57"/>
  <c r="O177" i="57"/>
  <c r="Y177" i="57" s="1"/>
  <c r="O178" i="57"/>
  <c r="Y178" i="57" s="1"/>
  <c r="O176" i="57"/>
  <c r="Y176" i="57" s="1"/>
  <c r="O173" i="57"/>
  <c r="Q174" i="57" l="1"/>
  <c r="Q175" i="57"/>
  <c r="Q172" i="57"/>
  <c r="Q176" i="57"/>
  <c r="Q177" i="57"/>
  <c r="Q179" i="57"/>
  <c r="Q173" i="57"/>
  <c r="O181" i="57"/>
  <c r="O182" i="57" s="1"/>
  <c r="P181" i="57"/>
  <c r="P182" i="57" s="1"/>
  <c r="Y180" i="57"/>
  <c r="AA177" i="57" s="1"/>
  <c r="Q181" i="57" l="1"/>
  <c r="Q182" i="57" s="1"/>
  <c r="AA178" i="57"/>
  <c r="AB178" i="57" s="1"/>
  <c r="AC178" i="57" s="1"/>
  <c r="AG178" i="57" s="1"/>
  <c r="AK178" i="57" s="1"/>
  <c r="AA179" i="57"/>
  <c r="AE179" i="57" s="1"/>
  <c r="AB177" i="57"/>
  <c r="AE177" i="57"/>
  <c r="AA166" i="57"/>
  <c r="AA175" i="57"/>
  <c r="AA168" i="57" l="1"/>
  <c r="AB179" i="57"/>
  <c r="AC179" i="57" s="1"/>
  <c r="AA176" i="57"/>
  <c r="AE176" i="57" s="1"/>
  <c r="AB175" i="57"/>
  <c r="AB176" i="57" s="1"/>
  <c r="AA164" i="57"/>
  <c r="AE175" i="57"/>
  <c r="AC177" i="57"/>
  <c r="AF177" i="57"/>
  <c r="AB166" i="57"/>
  <c r="AE178" i="57"/>
  <c r="AI177" i="57"/>
  <c r="AI166" i="57" s="1"/>
  <c r="AE166" i="57"/>
  <c r="U166" i="57" s="1" a="1"/>
  <c r="U166" i="57" s="1"/>
  <c r="U154" i="57" s="1"/>
  <c r="AI179" i="57"/>
  <c r="AI168" i="57" s="1"/>
  <c r="AE168" i="57"/>
  <c r="U168" i="57" s="1" a="1"/>
  <c r="U168" i="57" s="1"/>
  <c r="U156" i="57" s="1"/>
  <c r="AB168" i="57" l="1"/>
  <c r="AF179" i="57"/>
  <c r="AF168" i="57" s="1"/>
  <c r="V168" i="57" s="1" a="1"/>
  <c r="V168" i="57" s="1"/>
  <c r="V156" i="57" s="1"/>
  <c r="AA165" i="57"/>
  <c r="I168" i="57"/>
  <c r="AB235" i="57" s="1"/>
  <c r="I156" i="57"/>
  <c r="I193" i="57" s="1"/>
  <c r="I166" i="57"/>
  <c r="I154" i="57"/>
  <c r="I191" i="57" s="1"/>
  <c r="AB233" i="57"/>
  <c r="S233" i="57"/>
  <c r="T233" i="57" s="1"/>
  <c r="U233" i="57" s="1"/>
  <c r="V233" i="57" s="1"/>
  <c r="W233" i="57" s="1"/>
  <c r="X233" i="57" s="1"/>
  <c r="Y233" i="57" s="1"/>
  <c r="Z233" i="57" s="1"/>
  <c r="AA233" i="57" s="1"/>
  <c r="AG177" i="57"/>
  <c r="AC166" i="57"/>
  <c r="AI175" i="57"/>
  <c r="AI164" i="57" s="1"/>
  <c r="AE164" i="57"/>
  <c r="U164" i="57" s="1" a="1"/>
  <c r="U164" i="57" s="1"/>
  <c r="U152" i="57" s="1"/>
  <c r="AI178" i="57"/>
  <c r="AI167" i="57" s="1"/>
  <c r="AE167" i="57"/>
  <c r="AB164" i="57"/>
  <c r="AC175" i="57"/>
  <c r="AC176" i="57" s="1"/>
  <c r="AF175" i="57"/>
  <c r="AF166" i="57"/>
  <c r="V166" i="57" s="1" a="1"/>
  <c r="V166" i="57" s="1"/>
  <c r="V154" i="57" s="1"/>
  <c r="AJ177" i="57"/>
  <c r="AJ166" i="57" s="1"/>
  <c r="AC168" i="57"/>
  <c r="AG179" i="57"/>
  <c r="AE165" i="57"/>
  <c r="U165" i="57" s="1" a="1"/>
  <c r="U165" i="57" s="1"/>
  <c r="U153" i="57" s="1"/>
  <c r="AI176" i="57"/>
  <c r="AI165" i="57" s="1"/>
  <c r="AF178" i="57"/>
  <c r="AF176" i="57"/>
  <c r="AB165" i="57"/>
  <c r="AJ179" i="57" l="1"/>
  <c r="AJ168" i="57" s="1"/>
  <c r="S235" i="57"/>
  <c r="T235" i="57" s="1"/>
  <c r="U235" i="57" s="1"/>
  <c r="V235" i="57" s="1"/>
  <c r="W235" i="57" s="1"/>
  <c r="X235" i="57" s="1"/>
  <c r="Y235" i="57" s="1"/>
  <c r="Z235" i="57" s="1"/>
  <c r="AA235" i="57" s="1"/>
  <c r="AB219" i="57"/>
  <c r="Y103" i="47" s="1"/>
  <c r="AC205" i="57"/>
  <c r="S219" i="57"/>
  <c r="P103" i="47" s="1"/>
  <c r="T205" i="57"/>
  <c r="U205" i="57" s="1"/>
  <c r="V205" i="57" s="1"/>
  <c r="W205" i="57" s="1"/>
  <c r="X205" i="57" s="1"/>
  <c r="Y205" i="57" s="1"/>
  <c r="Z205" i="57" s="1"/>
  <c r="AA205" i="57" s="1"/>
  <c r="AB205" i="57" s="1"/>
  <c r="AC207" i="57"/>
  <c r="AB221" i="57"/>
  <c r="Y105" i="47" s="1"/>
  <c r="S221" i="57"/>
  <c r="P105" i="47" s="1"/>
  <c r="T207" i="57"/>
  <c r="U207" i="57" s="1"/>
  <c r="V207" i="57" s="1"/>
  <c r="W207" i="57" s="1"/>
  <c r="X207" i="57" s="1"/>
  <c r="Y207" i="57" s="1"/>
  <c r="Z207" i="57" s="1"/>
  <c r="AA207" i="57" s="1"/>
  <c r="AB207" i="57" s="1"/>
  <c r="J168" i="57"/>
  <c r="AL235" i="57" s="1"/>
  <c r="J156" i="57"/>
  <c r="J193" i="57" s="1"/>
  <c r="I164" i="57"/>
  <c r="S231" i="57" s="1"/>
  <c r="T231" i="57" s="1"/>
  <c r="U231" i="57" s="1"/>
  <c r="V231" i="57" s="1"/>
  <c r="W231" i="57" s="1"/>
  <c r="X231" i="57" s="1"/>
  <c r="Y231" i="57" s="1"/>
  <c r="Z231" i="57" s="1"/>
  <c r="AA231" i="57" s="1"/>
  <c r="I152" i="57"/>
  <c r="I189" i="57" s="1"/>
  <c r="I165" i="57"/>
  <c r="S232" i="57" s="1"/>
  <c r="T232" i="57" s="1"/>
  <c r="U232" i="57" s="1"/>
  <c r="V232" i="57" s="1"/>
  <c r="W232" i="57" s="1"/>
  <c r="X232" i="57" s="1"/>
  <c r="Y232" i="57" s="1"/>
  <c r="Z232" i="57" s="1"/>
  <c r="AA232" i="57" s="1"/>
  <c r="I153" i="57"/>
  <c r="I190" i="57" s="1"/>
  <c r="J166" i="57"/>
  <c r="AL233" i="57" s="1"/>
  <c r="J154" i="57"/>
  <c r="J191" i="57" s="1"/>
  <c r="AJ175" i="57"/>
  <c r="AJ164" i="57" s="1"/>
  <c r="AF164" i="57"/>
  <c r="V164" i="57" s="1" a="1"/>
  <c r="V164" i="57" s="1"/>
  <c r="V152" i="57" s="1"/>
  <c r="AJ176" i="57"/>
  <c r="AJ165" i="57" s="1"/>
  <c r="AF165" i="57"/>
  <c r="V165" i="57" s="1" a="1"/>
  <c r="V165" i="57" s="1"/>
  <c r="V153" i="57" s="1"/>
  <c r="AG176" i="57"/>
  <c r="AC165" i="57"/>
  <c r="AJ178" i="57"/>
  <c r="AJ167" i="57" s="1"/>
  <c r="AF167" i="57"/>
  <c r="AC164" i="57"/>
  <c r="AG175" i="57"/>
  <c r="AC167" i="57"/>
  <c r="AG168" i="57"/>
  <c r="AK179" i="57"/>
  <c r="AK168" i="57" s="1"/>
  <c r="AG166" i="57"/>
  <c r="W166" i="57" s="1" a="1"/>
  <c r="W166" i="57" s="1"/>
  <c r="W154" i="57" s="1"/>
  <c r="AK177" i="57"/>
  <c r="AK166" i="57" s="1"/>
  <c r="T221" i="57" l="1"/>
  <c r="AC235" i="57"/>
  <c r="AD235" i="57" s="1"/>
  <c r="AE235" i="57" s="1"/>
  <c r="AF235" i="57" s="1"/>
  <c r="AG235" i="57" s="1"/>
  <c r="AH235" i="57" s="1"/>
  <c r="AI235" i="57" s="1"/>
  <c r="AJ235" i="57" s="1"/>
  <c r="AK235" i="57" s="1"/>
  <c r="AB231" i="57"/>
  <c r="AB232" i="57"/>
  <c r="AC233" i="57"/>
  <c r="AD233" i="57" s="1"/>
  <c r="AE233" i="57" s="1"/>
  <c r="AF233" i="57" s="1"/>
  <c r="AG233" i="57" s="1"/>
  <c r="AH233" i="57" s="1"/>
  <c r="AI233" i="57" s="1"/>
  <c r="AJ233" i="57" s="1"/>
  <c r="AK233" i="57" s="1"/>
  <c r="W168" i="57" a="1"/>
  <c r="W168" i="57" s="1"/>
  <c r="W156" i="57" s="1"/>
  <c r="K156" i="57" s="1"/>
  <c r="K193" i="57" s="1"/>
  <c r="AM207" i="57"/>
  <c r="AL221" i="57"/>
  <c r="AI105" i="47" s="1"/>
  <c r="AC221" i="57"/>
  <c r="AD207" i="57"/>
  <c r="AE207" i="57" s="1"/>
  <c r="AF207" i="57" s="1"/>
  <c r="AG207" i="57" s="1"/>
  <c r="AH207" i="57" s="1"/>
  <c r="AI207" i="57" s="1"/>
  <c r="AJ207" i="57" s="1"/>
  <c r="AK207" i="57" s="1"/>
  <c r="AL207" i="57" s="1"/>
  <c r="S218" i="57"/>
  <c r="T204" i="57"/>
  <c r="U204" i="57" s="1"/>
  <c r="V204" i="57" s="1"/>
  <c r="W204" i="57" s="1"/>
  <c r="X204" i="57" s="1"/>
  <c r="Y204" i="57" s="1"/>
  <c r="Z204" i="57" s="1"/>
  <c r="AA204" i="57" s="1"/>
  <c r="AB204" i="57" s="1"/>
  <c r="AB218" i="57"/>
  <c r="Y106" i="47" s="1"/>
  <c r="AC204" i="57"/>
  <c r="AM205" i="57"/>
  <c r="AL219" i="57"/>
  <c r="AI103" i="47" s="1"/>
  <c r="AC219" i="57"/>
  <c r="T219" i="57"/>
  <c r="Q103" i="47" s="1"/>
  <c r="AD205" i="57"/>
  <c r="AE205" i="57" s="1"/>
  <c r="AF205" i="57" s="1"/>
  <c r="AG205" i="57" s="1"/>
  <c r="AH205" i="57" s="1"/>
  <c r="AI205" i="57" s="1"/>
  <c r="AJ205" i="57" s="1"/>
  <c r="AK205" i="57" s="1"/>
  <c r="AL205" i="57" s="1"/>
  <c r="S217" i="57"/>
  <c r="P104" i="47" s="1"/>
  <c r="AC203" i="57"/>
  <c r="T203" i="57"/>
  <c r="U203" i="57" s="1"/>
  <c r="V203" i="57" s="1"/>
  <c r="W203" i="57" s="1"/>
  <c r="X203" i="57" s="1"/>
  <c r="Y203" i="57" s="1"/>
  <c r="Z203" i="57" s="1"/>
  <c r="AA203" i="57" s="1"/>
  <c r="AB203" i="57" s="1"/>
  <c r="AB217" i="57"/>
  <c r="Y104" i="47" s="1"/>
  <c r="J165" i="57"/>
  <c r="AL232" i="57" s="1"/>
  <c r="J153" i="57"/>
  <c r="J190" i="57" s="1"/>
  <c r="K166" i="57"/>
  <c r="AM233" i="57" s="1"/>
  <c r="AN233" i="57" s="1"/>
  <c r="AO233" i="57" s="1"/>
  <c r="AP233" i="57" s="1"/>
  <c r="AQ233" i="57" s="1"/>
  <c r="AR233" i="57" s="1"/>
  <c r="AS233" i="57" s="1"/>
  <c r="AT233" i="57" s="1"/>
  <c r="AU233" i="57" s="1"/>
  <c r="AV233" i="57" s="1"/>
  <c r="AW233" i="57" s="1"/>
  <c r="AX233" i="57" s="1"/>
  <c r="K154" i="57"/>
  <c r="K191" i="57" s="1"/>
  <c r="AN219" i="57" s="1"/>
  <c r="AK103" i="47" s="1"/>
  <c r="J164" i="57"/>
  <c r="AC231" i="57" s="1"/>
  <c r="AD231" i="57" s="1"/>
  <c r="AE231" i="57" s="1"/>
  <c r="AF231" i="57" s="1"/>
  <c r="AG231" i="57" s="1"/>
  <c r="AH231" i="57" s="1"/>
  <c r="AI231" i="57" s="1"/>
  <c r="AJ231" i="57" s="1"/>
  <c r="AK231" i="57" s="1"/>
  <c r="J152" i="57"/>
  <c r="J189" i="57" s="1"/>
  <c r="AK175" i="57"/>
  <c r="AK164" i="57" s="1"/>
  <c r="AG164" i="57"/>
  <c r="W164" i="57" s="1" a="1"/>
  <c r="W164" i="57" s="1"/>
  <c r="W152" i="57" s="1"/>
  <c r="AK176" i="57"/>
  <c r="AK165" i="57" s="1"/>
  <c r="AG165" i="57"/>
  <c r="AK167" i="57"/>
  <c r="AG167" i="57"/>
  <c r="W167" i="57" l="1" a="1"/>
  <c r="W167" i="57" s="1"/>
  <c r="W155" i="57" s="1"/>
  <c r="K155" i="57" s="1"/>
  <c r="K192" i="57" s="1"/>
  <c r="AD221" i="57"/>
  <c r="Z105" i="47"/>
  <c r="AD219" i="57"/>
  <c r="AA103" i="47" s="1"/>
  <c r="Z103" i="47"/>
  <c r="T218" i="57"/>
  <c r="Q106" i="47" s="1"/>
  <c r="P106" i="47"/>
  <c r="U221" i="57"/>
  <c r="R105" i="47" s="1"/>
  <c r="Q105" i="47"/>
  <c r="K168" i="57"/>
  <c r="AV235" i="57" s="1"/>
  <c r="AW235" i="57" s="1"/>
  <c r="AX235" i="57" s="1"/>
  <c r="W165" i="57" a="1"/>
  <c r="W165" i="57" s="1"/>
  <c r="W153" i="57" s="1"/>
  <c r="K153" i="57" s="1"/>
  <c r="K190" i="57" s="1"/>
  <c r="AD204" i="57"/>
  <c r="AE204" i="57" s="1"/>
  <c r="AF204" i="57" s="1"/>
  <c r="AG204" i="57" s="1"/>
  <c r="AH204" i="57" s="1"/>
  <c r="AI204" i="57" s="1"/>
  <c r="AJ204" i="57" s="1"/>
  <c r="AK204" i="57" s="1"/>
  <c r="AL204" i="57" s="1"/>
  <c r="AC218" i="57"/>
  <c r="Z106" i="47" s="1"/>
  <c r="AC232" i="57"/>
  <c r="AD232" i="57" s="1"/>
  <c r="AE232" i="57" s="1"/>
  <c r="AF232" i="57" s="1"/>
  <c r="AG232" i="57" s="1"/>
  <c r="AH232" i="57" s="1"/>
  <c r="AI232" i="57" s="1"/>
  <c r="AJ232" i="57" s="1"/>
  <c r="AK232" i="57" s="1"/>
  <c r="AO207" i="57"/>
  <c r="AP207" i="57" s="1"/>
  <c r="AQ207" i="57" s="1"/>
  <c r="AN207" i="57"/>
  <c r="AN221" i="57"/>
  <c r="T217" i="57"/>
  <c r="Q104" i="47" s="1"/>
  <c r="AM203" i="57"/>
  <c r="AD203" i="57"/>
  <c r="AE203" i="57" s="1"/>
  <c r="AF203" i="57" s="1"/>
  <c r="AG203" i="57" s="1"/>
  <c r="AH203" i="57" s="1"/>
  <c r="AI203" i="57" s="1"/>
  <c r="AJ203" i="57" s="1"/>
  <c r="AK203" i="57" s="1"/>
  <c r="AL203" i="57" s="1"/>
  <c r="AC217" i="57"/>
  <c r="Z104" i="47" s="1"/>
  <c r="AL217" i="57"/>
  <c r="AI104" i="47" s="1"/>
  <c r="AM219" i="57"/>
  <c r="AJ103" i="47" s="1"/>
  <c r="AO219" i="57"/>
  <c r="AL103" i="47" s="1"/>
  <c r="AM204" i="57"/>
  <c r="AL218" i="57"/>
  <c r="AI106" i="47" s="1"/>
  <c r="AN205" i="57"/>
  <c r="AO205" i="57" s="1"/>
  <c r="AP205" i="57" s="1"/>
  <c r="AQ205" i="57" s="1"/>
  <c r="U219" i="57"/>
  <c r="K164" i="57"/>
  <c r="K152" i="57"/>
  <c r="K189" i="57" s="1"/>
  <c r="AL231" i="57"/>
  <c r="K167" i="57"/>
  <c r="U218" i="57" l="1"/>
  <c r="R106" i="47" s="1"/>
  <c r="AE219" i="57"/>
  <c r="AB103" i="47" s="1"/>
  <c r="V221" i="57"/>
  <c r="S105" i="47" s="1"/>
  <c r="V219" i="57"/>
  <c r="S103" i="47" s="1"/>
  <c r="R103" i="47"/>
  <c r="AM221" i="57"/>
  <c r="AJ105" i="47" s="1"/>
  <c r="AK105" i="47"/>
  <c r="AE221" i="57"/>
  <c r="AA105" i="47"/>
  <c r="AD218" i="57"/>
  <c r="AA106" i="47" s="1"/>
  <c r="AM235" i="57"/>
  <c r="AN235" i="57" s="1"/>
  <c r="AO235" i="57" s="1"/>
  <c r="AP235" i="57" s="1"/>
  <c r="AQ235" i="57" s="1"/>
  <c r="AR235" i="57" s="1"/>
  <c r="AS235" i="57" s="1"/>
  <c r="AT235" i="57" s="1"/>
  <c r="AU235" i="57" s="1"/>
  <c r="K165" i="57"/>
  <c r="AM232" i="57" s="1"/>
  <c r="AN232" i="57" s="1"/>
  <c r="AO232" i="57" s="1"/>
  <c r="AP232" i="57" s="1"/>
  <c r="AQ232" i="57" s="1"/>
  <c r="AR232" i="57" s="1"/>
  <c r="AS232" i="57" s="1"/>
  <c r="AT232" i="57" s="1"/>
  <c r="AU232" i="57" s="1"/>
  <c r="AV232" i="57" s="1"/>
  <c r="AW232" i="57" s="1"/>
  <c r="AX232" i="57" s="1"/>
  <c r="W169" i="57"/>
  <c r="AM231" i="57"/>
  <c r="AN231" i="57" s="1"/>
  <c r="AO231" i="57" s="1"/>
  <c r="AP231" i="57" s="1"/>
  <c r="AQ231" i="57" s="1"/>
  <c r="AR231" i="57" s="1"/>
  <c r="AS231" i="57" s="1"/>
  <c r="AT231" i="57" s="1"/>
  <c r="AU231" i="57" s="1"/>
  <c r="AN220" i="57"/>
  <c r="AO206" i="57"/>
  <c r="AP206" i="57" s="1"/>
  <c r="AQ206" i="57" s="1"/>
  <c r="AV231" i="57"/>
  <c r="AW231" i="57" s="1"/>
  <c r="AX231" i="57" s="1"/>
  <c r="AP219" i="57"/>
  <c r="AM103" i="47" s="1"/>
  <c r="AF219" i="57"/>
  <c r="AC103" i="47" s="1"/>
  <c r="AO221" i="57"/>
  <c r="AL105" i="47" s="1"/>
  <c r="V218" i="57"/>
  <c r="AN203" i="57"/>
  <c r="AN217" i="57"/>
  <c r="AK104" i="47" s="1"/>
  <c r="AO203" i="57"/>
  <c r="AP203" i="57" s="1"/>
  <c r="AQ203" i="57" s="1"/>
  <c r="AD217" i="57"/>
  <c r="AA104" i="47" s="1"/>
  <c r="AO204" i="57"/>
  <c r="AP204" i="57" s="1"/>
  <c r="AQ204" i="57" s="1"/>
  <c r="AN204" i="57"/>
  <c r="AN218" i="57"/>
  <c r="U217" i="57"/>
  <c r="R104" i="47" s="1"/>
  <c r="AV234" i="57"/>
  <c r="AW234" i="57" s="1"/>
  <c r="AX234" i="57" s="1"/>
  <c r="AA167" i="57"/>
  <c r="U167" i="57" s="1" a="1"/>
  <c r="U167" i="57" s="1"/>
  <c r="U155" i="57" s="1"/>
  <c r="AB167" i="57"/>
  <c r="V167" i="57" s="1" a="1"/>
  <c r="V167" i="57" s="1"/>
  <c r="V155" i="57" s="1"/>
  <c r="W221" i="57" l="1"/>
  <c r="W219" i="57"/>
  <c r="T103" i="47" s="1"/>
  <c r="AB105" i="47"/>
  <c r="AF221" i="57"/>
  <c r="K169" i="57"/>
  <c r="K178" i="57" s="1"/>
  <c r="AE218" i="57"/>
  <c r="W218" i="57"/>
  <c r="T106" i="47" s="1"/>
  <c r="S106" i="47"/>
  <c r="AM218" i="57"/>
  <c r="AJ106" i="47" s="1"/>
  <c r="AK106" i="47"/>
  <c r="AO220" i="57"/>
  <c r="AL107" i="47" s="1"/>
  <c r="AK107" i="47"/>
  <c r="AP221" i="57"/>
  <c r="AM105" i="47" s="1"/>
  <c r="V217" i="57"/>
  <c r="S104" i="47" s="1"/>
  <c r="AG219" i="57"/>
  <c r="AO218" i="57"/>
  <c r="AL106" i="47" s="1"/>
  <c r="X219" i="57"/>
  <c r="U103" i="47" s="1"/>
  <c r="AM217" i="57"/>
  <c r="AJ104" i="47" s="1"/>
  <c r="AO217" i="57"/>
  <c r="AL104" i="47" s="1"/>
  <c r="AE217" i="57"/>
  <c r="AB104" i="47" s="1"/>
  <c r="I167" i="57"/>
  <c r="AB234" i="57" s="1"/>
  <c r="I155" i="57"/>
  <c r="I192" i="57" s="1"/>
  <c r="J167" i="57"/>
  <c r="J169" i="57" s="1"/>
  <c r="J178" i="57" s="1"/>
  <c r="J155" i="57"/>
  <c r="J192" i="57" s="1"/>
  <c r="K177" i="57"/>
  <c r="K175" i="57"/>
  <c r="V169" i="57"/>
  <c r="V176" i="57" s="1"/>
  <c r="W172" i="57"/>
  <c r="K173" i="57" l="1"/>
  <c r="K176" i="57"/>
  <c r="K172" i="57"/>
  <c r="K179" i="57"/>
  <c r="AC234" i="57"/>
  <c r="AD234" i="57" s="1"/>
  <c r="AE234" i="57" s="1"/>
  <c r="AF234" i="57" s="1"/>
  <c r="AG234" i="57" s="1"/>
  <c r="AH234" i="57" s="1"/>
  <c r="AI234" i="57" s="1"/>
  <c r="AJ234" i="57" s="1"/>
  <c r="AK234" i="57" s="1"/>
  <c r="T105" i="47"/>
  <c r="X221" i="57"/>
  <c r="AL234" i="57"/>
  <c r="AM234" i="57" s="1"/>
  <c r="AN234" i="57" s="1"/>
  <c r="AO234" i="57" s="1"/>
  <c r="AP234" i="57" s="1"/>
  <c r="AQ234" i="57" s="1"/>
  <c r="AR234" i="57" s="1"/>
  <c r="AS234" i="57" s="1"/>
  <c r="AT234" i="57" s="1"/>
  <c r="AU234" i="57" s="1"/>
  <c r="I169" i="57"/>
  <c r="I178" i="57" s="1"/>
  <c r="S234" i="57"/>
  <c r="T234" i="57" s="1"/>
  <c r="U234" i="57" s="1"/>
  <c r="V234" i="57" s="1"/>
  <c r="W234" i="57" s="1"/>
  <c r="X234" i="57" s="1"/>
  <c r="Y234" i="57" s="1"/>
  <c r="Z234" i="57" s="1"/>
  <c r="AA234" i="57" s="1"/>
  <c r="X218" i="57"/>
  <c r="AF218" i="57"/>
  <c r="AB106" i="47"/>
  <c r="AC105" i="47"/>
  <c r="AG221" i="57"/>
  <c r="AH219" i="57"/>
  <c r="AE103" i="47" s="1"/>
  <c r="AD103" i="47"/>
  <c r="K174" i="57"/>
  <c r="K181" i="57" s="1"/>
  <c r="K182" i="57" s="1"/>
  <c r="AP220" i="57"/>
  <c r="AM107" i="47" s="1"/>
  <c r="AP217" i="57"/>
  <c r="AM104" i="47" s="1"/>
  <c r="W217" i="57"/>
  <c r="T104" i="47" s="1"/>
  <c r="AC206" i="57"/>
  <c r="AD206" i="57" s="1"/>
  <c r="AE206" i="57" s="1"/>
  <c r="AF206" i="57" s="1"/>
  <c r="AG206" i="57" s="1"/>
  <c r="AH206" i="57" s="1"/>
  <c r="AI206" i="57" s="1"/>
  <c r="AJ206" i="57" s="1"/>
  <c r="AK206" i="57" s="1"/>
  <c r="AL206" i="57" s="1"/>
  <c r="T206" i="57"/>
  <c r="U206" i="57" s="1"/>
  <c r="V206" i="57" s="1"/>
  <c r="W206" i="57" s="1"/>
  <c r="X206" i="57" s="1"/>
  <c r="Y206" i="57" s="1"/>
  <c r="Z206" i="57" s="1"/>
  <c r="AA206" i="57" s="1"/>
  <c r="AB206" i="57" s="1"/>
  <c r="AB220" i="57"/>
  <c r="Y107" i="47" s="1"/>
  <c r="S220" i="57"/>
  <c r="P107" i="47" s="1"/>
  <c r="AF217" i="57"/>
  <c r="AC104" i="47" s="1"/>
  <c r="Y219" i="57"/>
  <c r="V103" i="47" s="1"/>
  <c r="AM206" i="57"/>
  <c r="AN206" i="57" s="1"/>
  <c r="AL220" i="57"/>
  <c r="AI107" i="47" s="1"/>
  <c r="AP218" i="57"/>
  <c r="AM106" i="47" s="1"/>
  <c r="I173" i="57"/>
  <c r="I179" i="57"/>
  <c r="J175" i="57"/>
  <c r="J177" i="57"/>
  <c r="J179" i="57"/>
  <c r="J174" i="57"/>
  <c r="J176" i="57"/>
  <c r="J172" i="57"/>
  <c r="J173" i="57"/>
  <c r="U169" i="57"/>
  <c r="U177" i="57" s="1"/>
  <c r="W178" i="57"/>
  <c r="V173" i="57"/>
  <c r="V172" i="57"/>
  <c r="V177" i="57"/>
  <c r="V175" i="57"/>
  <c r="V174" i="57"/>
  <c r="V178" i="57"/>
  <c r="V179" i="57"/>
  <c r="W175" i="57"/>
  <c r="W173" i="57"/>
  <c r="W174" i="57"/>
  <c r="W179" i="57"/>
  <c r="W176" i="57"/>
  <c r="W177" i="57"/>
  <c r="I177" i="57" l="1"/>
  <c r="I174" i="57"/>
  <c r="I175" i="57"/>
  <c r="I176" i="57"/>
  <c r="I172" i="57"/>
  <c r="Y221" i="57"/>
  <c r="U105" i="47"/>
  <c r="AI219" i="57"/>
  <c r="AF103" i="47" s="1"/>
  <c r="AH221" i="57"/>
  <c r="AD105" i="47"/>
  <c r="AC106" i="47"/>
  <c r="AG218" i="57"/>
  <c r="Y218" i="57"/>
  <c r="U106" i="47"/>
  <c r="W181" i="57"/>
  <c r="W182" i="57" s="1"/>
  <c r="J181" i="57"/>
  <c r="J182" i="57" s="1"/>
  <c r="V181" i="57"/>
  <c r="V182" i="57" s="1"/>
  <c r="I181" i="57"/>
  <c r="I182" i="57" s="1"/>
  <c r="AC220" i="57"/>
  <c r="Z107" i="47" s="1"/>
  <c r="T220" i="57"/>
  <c r="Q107" i="47" s="1"/>
  <c r="X217" i="57"/>
  <c r="U104" i="47" s="1"/>
  <c r="Z219" i="57"/>
  <c r="W103" i="47" s="1"/>
  <c r="AM220" i="57"/>
  <c r="AJ107" i="47" s="1"/>
  <c r="AG217" i="57"/>
  <c r="AD104" i="47" s="1"/>
  <c r="U175" i="57"/>
  <c r="U179" i="57"/>
  <c r="U174" i="57"/>
  <c r="U178" i="57"/>
  <c r="U172" i="57"/>
  <c r="U173" i="57"/>
  <c r="U176" i="57"/>
  <c r="V105" i="47" l="1"/>
  <c r="Z221" i="57"/>
  <c r="AJ219" i="57"/>
  <c r="AG103" i="47" s="1"/>
  <c r="V106" i="47"/>
  <c r="Z218" i="57"/>
  <c r="AD106" i="47"/>
  <c r="AH218" i="57"/>
  <c r="AE105" i="47"/>
  <c r="AI221" i="57"/>
  <c r="U181" i="57"/>
  <c r="U182" i="57" s="1"/>
  <c r="U220" i="57"/>
  <c r="R107" i="47" s="1"/>
  <c r="AD220" i="57"/>
  <c r="AA107" i="47" s="1"/>
  <c r="AH217" i="57"/>
  <c r="AE104" i="47" s="1"/>
  <c r="Y217" i="57"/>
  <c r="V104" i="47" s="1"/>
  <c r="AA219" i="57"/>
  <c r="X103" i="47" s="1"/>
  <c r="W105" i="47" l="1"/>
  <c r="AA221" i="57"/>
  <c r="X105" i="47" s="1"/>
  <c r="AK219" i="57"/>
  <c r="AH103" i="47" s="1"/>
  <c r="AF105" i="47"/>
  <c r="AJ221" i="57"/>
  <c r="AE106" i="47"/>
  <c r="AI218" i="57"/>
  <c r="W106" i="47"/>
  <c r="AA218" i="57"/>
  <c r="X106" i="47" s="1"/>
  <c r="AE220" i="57"/>
  <c r="AB107" i="47" s="1"/>
  <c r="V220" i="57"/>
  <c r="S107" i="47" s="1"/>
  <c r="Z217" i="57"/>
  <c r="W104" i="47" s="1"/>
  <c r="AI217" i="57"/>
  <c r="AF104" i="47" s="1"/>
  <c r="C9" i="15"/>
  <c r="D9" i="15"/>
  <c r="AF220" i="57" l="1"/>
  <c r="AC107" i="47" s="1"/>
  <c r="AF106" i="47"/>
  <c r="AJ218" i="57"/>
  <c r="AG105" i="47"/>
  <c r="AK221" i="57"/>
  <c r="AH105" i="47" s="1"/>
  <c r="W220" i="57"/>
  <c r="T107" i="47" s="1"/>
  <c r="AA217" i="57"/>
  <c r="X104" i="47" s="1"/>
  <c r="AJ217" i="57"/>
  <c r="AG104" i="47" s="1"/>
  <c r="AG220" i="57" l="1"/>
  <c r="AD107" i="47" s="1"/>
  <c r="AG106" i="47"/>
  <c r="AK218" i="57"/>
  <c r="AH106" i="47" s="1"/>
  <c r="X220" i="57"/>
  <c r="AK217" i="57"/>
  <c r="AH104" i="47" s="1"/>
  <c r="AH220" i="57" l="1"/>
  <c r="AE107" i="47" s="1"/>
  <c r="Y220" i="57"/>
  <c r="V107" i="47" s="1"/>
  <c r="U107" i="47"/>
  <c r="AI220" i="57" l="1"/>
  <c r="AF107" i="47" s="1"/>
  <c r="Z220" i="57"/>
  <c r="W107" i="47" s="1"/>
  <c r="AJ220" i="57" l="1"/>
  <c r="AG107" i="47" s="1"/>
  <c r="AA220" i="57"/>
  <c r="X107" i="47" s="1"/>
  <c r="AK220" i="57" l="1"/>
  <c r="AH107" i="47" s="1"/>
  <c r="L133" i="55"/>
  <c r="AN51" i="55"/>
  <c r="AB51" i="55"/>
  <c r="S51" i="55"/>
  <c r="T51" i="55" s="1"/>
  <c r="R51" i="55"/>
  <c r="K51" i="55"/>
  <c r="K211" i="55" s="1"/>
  <c r="J51" i="55"/>
  <c r="J211" i="55" s="1"/>
  <c r="J154" i="55"/>
  <c r="AO45" i="55"/>
  <c r="AN45" i="55"/>
  <c r="AN154" i="55" s="1"/>
  <c r="AC45" i="55"/>
  <c r="AC154" i="55" s="1"/>
  <c r="AB45" i="55"/>
  <c r="AB154" i="55" s="1"/>
  <c r="R45" i="55"/>
  <c r="R154" i="55" s="1"/>
  <c r="J45" i="55"/>
  <c r="K45" i="55" s="1"/>
  <c r="AN50" i="55"/>
  <c r="AN192" i="55" s="1"/>
  <c r="AB50" i="55"/>
  <c r="AB192" i="55" s="1"/>
  <c r="T50" i="55"/>
  <c r="T192" i="55" s="1"/>
  <c r="S50" i="55"/>
  <c r="S192" i="55" s="1"/>
  <c r="R50" i="55"/>
  <c r="R192" i="55" s="1"/>
  <c r="J50" i="55"/>
  <c r="K50" i="55" s="1"/>
  <c r="AO46" i="55"/>
  <c r="AN46" i="55"/>
  <c r="AC46" i="55"/>
  <c r="AB46" i="55"/>
  <c r="S46" i="55"/>
  <c r="R46" i="55"/>
  <c r="K46" i="55"/>
  <c r="K173" i="55" s="1"/>
  <c r="J46" i="55"/>
  <c r="J173" i="55" s="1"/>
  <c r="J47" i="55"/>
  <c r="K47" i="55"/>
  <c r="L47" i="55"/>
  <c r="M47" i="55" s="1"/>
  <c r="N47" i="55" s="1"/>
  <c r="O47" i="55" s="1"/>
  <c r="P47" i="55" s="1"/>
  <c r="Q47" i="55" s="1"/>
  <c r="AD47" i="55"/>
  <c r="AE47" i="55" s="1"/>
  <c r="AF47" i="55" s="1"/>
  <c r="AG47" i="55" s="1"/>
  <c r="AH47" i="55" s="1"/>
  <c r="AI47" i="55" s="1"/>
  <c r="AJ47" i="55" s="1"/>
  <c r="AK47" i="55" s="1"/>
  <c r="AL47" i="55" s="1"/>
  <c r="AM47" i="55" s="1"/>
  <c r="AC47" i="55"/>
  <c r="AB47" i="55"/>
  <c r="R47" i="55"/>
  <c r="S47" i="55" s="1"/>
  <c r="T47" i="55" s="1"/>
  <c r="U47" i="55" s="1"/>
  <c r="V47" i="55" s="1"/>
  <c r="W47" i="55" s="1"/>
  <c r="X47" i="55" s="1"/>
  <c r="Y47" i="55" s="1"/>
  <c r="Z47" i="55" s="1"/>
  <c r="AA47" i="55" s="1"/>
  <c r="AC52" i="55"/>
  <c r="AD52" i="55" s="1"/>
  <c r="AE52" i="55" s="1"/>
  <c r="AF52" i="55" s="1"/>
  <c r="AG52" i="55" s="1"/>
  <c r="AH52" i="55" s="1"/>
  <c r="AI52" i="55" s="1"/>
  <c r="AJ52" i="55" s="1"/>
  <c r="AK52" i="55" s="1"/>
  <c r="AL52" i="55" s="1"/>
  <c r="AM52" i="55" s="1"/>
  <c r="AB52" i="55"/>
  <c r="S52" i="55"/>
  <c r="T52" i="55" s="1"/>
  <c r="U52" i="55" s="1"/>
  <c r="V52" i="55" s="1"/>
  <c r="W52" i="55" s="1"/>
  <c r="X52" i="55" s="1"/>
  <c r="Y52" i="55" s="1"/>
  <c r="Z52" i="55" s="1"/>
  <c r="AA52" i="55" s="1"/>
  <c r="R52" i="55"/>
  <c r="K52" i="55"/>
  <c r="L52" i="55" s="1"/>
  <c r="M52" i="55" s="1"/>
  <c r="N52" i="55" s="1"/>
  <c r="O52" i="55" s="1"/>
  <c r="P52" i="55" s="1"/>
  <c r="Q52" i="55" s="1"/>
  <c r="J52" i="55"/>
  <c r="J42" i="55"/>
  <c r="K42" i="55" s="1"/>
  <c r="J133" i="55"/>
  <c r="AN44" i="55"/>
  <c r="AN133" i="55" s="1"/>
  <c r="AB44" i="55"/>
  <c r="AB133" i="55" s="1"/>
  <c r="S44" i="55"/>
  <c r="S133" i="55" s="1"/>
  <c r="R44" i="55"/>
  <c r="R133" i="55" s="1"/>
  <c r="M44" i="55"/>
  <c r="N44" i="55" s="1"/>
  <c r="L44" i="55"/>
  <c r="K44" i="55"/>
  <c r="K133" i="55" s="1"/>
  <c r="J44" i="55"/>
  <c r="J53" i="55"/>
  <c r="K53" i="55" s="1"/>
  <c r="AO42" i="55"/>
  <c r="AN42" i="55"/>
  <c r="AN91" i="55" s="1"/>
  <c r="AE42" i="55"/>
  <c r="AE91" i="55" s="1"/>
  <c r="AD42" i="55"/>
  <c r="AD91" i="55" s="1"/>
  <c r="AC42" i="55"/>
  <c r="AC91" i="55" s="1"/>
  <c r="AB42" i="55"/>
  <c r="AB91" i="55" s="1"/>
  <c r="S42" i="55"/>
  <c r="S91" i="55" s="1"/>
  <c r="R42" i="55"/>
  <c r="R91" i="55" s="1"/>
  <c r="AB49" i="55"/>
  <c r="AC49" i="55" s="1"/>
  <c r="AD49" i="55" s="1"/>
  <c r="AE49" i="55" s="1"/>
  <c r="AF49" i="55" s="1"/>
  <c r="AG49" i="55" s="1"/>
  <c r="AH49" i="55" s="1"/>
  <c r="AI49" i="55" s="1"/>
  <c r="AJ49" i="55" s="1"/>
  <c r="AK49" i="55" s="1"/>
  <c r="AL49" i="55" s="1"/>
  <c r="AM49" i="55" s="1"/>
  <c r="T49" i="55"/>
  <c r="U49" i="55" s="1"/>
  <c r="V49" i="55" s="1"/>
  <c r="W49" i="55" s="1"/>
  <c r="X49" i="55" s="1"/>
  <c r="Y49" i="55" s="1"/>
  <c r="Z49" i="55" s="1"/>
  <c r="AA49" i="55" s="1"/>
  <c r="S49" i="55"/>
  <c r="R49" i="55"/>
  <c r="J49" i="55"/>
  <c r="K49" i="55" s="1"/>
  <c r="L49" i="55" s="1"/>
  <c r="M49" i="55" s="1"/>
  <c r="N49" i="55" s="1"/>
  <c r="O49" i="55" s="1"/>
  <c r="P49" i="55" s="1"/>
  <c r="Q49" i="55" s="1"/>
  <c r="AN49" i="55"/>
  <c r="AO49" i="55"/>
  <c r="AP49" i="55" s="1"/>
  <c r="AN53" i="55"/>
  <c r="AN230" i="55" s="1"/>
  <c r="AB53" i="55"/>
  <c r="AB230" i="55" s="1"/>
  <c r="U53" i="55"/>
  <c r="U230" i="55" s="1"/>
  <c r="T53" i="55"/>
  <c r="T230" i="55" s="1"/>
  <c r="S53" i="55"/>
  <c r="S230" i="55" s="1"/>
  <c r="R53" i="55"/>
  <c r="R230" i="55" s="1"/>
  <c r="AO43" i="55"/>
  <c r="AN43" i="55"/>
  <c r="AN112" i="55" s="1"/>
  <c r="AD43" i="55"/>
  <c r="AD112" i="55" s="1"/>
  <c r="AC43" i="55"/>
  <c r="AC112" i="55" s="1"/>
  <c r="AB43" i="55"/>
  <c r="AB112" i="55" s="1"/>
  <c r="R43" i="55"/>
  <c r="R112" i="55" s="1"/>
  <c r="L43" i="55"/>
  <c r="L112" i="55" s="1"/>
  <c r="K43" i="55"/>
  <c r="K112" i="55" s="1"/>
  <c r="J43" i="55"/>
  <c r="J112" i="55"/>
  <c r="AO48" i="55"/>
  <c r="AP48" i="55" s="1"/>
  <c r="AN48" i="55"/>
  <c r="AC48" i="55"/>
  <c r="AD48" i="55" s="1"/>
  <c r="AE48" i="55" s="1"/>
  <c r="AF48" i="55" s="1"/>
  <c r="AG48" i="55" s="1"/>
  <c r="AH48" i="55" s="1"/>
  <c r="AI48" i="55" s="1"/>
  <c r="AJ48" i="55" s="1"/>
  <c r="AK48" i="55" s="1"/>
  <c r="AL48" i="55" s="1"/>
  <c r="AM48" i="55" s="1"/>
  <c r="AB48" i="55"/>
  <c r="R48" i="55"/>
  <c r="S48" i="55" s="1"/>
  <c r="T48" i="55" s="1"/>
  <c r="U48" i="55" s="1"/>
  <c r="V48" i="55" s="1"/>
  <c r="W48" i="55" s="1"/>
  <c r="X48" i="55" s="1"/>
  <c r="Y48" i="55" s="1"/>
  <c r="Z48" i="55" s="1"/>
  <c r="AA48" i="55" s="1"/>
  <c r="J48" i="55"/>
  <c r="K48" i="55" s="1"/>
  <c r="L48" i="55" s="1"/>
  <c r="M48" i="55" s="1"/>
  <c r="N48" i="55" s="1"/>
  <c r="O48" i="55" s="1"/>
  <c r="P48" i="55" s="1"/>
  <c r="Q48" i="55" s="1"/>
  <c r="AN52" i="55"/>
  <c r="AO52" i="55" s="1"/>
  <c r="AP52" i="55" s="1"/>
  <c r="AN47" i="55"/>
  <c r="AO47" i="55"/>
  <c r="AP47" i="55"/>
  <c r="J70" i="55"/>
  <c r="AO41" i="55"/>
  <c r="AN41" i="55"/>
  <c r="AN70" i="55" s="1"/>
  <c r="AC41" i="55"/>
  <c r="AC70" i="55" s="1"/>
  <c r="AB41" i="55"/>
  <c r="AB70" i="55" s="1"/>
  <c r="R41" i="55"/>
  <c r="R70" i="55" s="1"/>
  <c r="L41" i="55"/>
  <c r="K41" i="55"/>
  <c r="K70" i="55" s="1"/>
  <c r="J41" i="55"/>
  <c r="K85" i="55" l="1"/>
  <c r="L70" i="55"/>
  <c r="M41" i="55"/>
  <c r="K91" i="55"/>
  <c r="L42" i="55"/>
  <c r="K218" i="55"/>
  <c r="K223" i="55"/>
  <c r="K227" i="55"/>
  <c r="K216" i="55"/>
  <c r="K222" i="55"/>
  <c r="K212" i="55"/>
  <c r="K219" i="55"/>
  <c r="K221" i="55"/>
  <c r="K215" i="55"/>
  <c r="K220" i="55"/>
  <c r="K224" i="55"/>
  <c r="K214" i="55"/>
  <c r="K228" i="55"/>
  <c r="K225" i="55"/>
  <c r="K217" i="55"/>
  <c r="K213" i="55"/>
  <c r="K226" i="55"/>
  <c r="K229" i="55"/>
  <c r="L53" i="55"/>
  <c r="K230" i="55"/>
  <c r="T211" i="55"/>
  <c r="U51" i="55"/>
  <c r="K154" i="55"/>
  <c r="L45" i="55"/>
  <c r="L50"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O44" i="55"/>
  <c r="T44" i="55"/>
  <c r="L51" i="55"/>
  <c r="K74" i="55"/>
  <c r="H32" i="47" s="1"/>
  <c r="K79" i="55"/>
  <c r="H33" i="47" s="1"/>
  <c r="K77" i="55"/>
  <c r="H34" i="47" s="1"/>
  <c r="K89" i="55"/>
  <c r="K78" i="55"/>
  <c r="H38" i="47" s="1"/>
  <c r="K82" i="55"/>
  <c r="K71" i="55"/>
  <c r="H36" i="47" s="1"/>
  <c r="K80" i="55"/>
  <c r="K72" i="55"/>
  <c r="H31" i="47" s="1"/>
  <c r="K83" i="55"/>
  <c r="K86" i="55"/>
  <c r="K81" i="55"/>
  <c r="H41" i="47" s="1"/>
  <c r="K75" i="55"/>
  <c r="H35" i="47" s="1"/>
  <c r="AC53" i="55"/>
  <c r="AO53" i="55"/>
  <c r="J230" i="55"/>
  <c r="S45" i="55"/>
  <c r="K88" i="55"/>
  <c r="H40" i="47" s="1"/>
  <c r="AC50" i="55"/>
  <c r="AO50" i="55"/>
  <c r="AO91" i="55"/>
  <c r="AP42" i="55"/>
  <c r="AP91" i="55" s="1"/>
  <c r="J192" i="55"/>
  <c r="K73" i="55"/>
  <c r="H37" i="47" s="1"/>
  <c r="J91" i="55"/>
  <c r="L46" i="55"/>
  <c r="AP43" i="55"/>
  <c r="AP112" i="55" s="1"/>
  <c r="AO112" i="55"/>
  <c r="AB173" i="55"/>
  <c r="AN173" i="55"/>
  <c r="AB211" i="55"/>
  <c r="AN211" i="55"/>
  <c r="M133" i="55"/>
  <c r="M43" i="55"/>
  <c r="AP41" i="55"/>
  <c r="AP70" i="55" s="1"/>
  <c r="AO70" i="55"/>
  <c r="AC173" i="55"/>
  <c r="AO173" i="55"/>
  <c r="AP46" i="55"/>
  <c r="AP173" i="55" s="1"/>
  <c r="AC51" i="55"/>
  <c r="AO51" i="55"/>
  <c r="K76" i="55"/>
  <c r="H39" i="47" s="1"/>
  <c r="S43" i="55"/>
  <c r="AE43" i="55"/>
  <c r="V53" i="55"/>
  <c r="T42" i="55"/>
  <c r="AF42" i="55"/>
  <c r="R173" i="55"/>
  <c r="AD46" i="55"/>
  <c r="U50" i="55"/>
  <c r="R211" i="55"/>
  <c r="K90" i="55"/>
  <c r="S211" i="55"/>
  <c r="S41" i="55"/>
  <c r="S173" i="55"/>
  <c r="K84" i="55"/>
  <c r="AD41" i="55"/>
  <c r="T46" i="55"/>
  <c r="K87" i="55"/>
  <c r="AO154" i="55"/>
  <c r="AP45" i="55"/>
  <c r="AP154" i="55" s="1"/>
  <c r="AD45" i="55"/>
  <c r="AC44" i="55"/>
  <c r="AO44" i="55"/>
  <c r="L135" i="55" l="1"/>
  <c r="I10" i="47" s="1"/>
  <c r="L136" i="55"/>
  <c r="I16" i="47" s="1"/>
  <c r="L138" i="55"/>
  <c r="I14" i="47" s="1"/>
  <c r="L151" i="55"/>
  <c r="I20" i="47" s="1"/>
  <c r="L134" i="55"/>
  <c r="I15" i="47" s="1"/>
  <c r="L139" i="55"/>
  <c r="I18" i="47" s="1"/>
  <c r="L137" i="55"/>
  <c r="I11" i="47" s="1"/>
  <c r="L144" i="55"/>
  <c r="I19" i="47" s="1"/>
  <c r="T173" i="55"/>
  <c r="U46" i="55"/>
  <c r="AO211" i="55"/>
  <c r="AP51" i="55"/>
  <c r="AP211" i="55" s="1"/>
  <c r="AD70" i="55"/>
  <c r="AE41" i="55"/>
  <c r="U192" i="55"/>
  <c r="V50" i="55"/>
  <c r="AC211" i="55"/>
  <c r="AD51" i="55"/>
  <c r="L173" i="55"/>
  <c r="M46" i="55"/>
  <c r="L142" i="55"/>
  <c r="I12" i="47" s="1"/>
  <c r="AD173" i="55"/>
  <c r="AE46" i="55"/>
  <c r="M152" i="55"/>
  <c r="N152" i="55" s="1"/>
  <c r="M145" i="55"/>
  <c r="N145" i="55" s="1"/>
  <c r="M150" i="55"/>
  <c r="N150" i="55" s="1"/>
  <c r="M146" i="55"/>
  <c r="N146" i="55" s="1"/>
  <c r="M153" i="55"/>
  <c r="N153" i="55" s="1"/>
  <c r="M143" i="55"/>
  <c r="N143" i="55" s="1"/>
  <c r="M149" i="55"/>
  <c r="N149" i="55" s="1"/>
  <c r="M147" i="55"/>
  <c r="N147" i="55" s="1"/>
  <c r="M148" i="55"/>
  <c r="N148" i="55" s="1"/>
  <c r="L211" i="55"/>
  <c r="M51" i="55"/>
  <c r="L192" i="55"/>
  <c r="M50" i="55"/>
  <c r="AO230" i="55"/>
  <c r="AP53" i="55"/>
  <c r="AP230" i="55" s="1"/>
  <c r="T133" i="55"/>
  <c r="U44" i="55"/>
  <c r="O133" i="55"/>
  <c r="P44" i="55"/>
  <c r="AC133" i="55"/>
  <c r="AD44" i="55"/>
  <c r="AF91" i="55"/>
  <c r="AG42" i="55"/>
  <c r="AC230" i="55"/>
  <c r="AD53" i="55"/>
  <c r="L154" i="55"/>
  <c r="M45" i="55"/>
  <c r="L140" i="55"/>
  <c r="I13" i="47" s="1"/>
  <c r="S70" i="55"/>
  <c r="T41" i="55"/>
  <c r="AD154" i="55"/>
  <c r="AE45" i="55"/>
  <c r="T91" i="55"/>
  <c r="U42" i="55"/>
  <c r="S154" i="55"/>
  <c r="T45"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M42"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W53" i="55"/>
  <c r="M112" i="55"/>
  <c r="N43" i="55"/>
  <c r="U211" i="55"/>
  <c r="V51" i="55"/>
  <c r="K111" i="55"/>
  <c r="K105" i="55"/>
  <c r="K96" i="55"/>
  <c r="K99" i="55"/>
  <c r="K103" i="55"/>
  <c r="K100" i="55"/>
  <c r="K95" i="55"/>
  <c r="K92" i="55"/>
  <c r="K94" i="55"/>
  <c r="K106" i="55"/>
  <c r="K108" i="55"/>
  <c r="K98" i="55"/>
  <c r="K93" i="55"/>
  <c r="K110" i="55"/>
  <c r="K101" i="55"/>
  <c r="K107" i="55"/>
  <c r="K102" i="55"/>
  <c r="K109" i="55"/>
  <c r="K97" i="55"/>
  <c r="K104" i="55"/>
  <c r="AO133" i="55"/>
  <c r="AP44" i="55"/>
  <c r="AP133" i="55" s="1"/>
  <c r="AE112" i="55"/>
  <c r="AF43" i="55"/>
  <c r="M70" i="55"/>
  <c r="N41" i="55"/>
  <c r="S112" i="55"/>
  <c r="T43" i="55"/>
  <c r="L141" i="55"/>
  <c r="I17" i="47" s="1"/>
  <c r="AO192" i="55"/>
  <c r="AP50" i="55"/>
  <c r="AP192" i="55" s="1"/>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AD50" i="55"/>
  <c r="M53" i="55"/>
  <c r="L230" i="55"/>
  <c r="P133" i="55" l="1"/>
  <c r="Q44" i="55"/>
  <c r="Q133" i="55" s="1"/>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U43" i="55"/>
  <c r="M91" i="55"/>
  <c r="N42" i="55"/>
  <c r="T70" i="55"/>
  <c r="U41" i="55"/>
  <c r="O145" i="55"/>
  <c r="O143" i="55"/>
  <c r="O148" i="55"/>
  <c r="O146" i="55"/>
  <c r="O147" i="55"/>
  <c r="O152" i="55"/>
  <c r="O150" i="55"/>
  <c r="O153" i="55"/>
  <c r="O149" i="55"/>
  <c r="AD211" i="55"/>
  <c r="AE51" i="55"/>
  <c r="AE173" i="55"/>
  <c r="AF46" i="55"/>
  <c r="L108" i="55"/>
  <c r="L100" i="55"/>
  <c r="L98" i="55"/>
  <c r="L97" i="55"/>
  <c r="L107" i="55"/>
  <c r="L99" i="55"/>
  <c r="L110" i="55"/>
  <c r="L111" i="55"/>
  <c r="L95" i="55"/>
  <c r="L103" i="55"/>
  <c r="L96" i="55"/>
  <c r="L92" i="55"/>
  <c r="L93" i="55"/>
  <c r="L102" i="55"/>
  <c r="L106" i="55"/>
  <c r="L104" i="55"/>
  <c r="L101" i="55"/>
  <c r="L94" i="55"/>
  <c r="L109" i="55"/>
  <c r="L105" i="55"/>
  <c r="U133" i="55"/>
  <c r="V44" i="55"/>
  <c r="M192" i="55"/>
  <c r="N50"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O43"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W50" i="55"/>
  <c r="M130" i="55"/>
  <c r="M126" i="55"/>
  <c r="M114" i="55"/>
  <c r="M117" i="55"/>
  <c r="M122" i="55"/>
  <c r="M123" i="55"/>
  <c r="M132" i="55"/>
  <c r="M113" i="55"/>
  <c r="M115" i="55"/>
  <c r="M125" i="55"/>
  <c r="M118" i="55"/>
  <c r="M120" i="55"/>
  <c r="M131" i="55"/>
  <c r="M127" i="55"/>
  <c r="M124" i="55"/>
  <c r="M128" i="55"/>
  <c r="M116" i="55"/>
  <c r="M119" i="55"/>
  <c r="M129" i="55"/>
  <c r="M121" i="55"/>
  <c r="M211" i="55"/>
  <c r="N51" i="55"/>
  <c r="L221" i="55"/>
  <c r="L217" i="55"/>
  <c r="L225" i="55"/>
  <c r="L215" i="55"/>
  <c r="L216" i="55"/>
  <c r="L229" i="55"/>
  <c r="L214" i="55"/>
  <c r="L226" i="55"/>
  <c r="L222" i="55"/>
  <c r="L212" i="55"/>
  <c r="L227" i="55"/>
  <c r="L213" i="55"/>
  <c r="L220" i="55"/>
  <c r="L223" i="55"/>
  <c r="L218" i="55"/>
  <c r="L219" i="55"/>
  <c r="L228" i="55"/>
  <c r="L224" i="55"/>
  <c r="AE70" i="55"/>
  <c r="AF41" i="55"/>
  <c r="M173" i="55"/>
  <c r="N46" i="55"/>
  <c r="AD192" i="55"/>
  <c r="AE50" i="55"/>
  <c r="AE154" i="55"/>
  <c r="AF45" i="55"/>
  <c r="AF112" i="55"/>
  <c r="AG43" i="55"/>
  <c r="V211" i="55"/>
  <c r="W51" i="55"/>
  <c r="M154" i="55"/>
  <c r="N45" i="55"/>
  <c r="AG91" i="55"/>
  <c r="AH42" i="55"/>
  <c r="W230" i="55"/>
  <c r="X53" i="55"/>
  <c r="T154" i="55"/>
  <c r="U45" i="55"/>
  <c r="U91" i="55"/>
  <c r="V42"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V46" i="55"/>
  <c r="N70" i="55"/>
  <c r="O41" i="55"/>
  <c r="M230" i="55"/>
  <c r="N53" i="55"/>
  <c r="AD230" i="55"/>
  <c r="AE53" i="55"/>
  <c r="AD133" i="55"/>
  <c r="AE44" i="55"/>
  <c r="AF154" i="55" l="1"/>
  <c r="AG45"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AF53" i="55"/>
  <c r="V133" i="55"/>
  <c r="W44" i="55"/>
  <c r="N173" i="55"/>
  <c r="O46" i="55"/>
  <c r="N85" i="55"/>
  <c r="N87" i="55"/>
  <c r="N83" i="55"/>
  <c r="N89" i="55"/>
  <c r="N86" i="55"/>
  <c r="N90" i="55"/>
  <c r="N84" i="55"/>
  <c r="N80" i="55"/>
  <c r="N82" i="55"/>
  <c r="O50" i="55"/>
  <c r="N192" i="55"/>
  <c r="AH91" i="55"/>
  <c r="AI42" i="55"/>
  <c r="W211" i="55"/>
  <c r="X5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46" i="55"/>
  <c r="AG112" i="55"/>
  <c r="AH43" i="55"/>
  <c r="W192" i="55"/>
  <c r="X50" i="55"/>
  <c r="U70" i="55"/>
  <c r="V41" i="55"/>
  <c r="O70" i="55"/>
  <c r="P41" i="55"/>
  <c r="V91" i="55"/>
  <c r="W42" i="55"/>
  <c r="N154" i="55"/>
  <c r="O45" i="55"/>
  <c r="M167" i="55"/>
  <c r="M169" i="55"/>
  <c r="M164" i="55"/>
  <c r="M170" i="55"/>
  <c r="M171" i="55"/>
  <c r="M166" i="55"/>
  <c r="M168" i="55"/>
  <c r="M172" i="55"/>
  <c r="AE211" i="55"/>
  <c r="AF51" i="55"/>
  <c r="U154" i="55"/>
  <c r="V45" i="55"/>
  <c r="O112" i="55"/>
  <c r="P43" i="55"/>
  <c r="N91" i="55"/>
  <c r="O42" i="55"/>
  <c r="AE133" i="55"/>
  <c r="AF44" i="55"/>
  <c r="V173" i="55"/>
  <c r="W46" i="55"/>
  <c r="N211" i="55"/>
  <c r="O5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AG41" i="55"/>
  <c r="N230" i="55"/>
  <c r="O53" i="55"/>
  <c r="X230" i="55"/>
  <c r="Y53" i="55"/>
  <c r="AE192" i="55"/>
  <c r="AF50" i="55"/>
  <c r="M215" i="55"/>
  <c r="M216" i="55"/>
  <c r="M218" i="55"/>
  <c r="M220" i="55"/>
  <c r="M221" i="55"/>
  <c r="M214" i="55"/>
  <c r="M229" i="55"/>
  <c r="M227" i="55"/>
  <c r="M224" i="55"/>
  <c r="M217" i="55"/>
  <c r="M226" i="55"/>
  <c r="M228" i="55"/>
  <c r="M225" i="55"/>
  <c r="M222" i="55"/>
  <c r="M219" i="55"/>
  <c r="M212" i="55"/>
  <c r="M213" i="55"/>
  <c r="M223" i="55"/>
  <c r="U112" i="55"/>
  <c r="V43" i="55"/>
  <c r="Q138" i="55" l="1"/>
  <c r="N14" i="47" s="1"/>
  <c r="Q139" i="55"/>
  <c r="N18" i="47" s="1"/>
  <c r="Q142" i="55"/>
  <c r="N12" i="47" s="1"/>
  <c r="Q140" i="55"/>
  <c r="N13" i="47" s="1"/>
  <c r="Q134" i="55"/>
  <c r="N15" i="47" s="1"/>
  <c r="Q141" i="55"/>
  <c r="N17" i="47" s="1"/>
  <c r="Q137" i="55"/>
  <c r="N11" i="47" s="1"/>
  <c r="Q151" i="55"/>
  <c r="N20" i="47" s="1"/>
  <c r="Q136" i="55"/>
  <c r="N16" i="47" s="1"/>
  <c r="Q144" i="55"/>
  <c r="N19" i="47" s="1"/>
  <c r="Q135" i="55"/>
  <c r="X211" i="55"/>
  <c r="Y51" i="55"/>
  <c r="N245" i="55"/>
  <c r="N231" i="55"/>
  <c r="N248" i="55"/>
  <c r="N244" i="55"/>
  <c r="N251" i="55"/>
  <c r="N252" i="55"/>
  <c r="N246" i="55"/>
  <c r="N247" i="55"/>
  <c r="N242" i="55"/>
  <c r="N250" i="55"/>
  <c r="N249" i="55"/>
  <c r="N232" i="55"/>
  <c r="AI91" i="55"/>
  <c r="AJ42" i="55"/>
  <c r="O173" i="55"/>
  <c r="P46" i="55"/>
  <c r="AF211" i="55"/>
  <c r="AG5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AH41" i="55"/>
  <c r="O130" i="55"/>
  <c r="O117" i="55"/>
  <c r="O121" i="55"/>
  <c r="O126" i="55"/>
  <c r="O122" i="55"/>
  <c r="O120" i="55"/>
  <c r="O115" i="55"/>
  <c r="O132" i="55"/>
  <c r="O127" i="55"/>
  <c r="O124" i="55"/>
  <c r="O119" i="55"/>
  <c r="O128" i="55"/>
  <c r="O125" i="55"/>
  <c r="O123" i="55"/>
  <c r="O113" i="55"/>
  <c r="O116" i="55"/>
  <c r="O129" i="55"/>
  <c r="O114" i="55"/>
  <c r="O118" i="55"/>
  <c r="O131" i="55"/>
  <c r="X192" i="55"/>
  <c r="Y50" i="55"/>
  <c r="O192" i="55"/>
  <c r="P50" i="55"/>
  <c r="W133" i="55"/>
  <c r="X44" i="55"/>
  <c r="AF133" i="55"/>
  <c r="AG44" i="55"/>
  <c r="V154" i="55"/>
  <c r="W45" i="55"/>
  <c r="V153" i="55"/>
  <c r="V148" i="55"/>
  <c r="V146" i="55"/>
  <c r="V147" i="55"/>
  <c r="V150" i="55"/>
  <c r="V145" i="55"/>
  <c r="V149" i="55"/>
  <c r="V152" i="55"/>
  <c r="V143" i="55"/>
  <c r="AH112" i="55"/>
  <c r="AI43" i="55"/>
  <c r="AF230" i="55"/>
  <c r="AG53" i="55"/>
  <c r="V112" i="55"/>
  <c r="W43" i="55"/>
  <c r="P112" i="55"/>
  <c r="Q43" i="55"/>
  <c r="Q112" i="55" s="1"/>
  <c r="O211" i="55"/>
  <c r="P51" i="55"/>
  <c r="O91" i="55"/>
  <c r="P42" i="55"/>
  <c r="W173" i="55"/>
  <c r="X46"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AH46" i="55"/>
  <c r="O230" i="55"/>
  <c r="P53" i="55"/>
  <c r="AF192" i="55"/>
  <c r="AG50" i="55"/>
  <c r="O154" i="55"/>
  <c r="P45" i="55"/>
  <c r="P70" i="55"/>
  <c r="Q41" i="55"/>
  <c r="Q70" i="55" s="1"/>
  <c r="N168" i="55"/>
  <c r="N164" i="55"/>
  <c r="N169" i="55"/>
  <c r="N172" i="55"/>
  <c r="N171" i="55"/>
  <c r="N170" i="55"/>
  <c r="N166" i="55"/>
  <c r="N167" i="55"/>
  <c r="O80" i="55"/>
  <c r="O85" i="55"/>
  <c r="O87" i="55"/>
  <c r="O84" i="55"/>
  <c r="O89" i="55"/>
  <c r="O86" i="55"/>
  <c r="O90" i="55"/>
  <c r="O83" i="55"/>
  <c r="O82" i="55"/>
  <c r="V70" i="55"/>
  <c r="W41" i="55"/>
  <c r="AG154" i="55"/>
  <c r="AH45" i="55"/>
  <c r="R134" i="55"/>
  <c r="Y230" i="55"/>
  <c r="Z53" i="55"/>
  <c r="W91" i="55"/>
  <c r="X42" i="55"/>
  <c r="R138" i="55" l="1"/>
  <c r="O14" i="47" s="1"/>
  <c r="R136" i="55"/>
  <c r="O16" i="47" s="1"/>
  <c r="R140" i="55"/>
  <c r="O13" i="47" s="1"/>
  <c r="R151" i="55"/>
  <c r="R142" i="55"/>
  <c r="S142" i="55" s="1"/>
  <c r="P12" i="47" s="1"/>
  <c r="R139" i="55"/>
  <c r="S139" i="55" s="1"/>
  <c r="R137" i="55"/>
  <c r="S137" i="55" s="1"/>
  <c r="R144" i="55"/>
  <c r="S144" i="55" s="1"/>
  <c r="R141" i="55"/>
  <c r="O17" i="47" s="1"/>
  <c r="N10" i="47"/>
  <c r="R135" i="55"/>
  <c r="O242" i="55"/>
  <c r="O246" i="55"/>
  <c r="O231" i="55"/>
  <c r="O247" i="55"/>
  <c r="O248" i="55"/>
  <c r="O251" i="55"/>
  <c r="O245" i="55"/>
  <c r="O250" i="55"/>
  <c r="O252" i="55"/>
  <c r="O249" i="55"/>
  <c r="O232" i="55"/>
  <c r="O244" i="55"/>
  <c r="AG133" i="55"/>
  <c r="AH44" i="55"/>
  <c r="P173" i="55"/>
  <c r="Q46" i="55"/>
  <c r="Q173" i="55" s="1"/>
  <c r="AJ91" i="55"/>
  <c r="AK42" i="55"/>
  <c r="O15" i="47"/>
  <c r="S134" i="55"/>
  <c r="W153" i="55"/>
  <c r="W148" i="55"/>
  <c r="W146" i="55"/>
  <c r="W147" i="55"/>
  <c r="W150" i="55"/>
  <c r="W145" i="55"/>
  <c r="W149" i="55"/>
  <c r="W143" i="55"/>
  <c r="W152" i="55"/>
  <c r="AH173" i="55"/>
  <c r="AI46" i="55"/>
  <c r="X133" i="55"/>
  <c r="Y44" i="55"/>
  <c r="Q42" i="55"/>
  <c r="Q91" i="55" s="1"/>
  <c r="P91" i="55"/>
  <c r="P192" i="55"/>
  <c r="Q50" i="55"/>
  <c r="Q192" i="55" s="1"/>
  <c r="Y211" i="55"/>
  <c r="Z5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AI41" i="55"/>
  <c r="P154" i="55"/>
  <c r="Q45" i="55"/>
  <c r="Q154" i="55" s="1"/>
  <c r="P211" i="55"/>
  <c r="Q51" i="55"/>
  <c r="Q211" i="55" s="1"/>
  <c r="W112" i="55"/>
  <c r="X43" i="55"/>
  <c r="Y192" i="55"/>
  <c r="Z50" i="55"/>
  <c r="P11" i="47"/>
  <c r="T137" i="55"/>
  <c r="AH154" i="55"/>
  <c r="AI45" i="55"/>
  <c r="O166" i="55"/>
  <c r="O168" i="55"/>
  <c r="O170" i="55"/>
  <c r="O169" i="55"/>
  <c r="O172" i="55"/>
  <c r="O164" i="55"/>
  <c r="O167" i="55"/>
  <c r="O171" i="55"/>
  <c r="X173" i="55"/>
  <c r="Y46" i="55"/>
  <c r="O228" i="55"/>
  <c r="O226" i="55"/>
  <c r="O222" i="55"/>
  <c r="O224" i="55"/>
  <c r="O217" i="55"/>
  <c r="O227" i="55"/>
  <c r="O216" i="55"/>
  <c r="O220" i="55"/>
  <c r="O229" i="55"/>
  <c r="O212" i="55"/>
  <c r="O225" i="55"/>
  <c r="O221" i="55"/>
  <c r="O219" i="55"/>
  <c r="O218" i="55"/>
  <c r="O223" i="55"/>
  <c r="O214" i="55"/>
  <c r="O213" i="55"/>
  <c r="O215" i="55"/>
  <c r="O18" i="47"/>
  <c r="AG192" i="55"/>
  <c r="AH50" i="55"/>
  <c r="AG230" i="55"/>
  <c r="AH53" i="55"/>
  <c r="Z230" i="55"/>
  <c r="AA53" i="55"/>
  <c r="AA230" i="55" s="1"/>
  <c r="W70" i="55"/>
  <c r="X41" i="55"/>
  <c r="O20" i="47"/>
  <c r="S151" i="55"/>
  <c r="AI112" i="55"/>
  <c r="AJ43" i="55"/>
  <c r="W154" i="55"/>
  <c r="X45" i="55"/>
  <c r="AG211" i="55"/>
  <c r="AH51" i="55"/>
  <c r="O174" i="55"/>
  <c r="O181" i="55"/>
  <c r="O188" i="55"/>
  <c r="O177" i="55"/>
  <c r="O180" i="55"/>
  <c r="O179" i="55"/>
  <c r="O175" i="55"/>
  <c r="O182" i="55"/>
  <c r="O176" i="55"/>
  <c r="O185" i="55"/>
  <c r="O187" i="55"/>
  <c r="O178" i="55"/>
  <c r="O183" i="55"/>
  <c r="O186" i="55"/>
  <c r="O184" i="55"/>
  <c r="O189" i="55"/>
  <c r="X91" i="55"/>
  <c r="Y42" i="55"/>
  <c r="P230" i="55"/>
  <c r="Q53" i="55"/>
  <c r="Q230" i="55" s="1"/>
  <c r="O19" i="47" l="1"/>
  <c r="S138" i="55"/>
  <c r="P14" i="47" s="1"/>
  <c r="S136" i="55"/>
  <c r="P16" i="47" s="1"/>
  <c r="T142" i="55"/>
  <c r="Q12" i="47" s="1"/>
  <c r="O12" i="47"/>
  <c r="Q71" i="55"/>
  <c r="N36" i="47" s="1"/>
  <c r="S140"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Z46" i="55"/>
  <c r="Y91" i="55"/>
  <c r="Z42" i="55"/>
  <c r="P20" i="47"/>
  <c r="T15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AI44" i="55"/>
  <c r="X70" i="55"/>
  <c r="Y41" i="55"/>
  <c r="Z192" i="55"/>
  <c r="AA50" i="55"/>
  <c r="AA192" i="55" s="1"/>
  <c r="AI70" i="55"/>
  <c r="AJ41" i="55"/>
  <c r="X153" i="55"/>
  <c r="X146" i="55"/>
  <c r="X147" i="55"/>
  <c r="X148" i="55"/>
  <c r="X150" i="55"/>
  <c r="X145" i="55"/>
  <c r="X149" i="55"/>
  <c r="X143" i="55"/>
  <c r="X152" i="55"/>
  <c r="W83" i="55"/>
  <c r="W82" i="55"/>
  <c r="W80" i="55"/>
  <c r="W86" i="55"/>
  <c r="W85" i="55"/>
  <c r="W87" i="55"/>
  <c r="W84" i="55"/>
  <c r="W90" i="55"/>
  <c r="W89" i="55"/>
  <c r="Z211" i="55"/>
  <c r="AA51" i="55"/>
  <c r="AA211" i="55" s="1"/>
  <c r="AI173" i="55"/>
  <c r="AJ46" i="55"/>
  <c r="Q11" i="47"/>
  <c r="U137" i="55"/>
  <c r="AH211" i="55"/>
  <c r="AI51" i="55"/>
  <c r="P18" i="47"/>
  <c r="T139" i="55"/>
  <c r="P19" i="47"/>
  <c r="T144"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Y45" i="55"/>
  <c r="AH230" i="55"/>
  <c r="AI53" i="55"/>
  <c r="AH192" i="55"/>
  <c r="AI50" i="55"/>
  <c r="X112" i="55"/>
  <c r="Y43"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AK43"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AL42" i="55"/>
  <c r="Y133" i="55"/>
  <c r="Z44" i="55"/>
  <c r="Q72" i="55"/>
  <c r="AI154" i="55"/>
  <c r="AJ45" i="55"/>
  <c r="P13" i="47"/>
  <c r="T140" i="55"/>
  <c r="T138" i="55" l="1"/>
  <c r="Q14" i="47" s="1"/>
  <c r="U142" i="55"/>
  <c r="T136" i="55"/>
  <c r="Q16" i="47" s="1"/>
  <c r="T141" i="55"/>
  <c r="Q17" i="47" s="1"/>
  <c r="R71" i="55"/>
  <c r="O36" i="47" s="1"/>
  <c r="R78" i="55"/>
  <c r="O38" i="47" s="1"/>
  <c r="R77" i="55"/>
  <c r="O34" i="47" s="1"/>
  <c r="R75" i="55"/>
  <c r="O35" i="47" s="1"/>
  <c r="R79" i="55"/>
  <c r="S79" i="55" s="1"/>
  <c r="R74" i="55"/>
  <c r="R88" i="55"/>
  <c r="O40" i="47" s="1"/>
  <c r="U141" i="55"/>
  <c r="R17" i="47" s="1"/>
  <c r="R81" i="55"/>
  <c r="S81" i="55" s="1"/>
  <c r="R73" i="55"/>
  <c r="S73" i="55" s="1"/>
  <c r="P37" i="47" s="1"/>
  <c r="U136" i="55"/>
  <c r="R16"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J50" i="55"/>
  <c r="AI230" i="55"/>
  <c r="AJ53" i="55"/>
  <c r="AJ173" i="55"/>
  <c r="AK46" i="55"/>
  <c r="Y70" i="55"/>
  <c r="Z41" i="55"/>
  <c r="AH247" i="55"/>
  <c r="AH231" i="55"/>
  <c r="AH251" i="55"/>
  <c r="AH250" i="55"/>
  <c r="AH249" i="55"/>
  <c r="AH232" i="55"/>
  <c r="AH246" i="55"/>
  <c r="AH248" i="55"/>
  <c r="AH244" i="55"/>
  <c r="AH245" i="55"/>
  <c r="AH252" i="55"/>
  <c r="AH242" i="55"/>
  <c r="Y154" i="55"/>
  <c r="Z45"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AJ44" i="55"/>
  <c r="Z133" i="55"/>
  <c r="AA44" i="55"/>
  <c r="AA133" i="55" s="1"/>
  <c r="Q15" i="47"/>
  <c r="U134" i="55"/>
  <c r="Q243" i="55"/>
  <c r="Q241" i="55"/>
  <c r="Q193" i="55"/>
  <c r="Y147" i="55"/>
  <c r="Y146" i="55"/>
  <c r="Y145" i="55"/>
  <c r="Y150" i="55"/>
  <c r="Y149" i="55"/>
  <c r="Y148" i="55"/>
  <c r="Y143" i="55"/>
  <c r="Y152" i="55"/>
  <c r="Y153" i="55"/>
  <c r="Q238" i="55"/>
  <c r="Q156" i="55"/>
  <c r="Q199" i="55"/>
  <c r="AK112" i="55"/>
  <c r="AL43" i="55"/>
  <c r="Q194" i="55"/>
  <c r="Q20" i="47"/>
  <c r="U151" i="55"/>
  <c r="AL91" i="55"/>
  <c r="AM42" i="55"/>
  <c r="AM91" i="55" s="1"/>
  <c r="Q203" i="55"/>
  <c r="Q19" i="47"/>
  <c r="U144" i="55"/>
  <c r="Q13" i="47"/>
  <c r="U140" i="55"/>
  <c r="Q240" i="55"/>
  <c r="Q198" i="55"/>
  <c r="AJ70" i="55"/>
  <c r="AK41" i="55"/>
  <c r="Z91" i="55"/>
  <c r="AA42" i="55"/>
  <c r="AA91" i="55" s="1"/>
  <c r="AI211" i="55"/>
  <c r="AJ51" i="55"/>
  <c r="Y106" i="55"/>
  <c r="Y111" i="55"/>
  <c r="Y94" i="55"/>
  <c r="Y103" i="55"/>
  <c r="Y93" i="55"/>
  <c r="Y105" i="55"/>
  <c r="Y98" i="55"/>
  <c r="Y101" i="55"/>
  <c r="Y109" i="55"/>
  <c r="Y110" i="55"/>
  <c r="Y97" i="55"/>
  <c r="Y95" i="55"/>
  <c r="Y102" i="55"/>
  <c r="Y99" i="55"/>
  <c r="Y108" i="55"/>
  <c r="Y107" i="55"/>
  <c r="Y104" i="55"/>
  <c r="Y96" i="55"/>
  <c r="Y92" i="55"/>
  <c r="Y100" i="55"/>
  <c r="Y112" i="55"/>
  <c r="Z43" i="55"/>
  <c r="R11" i="47"/>
  <c r="V137" i="55"/>
  <c r="Z173" i="55"/>
  <c r="AA46" i="55"/>
  <c r="AA173" i="55" s="1"/>
  <c r="R12" i="47"/>
  <c r="V142" i="55"/>
  <c r="AJ154" i="55"/>
  <c r="AK45"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Q18" i="47"/>
  <c r="U139"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U138" i="55" l="1"/>
  <c r="R14" i="47" s="1"/>
  <c r="O33" i="47"/>
  <c r="V141" i="55"/>
  <c r="S17" i="47" s="1"/>
  <c r="S71" i="55"/>
  <c r="P36" i="47" s="1"/>
  <c r="T73" i="55"/>
  <c r="Q37" i="47" s="1"/>
  <c r="O37" i="47"/>
  <c r="O41" i="47"/>
  <c r="S78" i="55"/>
  <c r="P38" i="47" s="1"/>
  <c r="S77" i="55"/>
  <c r="P34" i="47" s="1"/>
  <c r="R236" i="55"/>
  <c r="O53" i="47" s="1"/>
  <c r="V136" i="55"/>
  <c r="W136" i="55" s="1"/>
  <c r="S88" i="55"/>
  <c r="P40" i="47" s="1"/>
  <c r="S75" i="55"/>
  <c r="P35"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41" i="55"/>
  <c r="AA70" i="55" s="1"/>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V138" i="55"/>
  <c r="Y86" i="55"/>
  <c r="Y85" i="55"/>
  <c r="Y84" i="55"/>
  <c r="Y80" i="55"/>
  <c r="Y83" i="55"/>
  <c r="Y82" i="55"/>
  <c r="Y87" i="55"/>
  <c r="Y90" i="55"/>
  <c r="Y89" i="55"/>
  <c r="R18" i="47"/>
  <c r="V139" i="55"/>
  <c r="N52" i="47"/>
  <c r="R234" i="55"/>
  <c r="S12" i="47"/>
  <c r="W142" i="55"/>
  <c r="N29" i="47"/>
  <c r="R198" i="55"/>
  <c r="R13" i="47"/>
  <c r="V140" i="55"/>
  <c r="N42" i="47"/>
  <c r="R156" i="55"/>
  <c r="R20" i="47"/>
  <c r="V151" i="55"/>
  <c r="N60" i="47"/>
  <c r="R238" i="55"/>
  <c r="AJ133" i="55"/>
  <c r="AK44"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S11" i="47"/>
  <c r="W137" i="55"/>
  <c r="N59" i="47"/>
  <c r="R240" i="55"/>
  <c r="N21" i="47"/>
  <c r="R194" i="55"/>
  <c r="N54" i="47"/>
  <c r="R241" i="55"/>
  <c r="AK173" i="55"/>
  <c r="AL46" i="55"/>
  <c r="AK70" i="55"/>
  <c r="AL41" i="55"/>
  <c r="N22" i="47"/>
  <c r="R196" i="55"/>
  <c r="N23" i="47"/>
  <c r="R201" i="55"/>
  <c r="N61" i="47"/>
  <c r="R243" i="55"/>
  <c r="R19" i="47"/>
  <c r="V144"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45" i="55"/>
  <c r="AA154" i="55" s="1"/>
  <c r="AJ211" i="55"/>
  <c r="AK51" i="55"/>
  <c r="N30" i="47"/>
  <c r="R203" i="55"/>
  <c r="Y169" i="55"/>
  <c r="Y168" i="55"/>
  <c r="Y170" i="55"/>
  <c r="Y164" i="55"/>
  <c r="Y171" i="55"/>
  <c r="Y172" i="55"/>
  <c r="Y166" i="55"/>
  <c r="Y167" i="55"/>
  <c r="AJ230" i="55"/>
  <c r="AK53" i="55"/>
  <c r="Z112" i="55"/>
  <c r="AA43" i="55"/>
  <c r="AA112" i="55" s="1"/>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50" i="55"/>
  <c r="AK154" i="55"/>
  <c r="AL45"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43" i="55"/>
  <c r="AM112" i="55" s="1"/>
  <c r="N27" i="47"/>
  <c r="R195" i="55"/>
  <c r="AI207" i="55"/>
  <c r="AI206" i="55"/>
  <c r="AI205" i="55"/>
  <c r="AI202" i="55"/>
  <c r="AI204" i="55"/>
  <c r="AI208" i="55"/>
  <c r="O51" i="47" l="1"/>
  <c r="S16" i="47"/>
  <c r="T71" i="55"/>
  <c r="U71" i="55" s="1"/>
  <c r="R36" i="47" s="1"/>
  <c r="S236" i="55"/>
  <c r="W141" i="55"/>
  <c r="T17" i="47" s="1"/>
  <c r="U73" i="55"/>
  <c r="R37" i="47" s="1"/>
  <c r="T75" i="55"/>
  <c r="U75" i="55" s="1"/>
  <c r="T78" i="55"/>
  <c r="Q38" i="47" s="1"/>
  <c r="S157" i="55"/>
  <c r="P48" i="47" s="1"/>
  <c r="T77" i="55"/>
  <c r="Q34" i="47" s="1"/>
  <c r="O28" i="47"/>
  <c r="O25" i="47"/>
  <c r="T88" i="55"/>
  <c r="Q40" i="47" s="1"/>
  <c r="S235" i="55"/>
  <c r="P58" i="47" s="1"/>
  <c r="T74" i="55"/>
  <c r="P32" i="47"/>
  <c r="S159" i="55"/>
  <c r="P46" i="47" s="1"/>
  <c r="S162" i="55"/>
  <c r="O47" i="47"/>
  <c r="S155" i="55"/>
  <c r="O55" i="47"/>
  <c r="S163" i="55"/>
  <c r="P44" i="47" s="1"/>
  <c r="O132" i="47"/>
  <c r="S161" i="55"/>
  <c r="S233" i="55"/>
  <c r="P57" i="47" s="1"/>
  <c r="R10" i="47"/>
  <c r="V135" i="55"/>
  <c r="O43" i="47"/>
  <c r="S158" i="55"/>
  <c r="O50" i="47"/>
  <c r="S160" i="55"/>
  <c r="AL154" i="55"/>
  <c r="AM45" i="55"/>
  <c r="AM154" i="55" s="1"/>
  <c r="AJ204" i="55"/>
  <c r="AJ202" i="55"/>
  <c r="AJ208" i="55"/>
  <c r="AJ205" i="55"/>
  <c r="AJ206" i="55"/>
  <c r="AJ207" i="55"/>
  <c r="AK230" i="55"/>
  <c r="AL53" i="55"/>
  <c r="P28" i="47"/>
  <c r="T200" i="55"/>
  <c r="T12" i="47"/>
  <c r="X142" i="55"/>
  <c r="O59" i="47"/>
  <c r="S240" i="55"/>
  <c r="O42" i="47"/>
  <c r="S156" i="55"/>
  <c r="Q41" i="47"/>
  <c r="U81" i="55"/>
  <c r="AK211" i="55"/>
  <c r="AL51" i="55"/>
  <c r="P132" i="47"/>
  <c r="T253" i="55"/>
  <c r="O22" i="47"/>
  <c r="S196" i="55"/>
  <c r="T11" i="47"/>
  <c r="X137" i="55"/>
  <c r="P31" i="47"/>
  <c r="T72" i="55"/>
  <c r="T16" i="47"/>
  <c r="X136" i="55"/>
  <c r="S18" i="47"/>
  <c r="W139"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41" i="55"/>
  <c r="AM70" i="55" s="1"/>
  <c r="O54" i="47"/>
  <c r="S241" i="55"/>
  <c r="O56" i="47"/>
  <c r="S237"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S19" i="47"/>
  <c r="W144" i="55"/>
  <c r="P53" i="47"/>
  <c r="T236" i="55"/>
  <c r="AL173" i="55"/>
  <c r="AM46" i="55"/>
  <c r="AM173" i="55" s="1"/>
  <c r="AK133" i="55"/>
  <c r="AL44" i="55"/>
  <c r="S20" i="47"/>
  <c r="W151"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T157" i="55"/>
  <c r="P39" i="47"/>
  <c r="T76" i="55"/>
  <c r="P51" i="47"/>
  <c r="T165" i="55"/>
  <c r="AK192" i="55"/>
  <c r="AL50"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Q35" i="47" l="1"/>
  <c r="V71" i="55"/>
  <c r="S36" i="47" s="1"/>
  <c r="Q36" i="47"/>
  <c r="X141" i="55"/>
  <c r="U17" i="47" s="1"/>
  <c r="U88" i="55"/>
  <c r="R40" i="47" s="1"/>
  <c r="V73" i="55"/>
  <c r="S37" i="47" s="1"/>
  <c r="T235" i="55"/>
  <c r="U235" i="55" s="1"/>
  <c r="U78" i="55"/>
  <c r="R38" i="47" s="1"/>
  <c r="U77" i="55"/>
  <c r="R34" i="47" s="1"/>
  <c r="Q32" i="47"/>
  <c r="U74" i="55"/>
  <c r="T159" i="55"/>
  <c r="Q46" i="47" s="1"/>
  <c r="P47" i="47"/>
  <c r="T155" i="55"/>
  <c r="P49" i="47"/>
  <c r="T162" i="55"/>
  <c r="T233" i="55"/>
  <c r="U233" i="55" s="1"/>
  <c r="T163" i="55"/>
  <c r="P45" i="47"/>
  <c r="T161" i="55"/>
  <c r="P43" i="47"/>
  <c r="T158" i="55"/>
  <c r="S10" i="47"/>
  <c r="W135" i="55"/>
  <c r="P50" i="47"/>
  <c r="T160" i="55"/>
  <c r="Q51" i="47"/>
  <c r="U165" i="55"/>
  <c r="AL133" i="55"/>
  <c r="AM44" i="55"/>
  <c r="AM133" i="55" s="1"/>
  <c r="AL192" i="55"/>
  <c r="AM50" i="55"/>
  <c r="AM192" i="55" s="1"/>
  <c r="AK147" i="55"/>
  <c r="AK146" i="55"/>
  <c r="AK145" i="55"/>
  <c r="AK150" i="55"/>
  <c r="AK149" i="55"/>
  <c r="AK148" i="55"/>
  <c r="AK143" i="55"/>
  <c r="AK152" i="55"/>
  <c r="AK153" i="55"/>
  <c r="P56" i="47"/>
  <c r="T237" i="55"/>
  <c r="R33" i="47"/>
  <c r="V79" i="55"/>
  <c r="P26" i="47"/>
  <c r="T193" i="55"/>
  <c r="U16" i="47"/>
  <c r="Y136" i="55"/>
  <c r="Q132" i="47"/>
  <c r="U253" i="55"/>
  <c r="V88" i="55"/>
  <c r="R35" i="47"/>
  <c r="V75" i="55"/>
  <c r="T18" i="47"/>
  <c r="X139" i="55"/>
  <c r="P54" i="47"/>
  <c r="T241" i="55"/>
  <c r="Q55" i="47"/>
  <c r="U239" i="55"/>
  <c r="P60" i="47"/>
  <c r="T238" i="55"/>
  <c r="AL211" i="55"/>
  <c r="AM51" i="55"/>
  <c r="AM211" i="55" s="1"/>
  <c r="U12" i="47"/>
  <c r="Y142" i="55"/>
  <c r="AL230" i="55"/>
  <c r="AM53" i="55"/>
  <c r="AM230" i="55" s="1"/>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Q48" i="47"/>
  <c r="U157"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U11" i="47"/>
  <c r="Y137" i="55"/>
  <c r="P42" i="47"/>
  <c r="T156" i="55"/>
  <c r="AK204" i="55"/>
  <c r="AK206" i="55"/>
  <c r="AK202" i="55"/>
  <c r="AK207" i="55"/>
  <c r="AK205" i="55"/>
  <c r="AK208" i="55"/>
  <c r="P27" i="47"/>
  <c r="T195" i="55"/>
  <c r="P23" i="47"/>
  <c r="T201" i="55"/>
  <c r="P29" i="47"/>
  <c r="T198" i="55"/>
  <c r="T19" i="47"/>
  <c r="X144"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W73" i="55" l="1"/>
  <c r="Q58" i="47"/>
  <c r="W71" i="55"/>
  <c r="T36" i="47" s="1"/>
  <c r="V78" i="55"/>
  <c r="Y141" i="55"/>
  <c r="V77" i="55"/>
  <c r="S34" i="47" s="1"/>
  <c r="U159" i="55"/>
  <c r="R46" i="47" s="1"/>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V11" i="47"/>
  <c r="Z137"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U18" i="47"/>
  <c r="Y139" i="55"/>
  <c r="V16" i="47"/>
  <c r="Z136" i="55"/>
  <c r="Q42" i="47"/>
  <c r="U156" i="55"/>
  <c r="R39" i="47"/>
  <c r="V76" i="55"/>
  <c r="R58" i="47"/>
  <c r="V235" i="55"/>
  <c r="R25" i="47"/>
  <c r="V197" i="55"/>
  <c r="S41" i="47"/>
  <c r="W81" i="55"/>
  <c r="R57" i="47"/>
  <c r="V233" i="55"/>
  <c r="Q26" i="47"/>
  <c r="U193" i="55"/>
  <c r="R51" i="47"/>
  <c r="V165" i="55"/>
  <c r="U15" i="47"/>
  <c r="Y134" i="55"/>
  <c r="U13" i="47"/>
  <c r="Y140" i="55"/>
  <c r="Q61" i="47"/>
  <c r="U243" i="55"/>
  <c r="R31" i="47"/>
  <c r="V72" i="55"/>
  <c r="R48" i="47"/>
  <c r="V157"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T37" i="47"/>
  <c r="X73" i="55"/>
  <c r="V159" i="55"/>
  <c r="S33" i="47"/>
  <c r="W79" i="55"/>
  <c r="S38" i="47"/>
  <c r="W78" i="55"/>
  <c r="U14" i="47"/>
  <c r="Y138" i="55"/>
  <c r="Q59" i="47"/>
  <c r="U240" i="55"/>
  <c r="U19" i="47"/>
  <c r="Y144" i="55"/>
  <c r="R53" i="47"/>
  <c r="V236" i="55"/>
  <c r="Q30" i="47"/>
  <c r="U203" i="55"/>
  <c r="V17" i="47"/>
  <c r="Z141" i="55"/>
  <c r="X71" i="55" l="1"/>
  <c r="Y71" i="55" s="1"/>
  <c r="W77" i="55"/>
  <c r="X77" i="55" s="1"/>
  <c r="U34" i="47" s="1"/>
  <c r="S32" i="47"/>
  <c r="W74" i="55"/>
  <c r="R47" i="47"/>
  <c r="V155" i="55"/>
  <c r="R49" i="47"/>
  <c r="V162" i="55"/>
  <c r="R44" i="47"/>
  <c r="V163" i="55"/>
  <c r="R45" i="47"/>
  <c r="V161" i="55"/>
  <c r="V158" i="55"/>
  <c r="R43" i="47"/>
  <c r="Y135" i="55"/>
  <c r="U10" i="47"/>
  <c r="V160" i="55"/>
  <c r="R50" i="47"/>
  <c r="W11" i="47"/>
  <c r="AA137" i="55"/>
  <c r="T40" i="47"/>
  <c r="X88" i="55"/>
  <c r="S28" i="47"/>
  <c r="W200" i="55"/>
  <c r="R23" i="47"/>
  <c r="V201" i="55"/>
  <c r="S55" i="47"/>
  <c r="W239" i="55"/>
  <c r="U37" i="47"/>
  <c r="Y73" i="55"/>
  <c r="S53" i="47"/>
  <c r="W236" i="55"/>
  <c r="T38" i="47"/>
  <c r="X78" i="55"/>
  <c r="V13" i="47"/>
  <c r="Z140" i="55"/>
  <c r="T41" i="47"/>
  <c r="X81" i="55"/>
  <c r="R42" i="47"/>
  <c r="V156" i="55"/>
  <c r="R27" i="47"/>
  <c r="V195" i="55"/>
  <c r="R24" i="47"/>
  <c r="V199" i="55"/>
  <c r="V20" i="47"/>
  <c r="Z151" i="55"/>
  <c r="R56" i="47"/>
  <c r="V237" i="55"/>
  <c r="R61" i="47"/>
  <c r="V243" i="55"/>
  <c r="S25" i="47"/>
  <c r="W197" i="55"/>
  <c r="T33" i="47"/>
  <c r="X79" i="55"/>
  <c r="V15" i="47"/>
  <c r="Z134" i="55"/>
  <c r="S58" i="47"/>
  <c r="W235" i="55"/>
  <c r="W16" i="47"/>
  <c r="AA136" i="55"/>
  <c r="S57" i="47"/>
  <c r="W233" i="55"/>
  <c r="S132" i="47"/>
  <c r="W253" i="55"/>
  <c r="R22" i="47"/>
  <c r="V196" i="55"/>
  <c r="R29" i="47"/>
  <c r="V198" i="55"/>
  <c r="T35" i="47"/>
  <c r="X75" i="55"/>
  <c r="R30" i="47"/>
  <c r="V203" i="55"/>
  <c r="V19" i="47"/>
  <c r="Z144" i="55"/>
  <c r="S48" i="47"/>
  <c r="W157" i="55"/>
  <c r="S39" i="47"/>
  <c r="W76" i="55"/>
  <c r="V18" i="47"/>
  <c r="Z139" i="55"/>
  <c r="V14" i="47"/>
  <c r="Z138" i="55"/>
  <c r="R52" i="47"/>
  <c r="V234" i="55"/>
  <c r="R54" i="47"/>
  <c r="V241" i="55"/>
  <c r="R21" i="47"/>
  <c r="V194" i="55"/>
  <c r="R60" i="47"/>
  <c r="V238" i="55"/>
  <c r="S51" i="47"/>
  <c r="W165" i="55"/>
  <c r="W17" i="47"/>
  <c r="AA141" i="55"/>
  <c r="R59" i="47"/>
  <c r="V240" i="55"/>
  <c r="S46" i="47"/>
  <c r="W159" i="55"/>
  <c r="S31" i="47"/>
  <c r="W72" i="55"/>
  <c r="R26" i="47"/>
  <c r="V193" i="55"/>
  <c r="W12" i="47"/>
  <c r="AA142" i="55"/>
  <c r="U36" i="47" l="1"/>
  <c r="Y77" i="55"/>
  <c r="V34" i="47" s="1"/>
  <c r="T34" i="47"/>
  <c r="T32" i="47"/>
  <c r="X74" i="55"/>
  <c r="W162" i="55"/>
  <c r="S49" i="47"/>
  <c r="W155" i="55"/>
  <c r="S47" i="47"/>
  <c r="W163" i="55"/>
  <c r="S44" i="47"/>
  <c r="S45" i="47"/>
  <c r="W161" i="55"/>
  <c r="Z135" i="55"/>
  <c r="V10" i="47"/>
  <c r="S43" i="47"/>
  <c r="W158" i="55"/>
  <c r="S50" i="47"/>
  <c r="W160" i="55"/>
  <c r="S59" i="47"/>
  <c r="W240" i="55"/>
  <c r="W18" i="47"/>
  <c r="AA139"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T46" i="47"/>
  <c r="X159" i="55"/>
  <c r="S60" i="47"/>
  <c r="W238" i="55"/>
  <c r="W14" i="47"/>
  <c r="AA138" i="55"/>
  <c r="S30" i="47"/>
  <c r="W203" i="55"/>
  <c r="X16" i="47"/>
  <c r="AB136" i="55"/>
  <c r="S61" i="47"/>
  <c r="W243" i="55"/>
  <c r="S24" i="47"/>
  <c r="W199" i="55"/>
  <c r="T53" i="47"/>
  <c r="X236" i="55"/>
  <c r="X11" i="47"/>
  <c r="AB137" i="55"/>
  <c r="S21" i="47"/>
  <c r="W194" i="55"/>
  <c r="Z77" i="55" l="1"/>
  <c r="AA77" i="55" s="1"/>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Y11" i="47"/>
  <c r="AC137" i="55"/>
  <c r="X14" i="47"/>
  <c r="AB138" i="55"/>
  <c r="V38" i="47"/>
  <c r="Z78" i="55"/>
  <c r="T23" i="47"/>
  <c r="X201" i="55"/>
  <c r="T54" i="47"/>
  <c r="X241" i="55"/>
  <c r="U39" i="47"/>
  <c r="Y76" i="55"/>
  <c r="X18" i="47"/>
  <c r="AB139" i="55"/>
  <c r="Y16" i="47"/>
  <c r="AC136" i="55"/>
  <c r="T21" i="47"/>
  <c r="X194" i="55"/>
  <c r="U53" i="47"/>
  <c r="Y236" i="55"/>
  <c r="T60" i="47"/>
  <c r="X238" i="55"/>
  <c r="W36" i="47"/>
  <c r="AA71" i="55"/>
  <c r="U31" i="47"/>
  <c r="Y72" i="55"/>
  <c r="U132" i="47"/>
  <c r="Y253" i="55"/>
  <c r="V41" i="47"/>
  <c r="Z81" i="55"/>
  <c r="T29" i="47"/>
  <c r="X198" i="55"/>
  <c r="W37" i="47"/>
  <c r="AA73" i="55"/>
  <c r="T24" i="47"/>
  <c r="X199" i="55"/>
  <c r="U46" i="47"/>
  <c r="Y159" i="55"/>
  <c r="U25" i="47"/>
  <c r="Y197" i="55"/>
  <c r="Y17" i="47"/>
  <c r="AC141" i="55"/>
  <c r="X19" i="47"/>
  <c r="AB144" i="55"/>
  <c r="U55" i="47"/>
  <c r="Y239" i="55"/>
  <c r="T27" i="47"/>
  <c r="X195" i="55"/>
  <c r="T59" i="47"/>
  <c r="X240" i="55"/>
  <c r="Y12" i="47"/>
  <c r="AC142" i="55"/>
  <c r="T30" i="47"/>
  <c r="X203" i="55"/>
  <c r="W34" i="47" l="1"/>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Z11" i="47"/>
  <c r="AD137"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Z16" i="47"/>
  <c r="AD136"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W32" i="47" l="1"/>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AA16" i="47"/>
  <c r="AE136"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AA11" i="47"/>
  <c r="AE137" i="55"/>
  <c r="Z14" i="47"/>
  <c r="AD138" i="55"/>
  <c r="X41" i="47"/>
  <c r="AB81" i="55"/>
  <c r="X33" i="47"/>
  <c r="AB79" i="55"/>
  <c r="X32" i="47" l="1"/>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AB16" i="47"/>
  <c r="AF136" i="55"/>
  <c r="X46" i="47"/>
  <c r="AB159" i="55"/>
  <c r="W61" i="47"/>
  <c r="AA243" i="55"/>
  <c r="X53" i="47"/>
  <c r="AB236" i="55"/>
  <c r="AB11" i="47"/>
  <c r="AF137"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Y32" i="47" l="1"/>
  <c r="AC74" i="55"/>
  <c r="X47" i="47"/>
  <c r="AB155" i="55"/>
  <c r="X49" i="47"/>
  <c r="AB162" i="55"/>
  <c r="X44" i="47"/>
  <c r="AB163" i="55"/>
  <c r="X45" i="47"/>
  <c r="AB161" i="55"/>
  <c r="AB158" i="55"/>
  <c r="X43" i="47"/>
  <c r="AA10" i="47"/>
  <c r="AE135" i="55"/>
  <c r="X50" i="47"/>
  <c r="AB160" i="55"/>
  <c r="AB13" i="47"/>
  <c r="AF140" i="55"/>
  <c r="Z33" i="47"/>
  <c r="AD79" i="55"/>
  <c r="X56" i="47"/>
  <c r="AB237" i="55"/>
  <c r="AC11" i="47"/>
  <c r="AG1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AC16" i="47"/>
  <c r="AG136" i="55"/>
  <c r="X30" i="47"/>
  <c r="AB203" i="55"/>
  <c r="Y57" i="47"/>
  <c r="AC233" i="55"/>
  <c r="X24" i="47"/>
  <c r="AB199" i="55"/>
  <c r="Z32" i="47" l="1"/>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D11" i="47"/>
  <c r="AH137"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AD16" i="47"/>
  <c r="AH136" i="55"/>
  <c r="Y30" i="47"/>
  <c r="AC203" i="55"/>
  <c r="Y27" i="47"/>
  <c r="AC195" i="55"/>
  <c r="Z46" i="47"/>
  <c r="AD159" i="55"/>
  <c r="AB34" i="47"/>
  <c r="AF77" i="55"/>
  <c r="AA38" i="47"/>
  <c r="AE78" i="55"/>
  <c r="Y61" i="47"/>
  <c r="AC243" i="55"/>
  <c r="Z53" i="47"/>
  <c r="AD236" i="55"/>
  <c r="AC13" i="47"/>
  <c r="AG140" i="55"/>
  <c r="AE74" i="55" l="1"/>
  <c r="AA32" i="47"/>
  <c r="Z47" i="47"/>
  <c r="AD155" i="55"/>
  <c r="Z49" i="47"/>
  <c r="AD162" i="55"/>
  <c r="Z44" i="47"/>
  <c r="AD163" i="55"/>
  <c r="Z45" i="47"/>
  <c r="AD161" i="55"/>
  <c r="Z43" i="47"/>
  <c r="AD158" i="55"/>
  <c r="AC10" i="47"/>
  <c r="AG135" i="55"/>
  <c r="Z50" i="47"/>
  <c r="AD160" i="55"/>
  <c r="AC34" i="47"/>
  <c r="AG77" i="55"/>
  <c r="AE16" i="47"/>
  <c r="AI136"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E11" i="47"/>
  <c r="AI137"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B32" i="47" l="1"/>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1" i="47"/>
  <c r="AJ137" i="55"/>
  <c r="AF12" i="47"/>
  <c r="AJ142" i="55"/>
  <c r="AA23" i="47"/>
  <c r="AE201" i="55"/>
  <c r="AC35" i="47"/>
  <c r="AG75" i="55"/>
  <c r="AA54" i="47"/>
  <c r="AE241" i="55"/>
  <c r="AF16" i="47"/>
  <c r="AJ136" i="55"/>
  <c r="AB132" i="47"/>
  <c r="AF253" i="55"/>
  <c r="AA52" i="47"/>
  <c r="AE234" i="55"/>
  <c r="AE13" i="47"/>
  <c r="AI140" i="55"/>
  <c r="AB51" i="47"/>
  <c r="AF165" i="55"/>
  <c r="AB46" i="47"/>
  <c r="AF159" i="55"/>
  <c r="AA24" i="47"/>
  <c r="AE199" i="55"/>
  <c r="AA26" i="47"/>
  <c r="AE193" i="55"/>
  <c r="AD34" i="47"/>
  <c r="AH77" i="55"/>
  <c r="AC38" i="47"/>
  <c r="AG78" i="55"/>
  <c r="AC32" i="47" l="1"/>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G16" i="47"/>
  <c r="AK136" i="55"/>
  <c r="AG11" i="47"/>
  <c r="AK137"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D32" i="47" l="1"/>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H11" i="47"/>
  <c r="AL137" i="55"/>
  <c r="AC22" i="47"/>
  <c r="AG196" i="55"/>
  <c r="AH16" i="47"/>
  <c r="AL13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E32" i="47" l="1"/>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I16" i="47"/>
  <c r="AM136"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I11" i="47"/>
  <c r="AM137"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F32" i="47" l="1"/>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J16" i="47"/>
  <c r="AN136"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J11" i="47"/>
  <c r="AN137"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G32" i="47" l="1"/>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K11" i="47"/>
  <c r="AO137"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K16" i="47"/>
  <c r="AO136" i="55"/>
  <c r="AF42" i="47"/>
  <c r="AJ156" i="55"/>
  <c r="AK12" i="47"/>
  <c r="AO142" i="55"/>
  <c r="AF29" i="47"/>
  <c r="AJ198" i="55"/>
  <c r="AH38" i="47"/>
  <c r="AL78" i="55"/>
  <c r="AH35" i="47"/>
  <c r="AL75" i="55"/>
  <c r="AG31" i="47"/>
  <c r="AK72" i="55"/>
  <c r="AG57" i="47"/>
  <c r="AK233" i="55"/>
  <c r="AH32" i="47" l="1"/>
  <c r="AL74" i="55"/>
  <c r="AG49" i="47"/>
  <c r="AK162" i="55"/>
  <c r="AG47" i="47"/>
  <c r="AK155" i="55"/>
  <c r="AG44" i="47"/>
  <c r="AK163" i="55"/>
  <c r="AG45" i="47"/>
  <c r="AK161" i="55"/>
  <c r="AJ10" i="47"/>
  <c r="AN135" i="55"/>
  <c r="AG43" i="47"/>
  <c r="AK158" i="55"/>
  <c r="AK160" i="55"/>
  <c r="AG50" i="47"/>
  <c r="AH53" i="47"/>
  <c r="AL236" i="55"/>
  <c r="AL11" i="47"/>
  <c r="AP137" i="55"/>
  <c r="AM11" i="47" s="1"/>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L16" i="47"/>
  <c r="AP136" i="55"/>
  <c r="AM16" i="47" s="1"/>
  <c r="AJ36" i="47"/>
  <c r="AN71" i="55"/>
  <c r="AI35" i="47"/>
  <c r="AM75" i="55"/>
  <c r="AG52" i="47"/>
  <c r="AK234" i="55"/>
  <c r="AI32" i="47" l="1"/>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N74" i="55" l="1"/>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O105" i="32" l="1"/>
  <c r="O126" i="32"/>
  <c r="O127" i="32"/>
  <c r="P105" i="32" l="1"/>
  <c r="Q105" i="32" s="1"/>
  <c r="R105" i="32" s="1"/>
  <c r="S105" i="32" s="1"/>
  <c r="T105" i="32" s="1"/>
  <c r="U105" i="32" s="1"/>
  <c r="V105" i="32" s="1"/>
  <c r="W105" i="32" s="1"/>
  <c r="X105" i="32" s="1"/>
  <c r="Y105" i="32" s="1"/>
  <c r="Z105" i="32" s="1"/>
  <c r="AA105" i="32" s="1"/>
  <c r="AB105" i="32" s="1"/>
  <c r="AC105" i="32" s="1"/>
  <c r="AD105" i="32" s="1"/>
  <c r="AE105" i="32" s="1"/>
  <c r="AF105" i="32" s="1"/>
  <c r="AG105" i="32" s="1"/>
  <c r="AH105" i="32" s="1"/>
  <c r="AI105" i="32" s="1"/>
  <c r="AJ105" i="32" s="1"/>
  <c r="AK105" i="32" s="1"/>
  <c r="AL105" i="32" s="1"/>
  <c r="AM105" i="32" s="1"/>
  <c r="AN105" i="32" s="1"/>
  <c r="AO105" i="32" s="1"/>
  <c r="AP105" i="32" s="1"/>
  <c r="P126" i="32"/>
  <c r="Q126" i="32" s="1"/>
  <c r="R126" i="32" s="1"/>
  <c r="S126" i="32" s="1"/>
  <c r="T126" i="32" s="1"/>
  <c r="U126" i="32" s="1"/>
  <c r="V126" i="32" s="1"/>
  <c r="W126" i="32" s="1"/>
  <c r="X126" i="32" s="1"/>
  <c r="Y126" i="32" s="1"/>
  <c r="Z126" i="32" s="1"/>
  <c r="AA126" i="32" s="1"/>
  <c r="AB126" i="32" s="1"/>
  <c r="AC126" i="32" s="1"/>
  <c r="AD126" i="32" s="1"/>
  <c r="AE126" i="32" s="1"/>
  <c r="AF126" i="32" s="1"/>
  <c r="AG126" i="32" s="1"/>
  <c r="AH126" i="32" s="1"/>
  <c r="AI126" i="32" s="1"/>
  <c r="AJ126" i="32" s="1"/>
  <c r="AK126" i="32" s="1"/>
  <c r="AL126" i="32" s="1"/>
  <c r="AM126" i="32" s="1"/>
  <c r="AN126" i="32" s="1"/>
  <c r="AO126" i="32" s="1"/>
  <c r="AP126" i="32" s="1"/>
  <c r="O136" i="32"/>
  <c r="J134" i="32"/>
  <c r="J85" i="32" s="1"/>
  <c r="J91" i="32" s="1"/>
  <c r="O134" i="32"/>
  <c r="O130" i="32"/>
  <c r="J133" i="32"/>
  <c r="O133" i="32"/>
  <c r="O116" i="32"/>
  <c r="J106" i="32"/>
  <c r="O106" i="32"/>
  <c r="J117" i="32"/>
  <c r="O117" i="32"/>
  <c r="J116" i="32"/>
  <c r="J126" i="32"/>
  <c r="N126" i="32" s="1"/>
  <c r="J127" i="32"/>
  <c r="J84" i="32" s="1"/>
  <c r="J90" i="32" s="1"/>
  <c r="O125" i="32"/>
  <c r="O115" i="32"/>
  <c r="J105" i="32"/>
  <c r="N105" i="32" s="1"/>
  <c r="O128" i="32"/>
  <c r="O132" i="32"/>
  <c r="P136" i="32" l="1"/>
  <c r="Q136" i="32" s="1"/>
  <c r="R136" i="32" s="1"/>
  <c r="S136" i="32" s="1"/>
  <c r="T136" i="32" s="1"/>
  <c r="U136" i="32" s="1"/>
  <c r="V136" i="32" s="1"/>
  <c r="W136" i="32" s="1"/>
  <c r="X136" i="32" s="1"/>
  <c r="Y136" i="32" s="1"/>
  <c r="Z136" i="32" s="1"/>
  <c r="AA136" i="32" s="1"/>
  <c r="AB136" i="32" s="1"/>
  <c r="AC136" i="32" s="1"/>
  <c r="AD136" i="32" s="1"/>
  <c r="AE136" i="32" s="1"/>
  <c r="AF136" i="32" s="1"/>
  <c r="AG136" i="32" s="1"/>
  <c r="AH136" i="32" s="1"/>
  <c r="AI136" i="32" s="1"/>
  <c r="AJ136" i="32" s="1"/>
  <c r="AK136" i="32" s="1"/>
  <c r="AL136" i="32" s="1"/>
  <c r="AM136" i="32" s="1"/>
  <c r="AN136" i="32" s="1"/>
  <c r="AO136" i="32" s="1"/>
  <c r="AP136" i="32" s="1"/>
  <c r="M126" i="32"/>
  <c r="L126" i="32"/>
  <c r="K126" i="32"/>
  <c r="P125" i="32"/>
  <c r="Q125" i="32" s="1"/>
  <c r="R125" i="32" s="1"/>
  <c r="S125" i="32" s="1"/>
  <c r="T125" i="32" s="1"/>
  <c r="U125" i="32" s="1"/>
  <c r="V125" i="32" s="1"/>
  <c r="W125" i="32" s="1"/>
  <c r="X125" i="32" s="1"/>
  <c r="Y125" i="32" s="1"/>
  <c r="Z125" i="32" s="1"/>
  <c r="AA125" i="32" s="1"/>
  <c r="AB125" i="32" s="1"/>
  <c r="AC125" i="32" s="1"/>
  <c r="AD125" i="32" s="1"/>
  <c r="AE125" i="32" s="1"/>
  <c r="AF125" i="32" s="1"/>
  <c r="AG125" i="32" s="1"/>
  <c r="AH125" i="32" s="1"/>
  <c r="AI125" i="32" s="1"/>
  <c r="AJ125" i="32" s="1"/>
  <c r="AK125" i="32" s="1"/>
  <c r="AL125" i="32" s="1"/>
  <c r="AM125" i="32" s="1"/>
  <c r="AN125" i="32" s="1"/>
  <c r="AO125" i="32" s="1"/>
  <c r="AP125" i="32" s="1"/>
  <c r="K127" i="32"/>
  <c r="K84" i="32" s="1"/>
  <c r="K90" i="32" s="1"/>
  <c r="P115" i="32"/>
  <c r="Q115" i="32" s="1"/>
  <c r="R115" i="32" s="1"/>
  <c r="S115" i="32" s="1"/>
  <c r="T115" i="32" s="1"/>
  <c r="U115" i="32" s="1"/>
  <c r="V115" i="32" s="1"/>
  <c r="W115" i="32" s="1"/>
  <c r="X115" i="32" s="1"/>
  <c r="Y115" i="32" s="1"/>
  <c r="Z115" i="32" s="1"/>
  <c r="AA115" i="32" s="1"/>
  <c r="AB115" i="32" s="1"/>
  <c r="AC115" i="32" s="1"/>
  <c r="AD115" i="32" s="1"/>
  <c r="AE115" i="32" s="1"/>
  <c r="AF115" i="32" s="1"/>
  <c r="AG115" i="32" s="1"/>
  <c r="AH115" i="32" s="1"/>
  <c r="AI115" i="32" s="1"/>
  <c r="AJ115" i="32" s="1"/>
  <c r="AK115" i="32" s="1"/>
  <c r="AL115" i="32" s="1"/>
  <c r="AM115" i="32" s="1"/>
  <c r="AN115" i="32" s="1"/>
  <c r="AO115" i="32" s="1"/>
  <c r="AP115" i="32" s="1"/>
  <c r="P132" i="32"/>
  <c r="Q132" i="32" s="1"/>
  <c r="R132" i="32" s="1"/>
  <c r="S132" i="32" s="1"/>
  <c r="T132" i="32" s="1"/>
  <c r="U132" i="32" s="1"/>
  <c r="V132" i="32" s="1"/>
  <c r="W132" i="32" s="1"/>
  <c r="X132" i="32" s="1"/>
  <c r="Y132" i="32" s="1"/>
  <c r="Z132" i="32" s="1"/>
  <c r="AA132" i="32" s="1"/>
  <c r="AB132" i="32" s="1"/>
  <c r="AC132" i="32" s="1"/>
  <c r="AD132" i="32" s="1"/>
  <c r="AE132" i="32" s="1"/>
  <c r="AF132" i="32" s="1"/>
  <c r="AG132" i="32" s="1"/>
  <c r="AH132" i="32" s="1"/>
  <c r="AI132" i="32" s="1"/>
  <c r="AJ132" i="32" s="1"/>
  <c r="AK132" i="32" s="1"/>
  <c r="AL132" i="32" s="1"/>
  <c r="AM132" i="32" s="1"/>
  <c r="AN132" i="32" s="1"/>
  <c r="AO132" i="32" s="1"/>
  <c r="AP132" i="32" s="1"/>
  <c r="L117" i="32"/>
  <c r="N117" i="32"/>
  <c r="M117" i="32"/>
  <c r="K117" i="32"/>
  <c r="P117" i="32"/>
  <c r="Q117" i="32" s="1"/>
  <c r="R117" i="32" s="1"/>
  <c r="S117" i="32" s="1"/>
  <c r="T117" i="32" s="1"/>
  <c r="U117" i="32" s="1"/>
  <c r="V117" i="32" s="1"/>
  <c r="W117" i="32" s="1"/>
  <c r="X117" i="32" s="1"/>
  <c r="Y117" i="32" s="1"/>
  <c r="Z117" i="32" s="1"/>
  <c r="AA117" i="32" s="1"/>
  <c r="AB117" i="32" s="1"/>
  <c r="AC117" i="32" s="1"/>
  <c r="AD117" i="32" s="1"/>
  <c r="AE117" i="32" s="1"/>
  <c r="AF117" i="32" s="1"/>
  <c r="AG117" i="32" s="1"/>
  <c r="AH117" i="32" s="1"/>
  <c r="AI117" i="32" s="1"/>
  <c r="AJ117" i="32" s="1"/>
  <c r="AK117" i="32" s="1"/>
  <c r="AL117" i="32" s="1"/>
  <c r="AM117" i="32" s="1"/>
  <c r="AN117" i="32" s="1"/>
  <c r="AO117" i="32" s="1"/>
  <c r="AP117" i="32" s="1"/>
  <c r="K133" i="32"/>
  <c r="M133" i="32"/>
  <c r="N133" i="32"/>
  <c r="P133" i="32"/>
  <c r="Q133" i="32" s="1"/>
  <c r="R133" i="32" s="1"/>
  <c r="S133" i="32" s="1"/>
  <c r="T133" i="32" s="1"/>
  <c r="U133" i="32" s="1"/>
  <c r="V133" i="32" s="1"/>
  <c r="W133" i="32" s="1"/>
  <c r="X133" i="32" s="1"/>
  <c r="Y133" i="32" s="1"/>
  <c r="Z133" i="32" s="1"/>
  <c r="AA133" i="32" s="1"/>
  <c r="AB133" i="32" s="1"/>
  <c r="AC133" i="32" s="1"/>
  <c r="AD133" i="32" s="1"/>
  <c r="AE133" i="32" s="1"/>
  <c r="AF133" i="32" s="1"/>
  <c r="AG133" i="32" s="1"/>
  <c r="AH133" i="32" s="1"/>
  <c r="AI133" i="32" s="1"/>
  <c r="AJ133" i="32" s="1"/>
  <c r="AK133" i="32" s="1"/>
  <c r="AL133" i="32" s="1"/>
  <c r="AM133" i="32" s="1"/>
  <c r="AN133" i="32" s="1"/>
  <c r="AO133" i="32" s="1"/>
  <c r="AP133" i="32" s="1"/>
  <c r="L133" i="32"/>
  <c r="N127" i="32"/>
  <c r="M127" i="32"/>
  <c r="M84" i="32" s="1"/>
  <c r="K106" i="32"/>
  <c r="L106" i="32"/>
  <c r="P106" i="32"/>
  <c r="Q106" i="32" s="1"/>
  <c r="R106" i="32" s="1"/>
  <c r="S106" i="32" s="1"/>
  <c r="T106" i="32" s="1"/>
  <c r="U106" i="32" s="1"/>
  <c r="V106" i="32" s="1"/>
  <c r="W106" i="32" s="1"/>
  <c r="X106" i="32" s="1"/>
  <c r="Y106" i="32" s="1"/>
  <c r="Z106" i="32" s="1"/>
  <c r="AA106" i="32" s="1"/>
  <c r="AB106" i="32" s="1"/>
  <c r="AC106" i="32" s="1"/>
  <c r="AD106" i="32" s="1"/>
  <c r="AE106" i="32" s="1"/>
  <c r="AF106" i="32" s="1"/>
  <c r="AG106" i="32" s="1"/>
  <c r="AH106" i="32" s="1"/>
  <c r="AI106" i="32" s="1"/>
  <c r="AJ106" i="32" s="1"/>
  <c r="AK106" i="32" s="1"/>
  <c r="AL106" i="32" s="1"/>
  <c r="AM106" i="32" s="1"/>
  <c r="AN106" i="32" s="1"/>
  <c r="AO106" i="32" s="1"/>
  <c r="AP106" i="32" s="1"/>
  <c r="M106" i="32"/>
  <c r="N106" i="32"/>
  <c r="L127" i="32"/>
  <c r="L84" i="32" s="1"/>
  <c r="L90" i="32" s="1"/>
  <c r="P130" i="32"/>
  <c r="Q130" i="32" s="1"/>
  <c r="R130" i="32" s="1"/>
  <c r="S130" i="32" s="1"/>
  <c r="T130" i="32" s="1"/>
  <c r="U130" i="32" s="1"/>
  <c r="V130" i="32" s="1"/>
  <c r="W130" i="32" s="1"/>
  <c r="X130" i="32" s="1"/>
  <c r="Y130" i="32" s="1"/>
  <c r="Z130" i="32" s="1"/>
  <c r="AA130" i="32" s="1"/>
  <c r="AB130" i="32" s="1"/>
  <c r="AC130" i="32" s="1"/>
  <c r="AD130" i="32" s="1"/>
  <c r="AE130" i="32" s="1"/>
  <c r="AF130" i="32" s="1"/>
  <c r="AG130" i="32" s="1"/>
  <c r="AH130" i="32" s="1"/>
  <c r="AI130" i="32" s="1"/>
  <c r="AJ130" i="32" s="1"/>
  <c r="AK130" i="32" s="1"/>
  <c r="AL130" i="32" s="1"/>
  <c r="AM130" i="32" s="1"/>
  <c r="AN130" i="32" s="1"/>
  <c r="AO130" i="32" s="1"/>
  <c r="AP130" i="32" s="1"/>
  <c r="M105" i="32"/>
  <c r="P128" i="32"/>
  <c r="Q128" i="32" s="1"/>
  <c r="R128" i="32" s="1"/>
  <c r="S128" i="32" s="1"/>
  <c r="T128" i="32" s="1"/>
  <c r="U128" i="32" s="1"/>
  <c r="V128" i="32" s="1"/>
  <c r="W128" i="32" s="1"/>
  <c r="X128" i="32" s="1"/>
  <c r="Y128" i="32" s="1"/>
  <c r="Z128" i="32" s="1"/>
  <c r="AA128" i="32" s="1"/>
  <c r="AB128" i="32" s="1"/>
  <c r="AC128" i="32" s="1"/>
  <c r="AD128" i="32" s="1"/>
  <c r="AE128" i="32" s="1"/>
  <c r="AF128" i="32" s="1"/>
  <c r="AG128" i="32" s="1"/>
  <c r="AH128" i="32" s="1"/>
  <c r="AI128" i="32" s="1"/>
  <c r="AJ128" i="32" s="1"/>
  <c r="AK128" i="32" s="1"/>
  <c r="AL128" i="32" s="1"/>
  <c r="AM128" i="32" s="1"/>
  <c r="AN128" i="32" s="1"/>
  <c r="AO128" i="32" s="1"/>
  <c r="AP128" i="32" s="1"/>
  <c r="M116" i="32"/>
  <c r="L116" i="32"/>
  <c r="N116" i="32"/>
  <c r="P116" i="32"/>
  <c r="Q116" i="32" s="1"/>
  <c r="R116" i="32" s="1"/>
  <c r="S116" i="32" s="1"/>
  <c r="T116" i="32" s="1"/>
  <c r="U116" i="32" s="1"/>
  <c r="V116" i="32" s="1"/>
  <c r="W116" i="32" s="1"/>
  <c r="X116" i="32" s="1"/>
  <c r="Y116" i="32" s="1"/>
  <c r="Z116" i="32" s="1"/>
  <c r="AA116" i="32" s="1"/>
  <c r="AB116" i="32" s="1"/>
  <c r="AC116" i="32" s="1"/>
  <c r="AD116" i="32" s="1"/>
  <c r="AE116" i="32" s="1"/>
  <c r="AF116" i="32" s="1"/>
  <c r="AG116" i="32" s="1"/>
  <c r="AH116" i="32" s="1"/>
  <c r="AI116" i="32" s="1"/>
  <c r="AJ116" i="32" s="1"/>
  <c r="AK116" i="32" s="1"/>
  <c r="AL116" i="32" s="1"/>
  <c r="AM116" i="32" s="1"/>
  <c r="AN116" i="32" s="1"/>
  <c r="AO116" i="32" s="1"/>
  <c r="AP116" i="32" s="1"/>
  <c r="K116" i="32"/>
  <c r="L105" i="32"/>
  <c r="N134" i="32"/>
  <c r="M134" i="32"/>
  <c r="M85" i="32" s="1"/>
  <c r="L134" i="32"/>
  <c r="L85" i="32" s="1"/>
  <c r="L91" i="32" s="1"/>
  <c r="K134" i="32"/>
  <c r="K85" i="32" s="1"/>
  <c r="K91" i="32" s="1"/>
  <c r="K105" i="32"/>
  <c r="O104" i="32"/>
  <c r="J104" i="32"/>
  <c r="O135" i="32"/>
  <c r="O131" i="32"/>
  <c r="O129" i="32"/>
  <c r="P135" i="32" l="1"/>
  <c r="Q135" i="32" s="1"/>
  <c r="R135" i="32" s="1"/>
  <c r="S135" i="32" s="1"/>
  <c r="T135" i="32" s="1"/>
  <c r="U135" i="32" s="1"/>
  <c r="V135" i="32" s="1"/>
  <c r="W135" i="32" s="1"/>
  <c r="X135" i="32" s="1"/>
  <c r="Y135" i="32" s="1"/>
  <c r="Z135" i="32" s="1"/>
  <c r="AA135" i="32" s="1"/>
  <c r="AB135" i="32" s="1"/>
  <c r="AC135" i="32" s="1"/>
  <c r="AD135" i="32" s="1"/>
  <c r="AE135" i="32" s="1"/>
  <c r="AF135" i="32" s="1"/>
  <c r="AG135" i="32" s="1"/>
  <c r="AH135" i="32" s="1"/>
  <c r="AI135" i="32" s="1"/>
  <c r="AJ135" i="32" s="1"/>
  <c r="AK135" i="32" s="1"/>
  <c r="AL135" i="32" s="1"/>
  <c r="AM135" i="32" s="1"/>
  <c r="AN135" i="32" s="1"/>
  <c r="AO135" i="32" s="1"/>
  <c r="AP135" i="32" s="1"/>
  <c r="M90" i="32"/>
  <c r="N84" i="32"/>
  <c r="O84" i="32" s="1"/>
  <c r="P84" i="32" s="1"/>
  <c r="P129" i="32"/>
  <c r="Q129" i="32" s="1"/>
  <c r="R129" i="32" s="1"/>
  <c r="S129" i="32" s="1"/>
  <c r="T129" i="32" s="1"/>
  <c r="U129" i="32" s="1"/>
  <c r="V129" i="32" s="1"/>
  <c r="W129" i="32" s="1"/>
  <c r="X129" i="32" s="1"/>
  <c r="Y129" i="32" s="1"/>
  <c r="Z129" i="32" s="1"/>
  <c r="AA129" i="32" s="1"/>
  <c r="AB129" i="32" s="1"/>
  <c r="AC129" i="32" s="1"/>
  <c r="AD129" i="32" s="1"/>
  <c r="AE129" i="32" s="1"/>
  <c r="AF129" i="32" s="1"/>
  <c r="AG129" i="32" s="1"/>
  <c r="AH129" i="32" s="1"/>
  <c r="AI129" i="32" s="1"/>
  <c r="AJ129" i="32" s="1"/>
  <c r="AK129" i="32" s="1"/>
  <c r="AL129" i="32" s="1"/>
  <c r="AM129" i="32" s="1"/>
  <c r="AN129" i="32" s="1"/>
  <c r="AO129" i="32" s="1"/>
  <c r="AP129" i="32" s="1"/>
  <c r="P131" i="32"/>
  <c r="Q131" i="32" s="1"/>
  <c r="R131" i="32" s="1"/>
  <c r="S131" i="32" s="1"/>
  <c r="T131" i="32" s="1"/>
  <c r="U131" i="32" s="1"/>
  <c r="V131" i="32" s="1"/>
  <c r="W131" i="32" s="1"/>
  <c r="X131" i="32" s="1"/>
  <c r="Y131" i="32" s="1"/>
  <c r="Z131" i="32" s="1"/>
  <c r="AA131" i="32" s="1"/>
  <c r="AB131" i="32" s="1"/>
  <c r="AC131" i="32" s="1"/>
  <c r="AD131" i="32" s="1"/>
  <c r="AE131" i="32" s="1"/>
  <c r="AF131" i="32" s="1"/>
  <c r="AG131" i="32" s="1"/>
  <c r="AH131" i="32" s="1"/>
  <c r="AI131" i="32" s="1"/>
  <c r="AJ131" i="32" s="1"/>
  <c r="AK131" i="32" s="1"/>
  <c r="AL131" i="32" s="1"/>
  <c r="AM131" i="32" s="1"/>
  <c r="AN131" i="32" s="1"/>
  <c r="AO131" i="32" s="1"/>
  <c r="AP131" i="32" s="1"/>
  <c r="L104" i="32"/>
  <c r="K104" i="32"/>
  <c r="N104" i="32"/>
  <c r="M104" i="32"/>
  <c r="P104" i="32"/>
  <c r="Q104" i="32" s="1"/>
  <c r="R104" i="32" s="1"/>
  <c r="S104" i="32" s="1"/>
  <c r="T104" i="32" s="1"/>
  <c r="U104" i="32" s="1"/>
  <c r="V104" i="32" s="1"/>
  <c r="W104" i="32" s="1"/>
  <c r="X104" i="32" s="1"/>
  <c r="Y104" i="32" s="1"/>
  <c r="Z104" i="32" s="1"/>
  <c r="AA104" i="32" s="1"/>
  <c r="AB104" i="32" s="1"/>
  <c r="AC104" i="32" s="1"/>
  <c r="AD104" i="32" s="1"/>
  <c r="AE104" i="32" s="1"/>
  <c r="AF104" i="32" s="1"/>
  <c r="AG104" i="32" s="1"/>
  <c r="AH104" i="32" s="1"/>
  <c r="AI104" i="32" s="1"/>
  <c r="AJ104" i="32" s="1"/>
  <c r="AK104" i="32" s="1"/>
  <c r="AL104" i="32" s="1"/>
  <c r="AM104" i="32" s="1"/>
  <c r="AN104" i="32" s="1"/>
  <c r="AO104" i="32" s="1"/>
  <c r="AP104" i="32" s="1"/>
  <c r="N85" i="32"/>
  <c r="O85" i="32" s="1"/>
  <c r="P85" i="32" s="1"/>
  <c r="Q85" i="32" s="1"/>
  <c r="R85" i="32" s="1"/>
  <c r="S85" i="32" s="1"/>
  <c r="T85" i="32" s="1"/>
  <c r="U85" i="32" s="1"/>
  <c r="V85" i="32" s="1"/>
  <c r="W85" i="32" s="1"/>
  <c r="X85" i="32" s="1"/>
  <c r="Y85" i="32" s="1"/>
  <c r="Z85" i="32" s="1"/>
  <c r="AA85" i="32" s="1"/>
  <c r="AB85" i="32" s="1"/>
  <c r="AC85" i="32" s="1"/>
  <c r="AD85" i="32" s="1"/>
  <c r="AE85" i="32" s="1"/>
  <c r="AF85" i="32" s="1"/>
  <c r="AG85" i="32" s="1"/>
  <c r="AH85" i="32" s="1"/>
  <c r="AI85" i="32" s="1"/>
  <c r="AJ85" i="32" s="1"/>
  <c r="AK85" i="32" s="1"/>
  <c r="AL85" i="32" s="1"/>
  <c r="AM85" i="32" s="1"/>
  <c r="AN85" i="32" s="1"/>
  <c r="AO85" i="32" s="1"/>
  <c r="AP85" i="32" s="1"/>
  <c r="AP91" i="32" s="1"/>
  <c r="AP134" i="32" s="1"/>
  <c r="M91" i="32"/>
  <c r="N90" i="32" l="1"/>
  <c r="W91" i="32"/>
  <c r="W134" i="32" s="1"/>
  <c r="V91" i="32"/>
  <c r="V134" i="32" s="1"/>
  <c r="AL91" i="32"/>
  <c r="AL134" i="32" s="1"/>
  <c r="U91" i="32"/>
  <c r="U134" i="32" s="1"/>
  <c r="T91" i="32"/>
  <c r="T134" i="32" s="1"/>
  <c r="AI91" i="32"/>
  <c r="AI134" i="32" s="1"/>
  <c r="S91" i="32"/>
  <c r="S134" i="32" s="1"/>
  <c r="X91" i="32"/>
  <c r="X134" i="32" s="1"/>
  <c r="AJ91" i="32"/>
  <c r="AJ134" i="32" s="1"/>
  <c r="AH91" i="32"/>
  <c r="AH134" i="32" s="1"/>
  <c r="R91" i="32"/>
  <c r="R134" i="32" s="1"/>
  <c r="AG91" i="32"/>
  <c r="AG134" i="32" s="1"/>
  <c r="Q91" i="32"/>
  <c r="Q134" i="32" s="1"/>
  <c r="AF91" i="32"/>
  <c r="AF134" i="32" s="1"/>
  <c r="P91" i="32"/>
  <c r="P134" i="32" s="1"/>
  <c r="AD91" i="32"/>
  <c r="AD134" i="32" s="1"/>
  <c r="N91" i="32"/>
  <c r="Z91" i="32"/>
  <c r="Z134" i="32" s="1"/>
  <c r="AB91" i="32"/>
  <c r="AB134" i="32" s="1"/>
  <c r="AE91" i="32"/>
  <c r="AE134" i="32" s="1"/>
  <c r="AO91" i="32"/>
  <c r="AO134" i="32" s="1"/>
  <c r="AC91" i="32"/>
  <c r="AC134" i="32" s="1"/>
  <c r="O90" i="32"/>
  <c r="AN91" i="32"/>
  <c r="AN134" i="32" s="1"/>
  <c r="P90" i="32"/>
  <c r="P127" i="32"/>
  <c r="Q84" i="32"/>
  <c r="AM91" i="32"/>
  <c r="AM134" i="32" s="1"/>
  <c r="AA91" i="32"/>
  <c r="AA134" i="32" s="1"/>
  <c r="O91" i="32"/>
  <c r="AK91" i="32"/>
  <c r="AK134" i="32" s="1"/>
  <c r="Y91" i="32"/>
  <c r="Y134" i="32" s="1"/>
  <c r="R84" i="32" l="1"/>
  <c r="Q90" i="32"/>
  <c r="Q127" i="32" s="1"/>
  <c r="S84" i="32" l="1"/>
  <c r="R90" i="32"/>
  <c r="R127" i="32" s="1"/>
  <c r="T84" i="32" l="1"/>
  <c r="S90" i="32"/>
  <c r="S127" i="32" s="1"/>
  <c r="U84" i="32" l="1"/>
  <c r="T90" i="32"/>
  <c r="T127" i="32" s="1"/>
  <c r="V84" i="32" l="1"/>
  <c r="U90" i="32"/>
  <c r="U127" i="32" s="1"/>
  <c r="W84" i="32" l="1"/>
  <c r="V90" i="32"/>
  <c r="V127" i="32" s="1"/>
  <c r="X84" i="32" l="1"/>
  <c r="W90" i="32"/>
  <c r="W127" i="32" s="1"/>
  <c r="Y84" i="32" l="1"/>
  <c r="X90" i="32"/>
  <c r="X127" i="32" s="1"/>
  <c r="Z84" i="32" l="1"/>
  <c r="Y90" i="32"/>
  <c r="Y127" i="32" s="1"/>
  <c r="AA84" i="32" l="1"/>
  <c r="Z90" i="32"/>
  <c r="Z127" i="32" s="1"/>
  <c r="AB84" i="32" l="1"/>
  <c r="AA90" i="32"/>
  <c r="AA127" i="32" s="1"/>
  <c r="AC84" i="32" l="1"/>
  <c r="AB90" i="32"/>
  <c r="AB127" i="32" s="1"/>
  <c r="AD84" i="32" l="1"/>
  <c r="AC90" i="32"/>
  <c r="AC127" i="32" s="1"/>
  <c r="AE84" i="32" l="1"/>
  <c r="AD90" i="32"/>
  <c r="AD127" i="32" s="1"/>
  <c r="J132" i="32"/>
  <c r="J115" i="32"/>
  <c r="M115" i="32" l="1"/>
  <c r="L115" i="32"/>
  <c r="N115" i="32"/>
  <c r="K115" i="32"/>
  <c r="K132" i="32"/>
  <c r="M132" i="32"/>
  <c r="L132" i="32"/>
  <c r="N132" i="32"/>
  <c r="AF84" i="32"/>
  <c r="AE90" i="32"/>
  <c r="AE127" i="32" s="1"/>
  <c r="J128" i="32"/>
  <c r="J135" i="32"/>
  <c r="J130" i="32"/>
  <c r="J125" i="32"/>
  <c r="J136" i="32"/>
  <c r="M135" i="32" l="1"/>
  <c r="K135" i="32"/>
  <c r="N135" i="32"/>
  <c r="L135" i="32"/>
  <c r="M130" i="32"/>
  <c r="K130" i="32"/>
  <c r="L130" i="32"/>
  <c r="N130" i="32"/>
  <c r="N136" i="32"/>
  <c r="K136" i="32"/>
  <c r="M136" i="32"/>
  <c r="L136" i="32"/>
  <c r="AG84" i="32"/>
  <c r="AF90" i="32"/>
  <c r="AF127" i="32" s="1"/>
  <c r="L125" i="32"/>
  <c r="M125" i="32"/>
  <c r="K125" i="32"/>
  <c r="N125" i="32"/>
  <c r="L128" i="32"/>
  <c r="N128" i="32"/>
  <c r="K128" i="32"/>
  <c r="M128" i="32"/>
  <c r="AH84" i="32" l="1"/>
  <c r="AG90" i="32"/>
  <c r="AG127" i="32" s="1"/>
  <c r="AI84" i="32" l="1"/>
  <c r="AH90" i="32"/>
  <c r="AH127" i="32" s="1"/>
  <c r="AJ84" i="32" l="1"/>
  <c r="AI90" i="32"/>
  <c r="AI127" i="32" s="1"/>
  <c r="AK84" i="32" l="1"/>
  <c r="AJ90" i="32"/>
  <c r="AJ127" i="32" s="1"/>
  <c r="AL84" i="32" l="1"/>
  <c r="AK90" i="32"/>
  <c r="AK127" i="32" s="1"/>
  <c r="J129" i="32"/>
  <c r="J131" i="32"/>
  <c r="L131" i="32" l="1"/>
  <c r="N131" i="32"/>
  <c r="M131" i="32"/>
  <c r="K131" i="32"/>
  <c r="N129" i="32"/>
  <c r="L129" i="32"/>
  <c r="M129" i="32"/>
  <c r="K129" i="32"/>
  <c r="AM84" i="32"/>
  <c r="AL90" i="32"/>
  <c r="AL127" i="32" s="1"/>
  <c r="AN84" i="32" l="1"/>
  <c r="AM90" i="32"/>
  <c r="AM127" i="32" s="1"/>
  <c r="O100" i="32"/>
  <c r="O118" i="32"/>
  <c r="O107" i="32"/>
  <c r="J118" i="32"/>
  <c r="J107" i="32"/>
  <c r="G77" i="47" s="1"/>
  <c r="J103" i="32"/>
  <c r="G71" i="47" s="1"/>
  <c r="O96" i="32"/>
  <c r="O102" i="32"/>
  <c r="O103" i="32"/>
  <c r="P100" i="32" l="1"/>
  <c r="Q100" i="32" s="1"/>
  <c r="R100" i="32" s="1"/>
  <c r="S100" i="32" s="1"/>
  <c r="T100" i="32" s="1"/>
  <c r="U100" i="32" s="1"/>
  <c r="V100" i="32" s="1"/>
  <c r="W100" i="32" s="1"/>
  <c r="X100" i="32" s="1"/>
  <c r="Y100" i="32" s="1"/>
  <c r="Z100" i="32" s="1"/>
  <c r="AA100" i="32" s="1"/>
  <c r="AB100" i="32" s="1"/>
  <c r="AC100" i="32" s="1"/>
  <c r="AD100" i="32" s="1"/>
  <c r="AE100" i="32" s="1"/>
  <c r="AF100" i="32" s="1"/>
  <c r="AG100" i="32" s="1"/>
  <c r="AH100" i="32" s="1"/>
  <c r="AI100" i="32" s="1"/>
  <c r="AJ100" i="32" s="1"/>
  <c r="AK100" i="32" s="1"/>
  <c r="AL100" i="32" s="1"/>
  <c r="AM100" i="32" s="1"/>
  <c r="AN100" i="32" s="1"/>
  <c r="AO100" i="32" s="1"/>
  <c r="AP100" i="32" s="1"/>
  <c r="P102" i="32"/>
  <c r="L72" i="47"/>
  <c r="L103" i="32"/>
  <c r="I71" i="47" s="1"/>
  <c r="P103" i="32"/>
  <c r="M103" i="32"/>
  <c r="J71" i="47" s="1"/>
  <c r="N103" i="32"/>
  <c r="K71" i="47" s="1"/>
  <c r="K103" i="32"/>
  <c r="H71" i="47" s="1"/>
  <c r="L71" i="47"/>
  <c r="L64" i="47"/>
  <c r="K118" i="32"/>
  <c r="L118" i="32"/>
  <c r="M118" i="32"/>
  <c r="N118" i="32"/>
  <c r="K64" i="47" s="1"/>
  <c r="L70" i="47"/>
  <c r="P96" i="32"/>
  <c r="G64" i="47"/>
  <c r="J83" i="32"/>
  <c r="J89" i="32" s="1"/>
  <c r="L107" i="32"/>
  <c r="I77" i="47" s="1"/>
  <c r="P107" i="32"/>
  <c r="L77" i="47"/>
  <c r="K107" i="32"/>
  <c r="H77" i="47" s="1"/>
  <c r="N107" i="32"/>
  <c r="K77" i="47" s="1"/>
  <c r="M107" i="32"/>
  <c r="J77" i="47" s="1"/>
  <c r="AO84" i="32"/>
  <c r="AN90" i="32"/>
  <c r="AN127" i="32" s="1"/>
  <c r="O97" i="32"/>
  <c r="J100" i="32"/>
  <c r="K100" i="32" s="1"/>
  <c r="J102" i="32"/>
  <c r="G72" i="47" s="1"/>
  <c r="O114" i="32"/>
  <c r="O123" i="32"/>
  <c r="O110" i="32"/>
  <c r="O121" i="32"/>
  <c r="O113" i="32"/>
  <c r="O124" i="32"/>
  <c r="M70" i="47" l="1"/>
  <c r="Q96" i="32"/>
  <c r="N102" i="32"/>
  <c r="K72" i="47" s="1"/>
  <c r="K102" i="32"/>
  <c r="H72" i="47" s="1"/>
  <c r="M83" i="32"/>
  <c r="J64" i="47"/>
  <c r="L102" i="32"/>
  <c r="I72" i="47" s="1"/>
  <c r="Q107" i="32"/>
  <c r="M77" i="47"/>
  <c r="L83" i="32"/>
  <c r="L89" i="32" s="1"/>
  <c r="I64" i="47"/>
  <c r="M102" i="32"/>
  <c r="J72" i="47" s="1"/>
  <c r="P110" i="32"/>
  <c r="L75" i="47"/>
  <c r="L74" i="47"/>
  <c r="P97" i="32"/>
  <c r="H64" i="47"/>
  <c r="K83" i="32"/>
  <c r="K89" i="32" s="1"/>
  <c r="P123" i="32"/>
  <c r="L66" i="47"/>
  <c r="P114" i="32"/>
  <c r="L78" i="47"/>
  <c r="M72" i="47"/>
  <c r="Q102" i="32"/>
  <c r="M100" i="32"/>
  <c r="P124" i="32"/>
  <c r="L65" i="47"/>
  <c r="L100" i="32"/>
  <c r="N100" i="32"/>
  <c r="P113" i="32"/>
  <c r="L79" i="47"/>
  <c r="P121" i="32"/>
  <c r="L67" i="47"/>
  <c r="AP84" i="32"/>
  <c r="AP90" i="32" s="1"/>
  <c r="AP127" i="32" s="1"/>
  <c r="AO90" i="32"/>
  <c r="AO127" i="32" s="1"/>
  <c r="Q103" i="32"/>
  <c r="M71" i="47"/>
  <c r="O120" i="32"/>
  <c r="O112" i="32"/>
  <c r="O111" i="32"/>
  <c r="J97" i="32"/>
  <c r="G74" i="47" s="1"/>
  <c r="J121" i="32"/>
  <c r="G67" i="47" s="1"/>
  <c r="J96" i="32"/>
  <c r="J113" i="32"/>
  <c r="G79" i="47" s="1"/>
  <c r="J124" i="32"/>
  <c r="G65" i="47" s="1"/>
  <c r="J114" i="32"/>
  <c r="K114" i="32" s="1"/>
  <c r="H78" i="47" s="1"/>
  <c r="O108" i="32"/>
  <c r="O99" i="32"/>
  <c r="M121" i="32" l="1"/>
  <c r="J67" i="47" s="1"/>
  <c r="L114" i="32"/>
  <c r="I78" i="47" s="1"/>
  <c r="M97" i="32"/>
  <c r="J74" i="47" s="1"/>
  <c r="L121" i="32"/>
  <c r="I67" i="47" s="1"/>
  <c r="L97" i="32"/>
  <c r="I74" i="47" s="1"/>
  <c r="N121" i="32"/>
  <c r="K67" i="47" s="1"/>
  <c r="N124" i="32"/>
  <c r="K65" i="47" s="1"/>
  <c r="K97" i="32"/>
  <c r="H74" i="47" s="1"/>
  <c r="P111" i="32"/>
  <c r="L81" i="47"/>
  <c r="K121" i="32"/>
  <c r="H67" i="47" s="1"/>
  <c r="K124" i="32"/>
  <c r="H65" i="47" s="1"/>
  <c r="Q114" i="32"/>
  <c r="M78" i="47"/>
  <c r="N97" i="32"/>
  <c r="K74" i="47" s="1"/>
  <c r="M124" i="32"/>
  <c r="J65" i="47" s="1"/>
  <c r="M74" i="47"/>
  <c r="Q97" i="32"/>
  <c r="N77" i="47"/>
  <c r="R107" i="32"/>
  <c r="M67" i="47"/>
  <c r="Q121" i="32"/>
  <c r="L124" i="32"/>
  <c r="I65" i="47" s="1"/>
  <c r="L113" i="32"/>
  <c r="I79" i="47" s="1"/>
  <c r="G70" i="47"/>
  <c r="N96" i="32"/>
  <c r="K70" i="47" s="1"/>
  <c r="K96" i="32"/>
  <c r="H70" i="47" s="1"/>
  <c r="M96" i="32"/>
  <c r="J70" i="47" s="1"/>
  <c r="L96" i="32"/>
  <c r="I70" i="47" s="1"/>
  <c r="L80" i="47"/>
  <c r="P112" i="32"/>
  <c r="M113" i="32"/>
  <c r="J79" i="47" s="1"/>
  <c r="Q124" i="32"/>
  <c r="M65" i="47"/>
  <c r="M89" i="32"/>
  <c r="N83" i="32"/>
  <c r="O83" i="32" s="1"/>
  <c r="P83" i="32" s="1"/>
  <c r="Q83" i="32" s="1"/>
  <c r="R83" i="32" s="1"/>
  <c r="S83" i="32" s="1"/>
  <c r="T83" i="32" s="1"/>
  <c r="U83" i="32" s="1"/>
  <c r="V83" i="32" s="1"/>
  <c r="W83" i="32" s="1"/>
  <c r="X83" i="32" s="1"/>
  <c r="N113" i="32"/>
  <c r="K79" i="47" s="1"/>
  <c r="L82" i="47"/>
  <c r="N114" i="32"/>
  <c r="K78" i="47" s="1"/>
  <c r="G78" i="47"/>
  <c r="L62" i="47"/>
  <c r="P120" i="32"/>
  <c r="N71" i="47"/>
  <c r="R103" i="32"/>
  <c r="K113" i="32"/>
  <c r="H79" i="47" s="1"/>
  <c r="R102" i="32"/>
  <c r="N72" i="47"/>
  <c r="Q123" i="32"/>
  <c r="M66" i="47"/>
  <c r="P99" i="32"/>
  <c r="L68" i="47"/>
  <c r="N70" i="47"/>
  <c r="R96" i="32"/>
  <c r="M79" i="47"/>
  <c r="Q113" i="32"/>
  <c r="M114" i="32"/>
  <c r="J78" i="47" s="1"/>
  <c r="Q110" i="32"/>
  <c r="M75" i="47"/>
  <c r="J123" i="32"/>
  <c r="J111" i="32"/>
  <c r="G81" i="47" s="1"/>
  <c r="J108" i="32"/>
  <c r="N108" i="32" s="1"/>
  <c r="K82" i="47" s="1"/>
  <c r="L111" i="32" l="1"/>
  <c r="I81" i="47" s="1"/>
  <c r="S89" i="32"/>
  <c r="S118" i="32" s="1"/>
  <c r="P64" i="47" s="1"/>
  <c r="R89" i="32"/>
  <c r="R118" i="32" s="1"/>
  <c r="O64" i="47" s="1"/>
  <c r="T89" i="32"/>
  <c r="T118" i="32" s="1"/>
  <c r="Q64" i="47" s="1"/>
  <c r="K111" i="32"/>
  <c r="H81" i="47" s="1"/>
  <c r="Q89" i="32"/>
  <c r="Q118" i="32" s="1"/>
  <c r="N64" i="47" s="1"/>
  <c r="O77" i="47"/>
  <c r="S107" i="32"/>
  <c r="N111" i="32"/>
  <c r="K81" i="47" s="1"/>
  <c r="M68" i="47"/>
  <c r="Q99" i="32"/>
  <c r="M62" i="47"/>
  <c r="Q120" i="32"/>
  <c r="N89" i="32"/>
  <c r="M80" i="47"/>
  <c r="Q112" i="32"/>
  <c r="M111" i="32"/>
  <c r="J81" i="47" s="1"/>
  <c r="R110" i="32"/>
  <c r="N75" i="47"/>
  <c r="O89" i="32"/>
  <c r="R97" i="32"/>
  <c r="N74" i="47"/>
  <c r="N66" i="47"/>
  <c r="R123" i="32"/>
  <c r="P89" i="32"/>
  <c r="P118" i="32" s="1"/>
  <c r="M64" i="47" s="1"/>
  <c r="M81" i="47"/>
  <c r="Q111" i="32"/>
  <c r="R113" i="32"/>
  <c r="N79" i="47"/>
  <c r="Y83" i="32"/>
  <c r="X118" i="32"/>
  <c r="U64" i="47" s="1"/>
  <c r="S102" i="32"/>
  <c r="O72" i="47"/>
  <c r="X89" i="32"/>
  <c r="G82" i="47"/>
  <c r="J82" i="32"/>
  <c r="J88" i="32" s="1"/>
  <c r="O70" i="47"/>
  <c r="S96" i="32"/>
  <c r="M108" i="32"/>
  <c r="W89" i="32"/>
  <c r="W118" i="32" s="1"/>
  <c r="T64" i="47" s="1"/>
  <c r="R121" i="32"/>
  <c r="N67" i="47"/>
  <c r="S103" i="32"/>
  <c r="O71" i="47"/>
  <c r="L108" i="32"/>
  <c r="V89" i="32"/>
  <c r="V118" i="32" s="1"/>
  <c r="S64" i="47" s="1"/>
  <c r="N65" i="47"/>
  <c r="R124" i="32"/>
  <c r="R114" i="32"/>
  <c r="N78" i="47"/>
  <c r="G66" i="47"/>
  <c r="N123" i="32"/>
  <c r="K66" i="47" s="1"/>
  <c r="K123" i="32"/>
  <c r="H66" i="47" s="1"/>
  <c r="L123" i="32"/>
  <c r="I66" i="47" s="1"/>
  <c r="M123" i="32"/>
  <c r="J66" i="47" s="1"/>
  <c r="K108" i="32"/>
  <c r="U89" i="32"/>
  <c r="U118" i="32" s="1"/>
  <c r="R64" i="47" s="1"/>
  <c r="J122" i="32"/>
  <c r="O101" i="32"/>
  <c r="O98" i="32"/>
  <c r="O109" i="32"/>
  <c r="O119" i="32"/>
  <c r="M82" i="32" l="1"/>
  <c r="J82" i="47"/>
  <c r="N81" i="47"/>
  <c r="R111" i="32"/>
  <c r="T96" i="32"/>
  <c r="P70" i="47"/>
  <c r="S114" i="32"/>
  <c r="O78" i="47"/>
  <c r="R120" i="32"/>
  <c r="N62" i="47"/>
  <c r="O79" i="47"/>
  <c r="S113" i="32"/>
  <c r="O65" i="47"/>
  <c r="S124" i="32"/>
  <c r="S123" i="32"/>
  <c r="O66" i="47"/>
  <c r="L73" i="47"/>
  <c r="P101" i="32"/>
  <c r="R99" i="32"/>
  <c r="N68" i="47"/>
  <c r="P119" i="32"/>
  <c r="L63" i="47"/>
  <c r="P109" i="32"/>
  <c r="L76" i="47"/>
  <c r="L82" i="32"/>
  <c r="L88" i="32" s="1"/>
  <c r="I82" i="47"/>
  <c r="O74" i="47"/>
  <c r="S97" i="32"/>
  <c r="R112" i="32"/>
  <c r="N80" i="47"/>
  <c r="H82" i="47"/>
  <c r="K82" i="32"/>
  <c r="K88" i="32" s="1"/>
  <c r="P72" i="47"/>
  <c r="T102" i="32"/>
  <c r="P77" i="47"/>
  <c r="T107" i="32"/>
  <c r="L69" i="47"/>
  <c r="O74" i="32"/>
  <c r="P98" i="32"/>
  <c r="T103" i="32"/>
  <c r="P71" i="47"/>
  <c r="Z83" i="32"/>
  <c r="Y89" i="32"/>
  <c r="Y118" i="32" s="1"/>
  <c r="V64" i="47" s="1"/>
  <c r="O75" i="47"/>
  <c r="S110" i="32"/>
  <c r="O67" i="47"/>
  <c r="S121" i="32"/>
  <c r="J120" i="32"/>
  <c r="J110" i="32"/>
  <c r="J112" i="32"/>
  <c r="J99" i="32"/>
  <c r="S99" i="32" l="1"/>
  <c r="O68" i="47"/>
  <c r="Q77" i="47"/>
  <c r="U107" i="32"/>
  <c r="T113" i="32"/>
  <c r="P79" i="47"/>
  <c r="AA83" i="32"/>
  <c r="Z89" i="32"/>
  <c r="Z118" i="32" s="1"/>
  <c r="W64" i="47" s="1"/>
  <c r="Q72" i="47"/>
  <c r="U102" i="32"/>
  <c r="G75" i="47"/>
  <c r="M110" i="32"/>
  <c r="J75" i="47" s="1"/>
  <c r="L110" i="32"/>
  <c r="I75" i="47" s="1"/>
  <c r="K110" i="32"/>
  <c r="H75" i="47" s="1"/>
  <c r="N110" i="32"/>
  <c r="K75" i="47" s="1"/>
  <c r="O62" i="47"/>
  <c r="S120" i="32"/>
  <c r="Q71" i="47"/>
  <c r="U103" i="32"/>
  <c r="Q109" i="32"/>
  <c r="M76" i="47"/>
  <c r="P78" i="47"/>
  <c r="T114" i="32"/>
  <c r="G68" i="47"/>
  <c r="L99" i="32"/>
  <c r="I68" i="47" s="1"/>
  <c r="N99" i="32"/>
  <c r="K68" i="47" s="1"/>
  <c r="K99" i="32"/>
  <c r="H68" i="47" s="1"/>
  <c r="M99" i="32"/>
  <c r="J68" i="47" s="1"/>
  <c r="Q101" i="32"/>
  <c r="M73" i="47"/>
  <c r="O80" i="47"/>
  <c r="S112" i="32"/>
  <c r="Q70" i="47"/>
  <c r="U96" i="32"/>
  <c r="G80" i="47"/>
  <c r="K112" i="32"/>
  <c r="H80" i="47" s="1"/>
  <c r="M112" i="32"/>
  <c r="J80" i="47" s="1"/>
  <c r="N112" i="32"/>
  <c r="K80" i="47" s="1"/>
  <c r="L112" i="32"/>
  <c r="I80" i="47" s="1"/>
  <c r="T97" i="32"/>
  <c r="P74" i="47"/>
  <c r="O81" i="47"/>
  <c r="S111" i="32"/>
  <c r="G62" i="47"/>
  <c r="M120" i="32"/>
  <c r="J62" i="47" s="1"/>
  <c r="K120" i="32"/>
  <c r="H62" i="47" s="1"/>
  <c r="L120" i="32"/>
  <c r="I62" i="47" s="1"/>
  <c r="N120" i="32"/>
  <c r="K62" i="47" s="1"/>
  <c r="T121" i="32"/>
  <c r="P67" i="47"/>
  <c r="Q98" i="32"/>
  <c r="M69" i="47"/>
  <c r="T123" i="32"/>
  <c r="P66" i="47"/>
  <c r="T124" i="32"/>
  <c r="P65" i="47"/>
  <c r="T110" i="32"/>
  <c r="P75" i="47"/>
  <c r="Q119" i="32"/>
  <c r="M63" i="47"/>
  <c r="N82" i="32"/>
  <c r="O82" i="32" s="1"/>
  <c r="P82" i="32" s="1"/>
  <c r="Q82" i="32" s="1"/>
  <c r="Q88" i="32" s="1"/>
  <c r="M88" i="32"/>
  <c r="J119" i="32"/>
  <c r="J109" i="32"/>
  <c r="J98" i="32"/>
  <c r="J101" i="32"/>
  <c r="O88" i="32" l="1"/>
  <c r="R119" i="32"/>
  <c r="N63" i="47"/>
  <c r="U114" i="32"/>
  <c r="Q78" i="47"/>
  <c r="Q75" i="47"/>
  <c r="U110" i="32"/>
  <c r="V96" i="32"/>
  <c r="R70" i="47"/>
  <c r="V102" i="32"/>
  <c r="R72" i="47"/>
  <c r="G76" i="47"/>
  <c r="L109" i="32"/>
  <c r="I76" i="47" s="1"/>
  <c r="M109" i="32"/>
  <c r="J76" i="47" s="1"/>
  <c r="K109" i="32"/>
  <c r="H76" i="47" s="1"/>
  <c r="N109" i="32"/>
  <c r="K76" i="47" s="1"/>
  <c r="Q65" i="47"/>
  <c r="U124" i="32"/>
  <c r="T112" i="32"/>
  <c r="P80" i="47"/>
  <c r="N76" i="47"/>
  <c r="R109" i="32"/>
  <c r="T111" i="32"/>
  <c r="P81" i="47"/>
  <c r="V103" i="32"/>
  <c r="R71" i="47"/>
  <c r="AB83" i="32"/>
  <c r="AA89" i="32"/>
  <c r="AA118" i="32" s="1"/>
  <c r="X64" i="47" s="1"/>
  <c r="N88" i="32"/>
  <c r="U123" i="32"/>
  <c r="Q66" i="47"/>
  <c r="G73" i="47"/>
  <c r="L101" i="32"/>
  <c r="I73" i="47" s="1"/>
  <c r="K101" i="32"/>
  <c r="H73" i="47" s="1"/>
  <c r="M101" i="32"/>
  <c r="J73" i="47" s="1"/>
  <c r="N101" i="32"/>
  <c r="K73" i="47" s="1"/>
  <c r="P88" i="32"/>
  <c r="P108" i="32" s="1"/>
  <c r="N73" i="47"/>
  <c r="R101" i="32"/>
  <c r="P62" i="47"/>
  <c r="T120" i="32"/>
  <c r="U113" i="32"/>
  <c r="Q79" i="47"/>
  <c r="U97" i="32"/>
  <c r="Q74" i="47"/>
  <c r="V107" i="32"/>
  <c r="R77" i="47"/>
  <c r="R98" i="32"/>
  <c r="N69" i="47"/>
  <c r="J81" i="32"/>
  <c r="J87" i="32" s="1"/>
  <c r="G69" i="47"/>
  <c r="J74" i="32"/>
  <c r="J77" i="32" s="1"/>
  <c r="N98" i="32"/>
  <c r="K98" i="32"/>
  <c r="L98" i="32"/>
  <c r="M98" i="32"/>
  <c r="G63" i="47"/>
  <c r="M119" i="32"/>
  <c r="J63" i="47" s="1"/>
  <c r="N119" i="32"/>
  <c r="K63" i="47" s="1"/>
  <c r="L119" i="32"/>
  <c r="I63" i="47" s="1"/>
  <c r="K119" i="32"/>
  <c r="H63" i="47" s="1"/>
  <c r="R82" i="32"/>
  <c r="Q108" i="32"/>
  <c r="N82" i="47" s="1"/>
  <c r="U121" i="32"/>
  <c r="Q67" i="47"/>
  <c r="T99" i="32"/>
  <c r="P68" i="47"/>
  <c r="Q74" i="32" l="1"/>
  <c r="M82" i="47"/>
  <c r="P74" i="32"/>
  <c r="S71" i="47"/>
  <c r="W103" i="32"/>
  <c r="O69" i="47"/>
  <c r="S98" i="32"/>
  <c r="U111" i="32"/>
  <c r="Q81" i="47"/>
  <c r="S77" i="47"/>
  <c r="W107" i="32"/>
  <c r="S109" i="32"/>
  <c r="O76" i="47"/>
  <c r="W102" i="32"/>
  <c r="S72" i="47"/>
  <c r="J69" i="47"/>
  <c r="M81" i="32"/>
  <c r="M74" i="32"/>
  <c r="Q77" i="32" s="1"/>
  <c r="L81" i="32"/>
  <c r="L87" i="32" s="1"/>
  <c r="L74" i="32"/>
  <c r="L77" i="32" s="1"/>
  <c r="I69" i="47"/>
  <c r="V97" i="32"/>
  <c r="R74" i="47"/>
  <c r="W96" i="32"/>
  <c r="S70" i="47"/>
  <c r="U99" i="32"/>
  <c r="Q68" i="47"/>
  <c r="K74" i="32"/>
  <c r="K77" i="32" s="1"/>
  <c r="H69" i="47"/>
  <c r="K81" i="32"/>
  <c r="K87" i="32" s="1"/>
  <c r="U112" i="32"/>
  <c r="Q80" i="47"/>
  <c r="V110" i="32"/>
  <c r="R75" i="47"/>
  <c r="K69" i="47"/>
  <c r="N74" i="32"/>
  <c r="V113" i="32"/>
  <c r="R79" i="47"/>
  <c r="V123" i="32"/>
  <c r="R66" i="47"/>
  <c r="R65" i="47"/>
  <c r="V124" i="32"/>
  <c r="V121" i="32"/>
  <c r="R67" i="47"/>
  <c r="U120" i="32"/>
  <c r="Q62" i="47"/>
  <c r="V114" i="32"/>
  <c r="R78" i="47"/>
  <c r="S82" i="32"/>
  <c r="R88" i="32"/>
  <c r="R108" i="32" s="1"/>
  <c r="O82" i="47" s="1"/>
  <c r="O73" i="47"/>
  <c r="S101" i="32"/>
  <c r="AC83" i="32"/>
  <c r="AB89" i="32"/>
  <c r="AB118" i="32" s="1"/>
  <c r="Y64" i="47" s="1"/>
  <c r="O63" i="47"/>
  <c r="S119" i="32"/>
  <c r="X96" i="32" l="1"/>
  <c r="T70" i="47"/>
  <c r="P76" i="47"/>
  <c r="T109" i="32"/>
  <c r="S78" i="47"/>
  <c r="W114" i="32"/>
  <c r="X107" i="32"/>
  <c r="T77" i="47"/>
  <c r="S74" i="47"/>
  <c r="W97" i="32"/>
  <c r="T119" i="32"/>
  <c r="P63" i="47"/>
  <c r="V120" i="32"/>
  <c r="R62" i="47"/>
  <c r="W110" i="32"/>
  <c r="S75" i="47"/>
  <c r="R81" i="47"/>
  <c r="V111" i="32"/>
  <c r="W121" i="32"/>
  <c r="S67" i="47"/>
  <c r="V112" i="32"/>
  <c r="R80" i="47"/>
  <c r="R74" i="32"/>
  <c r="R77" i="32" s="1"/>
  <c r="W124" i="32"/>
  <c r="S65" i="47"/>
  <c r="O77" i="32"/>
  <c r="N77" i="32"/>
  <c r="P77" i="32"/>
  <c r="M77" i="32"/>
  <c r="P69" i="47"/>
  <c r="T98" i="32"/>
  <c r="AD83" i="32"/>
  <c r="AC89" i="32"/>
  <c r="AC118" i="32" s="1"/>
  <c r="Z64" i="47" s="1"/>
  <c r="N81" i="32"/>
  <c r="O81" i="32" s="1"/>
  <c r="P81" i="32" s="1"/>
  <c r="Q81" i="32" s="1"/>
  <c r="R81" i="32" s="1"/>
  <c r="S81" i="32" s="1"/>
  <c r="T81" i="32" s="1"/>
  <c r="U81" i="32" s="1"/>
  <c r="V81" i="32" s="1"/>
  <c r="W81" i="32" s="1"/>
  <c r="X81" i="32" s="1"/>
  <c r="Y81" i="32" s="1"/>
  <c r="Z81" i="32" s="1"/>
  <c r="AA81" i="32" s="1"/>
  <c r="AB81" i="32" s="1"/>
  <c r="AC81" i="32" s="1"/>
  <c r="AD81" i="32" s="1"/>
  <c r="AE81" i="32" s="1"/>
  <c r="AF81" i="32" s="1"/>
  <c r="AG81" i="32" s="1"/>
  <c r="AH81" i="32" s="1"/>
  <c r="AI81" i="32" s="1"/>
  <c r="AJ81" i="32" s="1"/>
  <c r="AK81" i="32" s="1"/>
  <c r="AL81" i="32" s="1"/>
  <c r="AM81" i="32" s="1"/>
  <c r="AN81" i="32" s="1"/>
  <c r="AO81" i="32" s="1"/>
  <c r="AP81" i="32" s="1"/>
  <c r="AP87" i="32" s="1"/>
  <c r="M87" i="32"/>
  <c r="T101" i="32"/>
  <c r="P73" i="47"/>
  <c r="T71" i="47"/>
  <c r="X103" i="32"/>
  <c r="S66" i="47"/>
  <c r="W123" i="32"/>
  <c r="V99" i="32"/>
  <c r="R68" i="47"/>
  <c r="X102" i="32"/>
  <c r="T72" i="47"/>
  <c r="T82" i="32"/>
  <c r="S88" i="32"/>
  <c r="S108" i="32" s="1"/>
  <c r="P82" i="47" s="1"/>
  <c r="W113" i="32"/>
  <c r="S79" i="47"/>
  <c r="S74" i="32" l="1"/>
  <c r="S77" i="32" s="1"/>
  <c r="AO87" i="32"/>
  <c r="P87" i="32"/>
  <c r="X124" i="32"/>
  <c r="T65" i="47"/>
  <c r="X123" i="32"/>
  <c r="T66" i="47"/>
  <c r="W87" i="32"/>
  <c r="Z87" i="32"/>
  <c r="X97" i="32"/>
  <c r="T74" i="47"/>
  <c r="AB87" i="32"/>
  <c r="AC87" i="32"/>
  <c r="AE83" i="32"/>
  <c r="AD89" i="32"/>
  <c r="AD118" i="32" s="1"/>
  <c r="AA64" i="47" s="1"/>
  <c r="S80" i="47"/>
  <c r="W112" i="32"/>
  <c r="W99" i="32"/>
  <c r="S68" i="47"/>
  <c r="Y103" i="32"/>
  <c r="U71" i="47"/>
  <c r="AF87" i="32"/>
  <c r="AD87" i="32"/>
  <c r="AI87" i="32"/>
  <c r="AH87" i="32"/>
  <c r="X87" i="32"/>
  <c r="Q69" i="47"/>
  <c r="U98" i="32"/>
  <c r="X121" i="32"/>
  <c r="T67" i="47"/>
  <c r="Y107" i="32"/>
  <c r="U77" i="47"/>
  <c r="Q63" i="47"/>
  <c r="U119" i="32"/>
  <c r="U87" i="32"/>
  <c r="AK87" i="32"/>
  <c r="W111" i="32"/>
  <c r="S81" i="47"/>
  <c r="X114" i="32"/>
  <c r="T78" i="47"/>
  <c r="X113" i="32"/>
  <c r="T79" i="47"/>
  <c r="U101" i="32"/>
  <c r="Q73" i="47"/>
  <c r="T87" i="32"/>
  <c r="S87" i="32"/>
  <c r="AA87" i="32"/>
  <c r="V87" i="32"/>
  <c r="R87" i="32"/>
  <c r="AG87" i="32"/>
  <c r="U109" i="32"/>
  <c r="Q76" i="47"/>
  <c r="U82" i="32"/>
  <c r="T88" i="32"/>
  <c r="T108" i="32" s="1"/>
  <c r="Q82" i="47" s="1"/>
  <c r="AM87" i="32"/>
  <c r="AL87" i="32"/>
  <c r="AE87" i="32"/>
  <c r="X110" i="32"/>
  <c r="T75" i="47"/>
  <c r="AN87" i="32"/>
  <c r="N87" i="32"/>
  <c r="AJ87" i="32"/>
  <c r="Y102" i="32"/>
  <c r="U72" i="47"/>
  <c r="Y87" i="32"/>
  <c r="O87" i="32"/>
  <c r="Q87" i="32"/>
  <c r="W120" i="32"/>
  <c r="S62" i="47"/>
  <c r="Y96" i="32"/>
  <c r="U70" i="47"/>
  <c r="Z96" i="32" l="1"/>
  <c r="V70" i="47"/>
  <c r="Y110" i="32"/>
  <c r="U75" i="47"/>
  <c r="V119" i="32"/>
  <c r="R63" i="47"/>
  <c r="Y97" i="32"/>
  <c r="U74" i="47"/>
  <c r="X120" i="32"/>
  <c r="T62" i="47"/>
  <c r="R73" i="47"/>
  <c r="V101" i="32"/>
  <c r="Z107" i="32"/>
  <c r="V77" i="47"/>
  <c r="V71" i="47"/>
  <c r="Z103" i="32"/>
  <c r="V82" i="32"/>
  <c r="U88" i="32"/>
  <c r="U108" i="32" s="1"/>
  <c r="R82" i="47" s="1"/>
  <c r="U79" i="47"/>
  <c r="Y113" i="32"/>
  <c r="Y121" i="32"/>
  <c r="U67" i="47"/>
  <c r="X99" i="32"/>
  <c r="T68" i="47"/>
  <c r="U66" i="47"/>
  <c r="Y123" i="32"/>
  <c r="T74" i="32"/>
  <c r="T77" i="32" s="1"/>
  <c r="X112" i="32"/>
  <c r="T80" i="47"/>
  <c r="Z102" i="32"/>
  <c r="V72" i="47"/>
  <c r="V109" i="32"/>
  <c r="R76" i="47"/>
  <c r="Y114" i="32"/>
  <c r="U78" i="47"/>
  <c r="R69" i="47"/>
  <c r="V98" i="32"/>
  <c r="U65" i="47"/>
  <c r="Y124" i="32"/>
  <c r="X111" i="32"/>
  <c r="T81" i="47"/>
  <c r="AF83" i="32"/>
  <c r="AE89" i="32"/>
  <c r="AE118" i="32" s="1"/>
  <c r="AB64" i="47" s="1"/>
  <c r="S69" i="47" l="1"/>
  <c r="W98" i="32"/>
  <c r="AA96" i="32"/>
  <c r="W70" i="47"/>
  <c r="S73" i="47"/>
  <c r="W101" i="32"/>
  <c r="V78" i="47"/>
  <c r="Z114" i="32"/>
  <c r="Z121" i="32"/>
  <c r="V67" i="47"/>
  <c r="U62" i="47"/>
  <c r="Y120" i="32"/>
  <c r="W109" i="32"/>
  <c r="S76" i="47"/>
  <c r="Z113" i="32"/>
  <c r="V79" i="47"/>
  <c r="AG83" i="32"/>
  <c r="AF89" i="32"/>
  <c r="AF118" i="32" s="1"/>
  <c r="AC64" i="47" s="1"/>
  <c r="AA102" i="32"/>
  <c r="W72" i="47"/>
  <c r="Y111" i="32"/>
  <c r="U81" i="47"/>
  <c r="W82" i="32"/>
  <c r="V88" i="32"/>
  <c r="V108" i="32" s="1"/>
  <c r="S82" i="47" s="1"/>
  <c r="S63" i="47"/>
  <c r="W119" i="32"/>
  <c r="Z124" i="32"/>
  <c r="V65" i="47"/>
  <c r="Y112" i="32"/>
  <c r="U80" i="47"/>
  <c r="W71" i="47"/>
  <c r="AA103" i="32"/>
  <c r="V74" i="47"/>
  <c r="Z97" i="32"/>
  <c r="Z110" i="32"/>
  <c r="V75" i="47"/>
  <c r="Y99" i="32"/>
  <c r="U68" i="47"/>
  <c r="U74" i="32"/>
  <c r="U77" i="32" s="1"/>
  <c r="Z123" i="32"/>
  <c r="V66" i="47"/>
  <c r="AA107" i="32"/>
  <c r="W77" i="47"/>
  <c r="V68" i="47" l="1"/>
  <c r="Z99" i="32"/>
  <c r="X98" i="32"/>
  <c r="T69" i="47"/>
  <c r="Z120" i="32"/>
  <c r="V62" i="47"/>
  <c r="AA110" i="32"/>
  <c r="W75" i="47"/>
  <c r="X82" i="32"/>
  <c r="W88" i="32"/>
  <c r="W108" i="32" s="1"/>
  <c r="T82" i="47" s="1"/>
  <c r="T76" i="47"/>
  <c r="X109" i="32"/>
  <c r="W74" i="47"/>
  <c r="AA97" i="32"/>
  <c r="Z111" i="32"/>
  <c r="V81" i="47"/>
  <c r="AA121" i="32"/>
  <c r="W67" i="47"/>
  <c r="AB107" i="32"/>
  <c r="X77" i="47"/>
  <c r="T73" i="47"/>
  <c r="X101" i="32"/>
  <c r="Z112" i="32"/>
  <c r="V80" i="47"/>
  <c r="AH83" i="32"/>
  <c r="AG89" i="32"/>
  <c r="AG118" i="32" s="1"/>
  <c r="AD64" i="47" s="1"/>
  <c r="AB102" i="32"/>
  <c r="X72" i="47"/>
  <c r="AA123" i="32"/>
  <c r="W66" i="47"/>
  <c r="AA114" i="32"/>
  <c r="W78" i="47"/>
  <c r="W65" i="47"/>
  <c r="AA124" i="32"/>
  <c r="AA113" i="32"/>
  <c r="W79" i="47"/>
  <c r="X70" i="47"/>
  <c r="AB96" i="32"/>
  <c r="X71" i="47"/>
  <c r="AB103" i="32"/>
  <c r="T63" i="47"/>
  <c r="X119" i="32"/>
  <c r="V74" i="32"/>
  <c r="V77" i="32" s="1"/>
  <c r="AB113" i="32" l="1"/>
  <c r="X79" i="47"/>
  <c r="AA112" i="32"/>
  <c r="W80" i="47"/>
  <c r="AB124" i="32"/>
  <c r="X65" i="47"/>
  <c r="Y101" i="32"/>
  <c r="U73" i="47"/>
  <c r="Y82" i="32"/>
  <c r="X88" i="32"/>
  <c r="X108" i="32" s="1"/>
  <c r="U82" i="47" s="1"/>
  <c r="Y77" i="47"/>
  <c r="AC107" i="32"/>
  <c r="Y119" i="32"/>
  <c r="U63" i="47"/>
  <c r="X75" i="47"/>
  <c r="AB110" i="32"/>
  <c r="X66" i="47"/>
  <c r="AB123" i="32"/>
  <c r="AB121" i="32"/>
  <c r="X67" i="47"/>
  <c r="AA120" i="32"/>
  <c r="W62" i="47"/>
  <c r="Y71" i="47"/>
  <c r="AC103" i="32"/>
  <c r="W74" i="32"/>
  <c r="W77" i="32" s="1"/>
  <c r="AC102" i="32"/>
  <c r="Y72" i="47"/>
  <c r="AA111" i="32"/>
  <c r="W81" i="47"/>
  <c r="X78" i="47"/>
  <c r="AB114" i="32"/>
  <c r="Y70" i="47"/>
  <c r="AC96" i="32"/>
  <c r="AB97" i="32"/>
  <c r="X74" i="47"/>
  <c r="Y98" i="32"/>
  <c r="U69" i="47"/>
  <c r="AI83" i="32"/>
  <c r="AH89" i="32"/>
  <c r="AH118" i="32" s="1"/>
  <c r="AE64" i="47" s="1"/>
  <c r="AA99" i="32"/>
  <c r="W68" i="47"/>
  <c r="Y109" i="32"/>
  <c r="U76" i="47"/>
  <c r="Z98" i="32" l="1"/>
  <c r="V69" i="47"/>
  <c r="Z71" i="47"/>
  <c r="AD103" i="32"/>
  <c r="AD107" i="32"/>
  <c r="Z77" i="47"/>
  <c r="X62" i="47"/>
  <c r="AB120" i="32"/>
  <c r="Z82" i="32"/>
  <c r="Y88" i="32"/>
  <c r="Y108" i="32" s="1"/>
  <c r="V82" i="47" s="1"/>
  <c r="AD96" i="32"/>
  <c r="Z70" i="47"/>
  <c r="Z109" i="32"/>
  <c r="V76" i="47"/>
  <c r="AC114" i="32"/>
  <c r="Y78" i="47"/>
  <c r="AC121" i="32"/>
  <c r="Y67" i="47"/>
  <c r="V73" i="47"/>
  <c r="Z101" i="32"/>
  <c r="Y66" i="47"/>
  <c r="AC123" i="32"/>
  <c r="AB99" i="32"/>
  <c r="X68" i="47"/>
  <c r="Y65" i="47"/>
  <c r="AC124" i="32"/>
  <c r="X81" i="47"/>
  <c r="AB111" i="32"/>
  <c r="AC110" i="32"/>
  <c r="Y75" i="47"/>
  <c r="AJ83" i="32"/>
  <c r="AI89" i="32"/>
  <c r="AI118" i="32" s="1"/>
  <c r="AF64" i="47" s="1"/>
  <c r="X80" i="47"/>
  <c r="AB112" i="32"/>
  <c r="Y74" i="47"/>
  <c r="AC97" i="32"/>
  <c r="X74" i="32"/>
  <c r="X77" i="32" s="1"/>
  <c r="AD102" i="32"/>
  <c r="Z72" i="47"/>
  <c r="V63" i="47"/>
  <c r="Z119" i="32"/>
  <c r="AC113" i="32"/>
  <c r="Y79" i="47"/>
  <c r="AC99" i="32" l="1"/>
  <c r="Y68" i="47"/>
  <c r="AE96" i="32"/>
  <c r="AA70" i="47"/>
  <c r="AA82" i="32"/>
  <c r="Z88" i="32"/>
  <c r="Z108" i="32" s="1"/>
  <c r="W82" i="47" s="1"/>
  <c r="Z66" i="47"/>
  <c r="AD123" i="32"/>
  <c r="W73" i="47"/>
  <c r="AA101" i="32"/>
  <c r="Y62" i="47"/>
  <c r="AC120" i="32"/>
  <c r="AK83" i="32"/>
  <c r="AJ89" i="32"/>
  <c r="AJ118" i="32" s="1"/>
  <c r="AG64" i="47" s="1"/>
  <c r="AD113" i="32"/>
  <c r="Z79" i="47"/>
  <c r="AD97" i="32"/>
  <c r="Z74" i="47"/>
  <c r="W63" i="47"/>
  <c r="AA119" i="32"/>
  <c r="AD110" i="32"/>
  <c r="Z75" i="47"/>
  <c r="AD121" i="32"/>
  <c r="Z67" i="47"/>
  <c r="AE107" i="32"/>
  <c r="AA77" i="47"/>
  <c r="AC111" i="32"/>
  <c r="Y81" i="47"/>
  <c r="AA71" i="47"/>
  <c r="AE103" i="32"/>
  <c r="Z78" i="47"/>
  <c r="AD114" i="32"/>
  <c r="Y80" i="47"/>
  <c r="AC112" i="32"/>
  <c r="AE102" i="32"/>
  <c r="AA72" i="47"/>
  <c r="AD124" i="32"/>
  <c r="Z65" i="47"/>
  <c r="Y74" i="32"/>
  <c r="Y77" i="32" s="1"/>
  <c r="W76" i="47"/>
  <c r="AA109" i="32"/>
  <c r="AA98" i="32"/>
  <c r="W69" i="47"/>
  <c r="Z74" i="32"/>
  <c r="Z77" i="32" s="1"/>
  <c r="AD120" i="32" l="1"/>
  <c r="Z62" i="47"/>
  <c r="AB72" i="47"/>
  <c r="AF102" i="32"/>
  <c r="AE121" i="32"/>
  <c r="AA67" i="47"/>
  <c r="AD112" i="32"/>
  <c r="Z80" i="47"/>
  <c r="AB101" i="32"/>
  <c r="X73" i="47"/>
  <c r="AA75" i="47"/>
  <c r="AE110" i="32"/>
  <c r="AA78" i="47"/>
  <c r="AE114" i="32"/>
  <c r="X63" i="47"/>
  <c r="AB119" i="32"/>
  <c r="AA66" i="47"/>
  <c r="AE123" i="32"/>
  <c r="AB98" i="32"/>
  <c r="X69" i="47"/>
  <c r="AB71" i="47"/>
  <c r="AF103" i="32"/>
  <c r="AB109" i="32"/>
  <c r="X76" i="47"/>
  <c r="AE97" i="32"/>
  <c r="AA74" i="47"/>
  <c r="AB82" i="32"/>
  <c r="AA88" i="32"/>
  <c r="AA108" i="32" s="1"/>
  <c r="X82" i="47" s="1"/>
  <c r="Z81" i="47"/>
  <c r="AD111" i="32"/>
  <c r="AA79" i="47"/>
  <c r="AE113" i="32"/>
  <c r="AF96" i="32"/>
  <c r="AB70" i="47"/>
  <c r="AE124" i="32"/>
  <c r="AA65" i="47"/>
  <c r="AF107" i="32"/>
  <c r="AB77" i="47"/>
  <c r="AL83" i="32"/>
  <c r="AK89" i="32"/>
  <c r="AK118" i="32" s="1"/>
  <c r="AH64" i="47" s="1"/>
  <c r="AD99" i="32"/>
  <c r="Z68" i="47"/>
  <c r="AA74" i="32" l="1"/>
  <c r="AA77" i="32" s="1"/>
  <c r="AA62" i="47"/>
  <c r="AE120" i="32"/>
  <c r="AF124" i="32"/>
  <c r="AB65" i="47"/>
  <c r="Y76" i="47"/>
  <c r="AC109" i="32"/>
  <c r="AF110" i="32"/>
  <c r="AB75" i="47"/>
  <c r="AG103" i="32"/>
  <c r="AC71" i="47"/>
  <c r="AC70" i="47"/>
  <c r="AG96" i="32"/>
  <c r="AF113" i="32"/>
  <c r="AB79" i="47"/>
  <c r="Y73" i="47"/>
  <c r="AC101" i="32"/>
  <c r="AE111" i="32"/>
  <c r="AA81" i="47"/>
  <c r="Y69" i="47"/>
  <c r="AC98" i="32"/>
  <c r="AE112" i="32"/>
  <c r="AA80" i="47"/>
  <c r="AE99" i="32"/>
  <c r="AA68" i="47"/>
  <c r="AB66" i="47"/>
  <c r="AF123" i="32"/>
  <c r="AF121" i="32"/>
  <c r="AB67" i="47"/>
  <c r="AM83" i="32"/>
  <c r="AL89" i="32"/>
  <c r="AL118" i="32" s="1"/>
  <c r="AI64" i="47" s="1"/>
  <c r="AC82" i="32"/>
  <c r="AB88" i="32"/>
  <c r="AB108" i="32" s="1"/>
  <c r="Y82" i="47" s="1"/>
  <c r="Y63" i="47"/>
  <c r="AC119" i="32"/>
  <c r="AG102" i="32"/>
  <c r="AC72" i="47"/>
  <c r="AC77" i="47"/>
  <c r="AG107" i="32"/>
  <c r="AF97" i="32"/>
  <c r="AB74" i="47"/>
  <c r="AF114" i="32"/>
  <c r="AB78" i="47"/>
  <c r="AH102" i="32" l="1"/>
  <c r="AD72" i="47"/>
  <c r="AF99" i="32"/>
  <c r="AB68" i="47"/>
  <c r="AH96" i="32"/>
  <c r="AD70" i="47"/>
  <c r="AF112" i="32"/>
  <c r="AB80" i="47"/>
  <c r="AB74" i="32"/>
  <c r="AB77" i="32" s="1"/>
  <c r="AD71" i="47"/>
  <c r="AH103" i="32"/>
  <c r="Z69" i="47"/>
  <c r="AD98" i="32"/>
  <c r="AG110" i="32"/>
  <c r="AC75" i="47"/>
  <c r="AC78" i="47"/>
  <c r="AG114" i="32"/>
  <c r="AN83" i="32"/>
  <c r="AM89" i="32"/>
  <c r="AM118" i="32" s="1"/>
  <c r="AJ64" i="47" s="1"/>
  <c r="AD109" i="32"/>
  <c r="Z76" i="47"/>
  <c r="Z63" i="47"/>
  <c r="AD119" i="32"/>
  <c r="AB81" i="47"/>
  <c r="AF111" i="32"/>
  <c r="AD82" i="32"/>
  <c r="AC88" i="32"/>
  <c r="AC108" i="32" s="1"/>
  <c r="Z82" i="47" s="1"/>
  <c r="AC74" i="47"/>
  <c r="AG97" i="32"/>
  <c r="AG121" i="32"/>
  <c r="AC67" i="47"/>
  <c r="Z73" i="47"/>
  <c r="AD101" i="32"/>
  <c r="AH107" i="32"/>
  <c r="AD77" i="47"/>
  <c r="AC66" i="47"/>
  <c r="AG123" i="32"/>
  <c r="AG124" i="32"/>
  <c r="AC65" i="47"/>
  <c r="AB62" i="47"/>
  <c r="AF120" i="32"/>
  <c r="AG113" i="32"/>
  <c r="AC79" i="47"/>
  <c r="AE119" i="32" l="1"/>
  <c r="AA63" i="47"/>
  <c r="AE71" i="47"/>
  <c r="AI103" i="32"/>
  <c r="AA73" i="47"/>
  <c r="AE101" i="32"/>
  <c r="AE77" i="47"/>
  <c r="AI107" i="32"/>
  <c r="AA76" i="47"/>
  <c r="AE109" i="32"/>
  <c r="AH113" i="32"/>
  <c r="AD79" i="47"/>
  <c r="AH121" i="32"/>
  <c r="AD67" i="47"/>
  <c r="AO83" i="32"/>
  <c r="AN89" i="32"/>
  <c r="AN118" i="32" s="1"/>
  <c r="AK64" i="47" s="1"/>
  <c r="AG112" i="32"/>
  <c r="AC80" i="47"/>
  <c r="AG120" i="32"/>
  <c r="AC62" i="47"/>
  <c r="AD74" i="47"/>
  <c r="AH97" i="32"/>
  <c r="AH114" i="32"/>
  <c r="AD78" i="47"/>
  <c r="AE70" i="47"/>
  <c r="AI96" i="32"/>
  <c r="AA69" i="47"/>
  <c r="AE98" i="32"/>
  <c r="AH124" i="32"/>
  <c r="AD65" i="47"/>
  <c r="AE82" i="32"/>
  <c r="AD88" i="32"/>
  <c r="AD108" i="32" s="1"/>
  <c r="AA82" i="47" s="1"/>
  <c r="AH110" i="32"/>
  <c r="AD75" i="47"/>
  <c r="AG99" i="32"/>
  <c r="AC68" i="47"/>
  <c r="AH123" i="32"/>
  <c r="AD66" i="47"/>
  <c r="AG111" i="32"/>
  <c r="AC81" i="47"/>
  <c r="AC74" i="32"/>
  <c r="AC77" i="32" s="1"/>
  <c r="AE72" i="47"/>
  <c r="AI102" i="32"/>
  <c r="AH99" i="32" l="1"/>
  <c r="AD68" i="47"/>
  <c r="AI114" i="32"/>
  <c r="AE78" i="47"/>
  <c r="AE79" i="47"/>
  <c r="AI113" i="32"/>
  <c r="AI110" i="32"/>
  <c r="AE75" i="47"/>
  <c r="AI97" i="32"/>
  <c r="AE74" i="47"/>
  <c r="AB76" i="47"/>
  <c r="AF109" i="32"/>
  <c r="AF72" i="47"/>
  <c r="AJ102" i="32"/>
  <c r="AF77" i="47"/>
  <c r="AJ107" i="32"/>
  <c r="AH120" i="32"/>
  <c r="AD62" i="47"/>
  <c r="AF82" i="32"/>
  <c r="AE88" i="32"/>
  <c r="AE108" i="32" s="1"/>
  <c r="AB82" i="47" s="1"/>
  <c r="AI124" i="32"/>
  <c r="AE65" i="47"/>
  <c r="AB73" i="47"/>
  <c r="AF101" i="32"/>
  <c r="AD74" i="32"/>
  <c r="AD77" i="32" s="1"/>
  <c r="AH112" i="32"/>
  <c r="AD80" i="47"/>
  <c r="AH111" i="32"/>
  <c r="AD81" i="47"/>
  <c r="AB69" i="47"/>
  <c r="AF98" i="32"/>
  <c r="AE74" i="32"/>
  <c r="AE77" i="32" s="1"/>
  <c r="AJ103" i="32"/>
  <c r="AF71" i="47"/>
  <c r="AP83" i="32"/>
  <c r="AP89" i="32" s="1"/>
  <c r="AP118" i="32" s="1"/>
  <c r="AM64" i="47" s="1"/>
  <c r="AO89" i="32"/>
  <c r="AO118" i="32" s="1"/>
  <c r="AL64" i="47" s="1"/>
  <c r="AI123" i="32"/>
  <c r="AE66" i="47"/>
  <c r="AF70" i="47"/>
  <c r="AJ96" i="32"/>
  <c r="AE67" i="47"/>
  <c r="AI121" i="32"/>
  <c r="AB63" i="47"/>
  <c r="AF119" i="32"/>
  <c r="AC73" i="47" l="1"/>
  <c r="AG101" i="32"/>
  <c r="AC76" i="47"/>
  <c r="AG109" i="32"/>
  <c r="AK103" i="32"/>
  <c r="AG71" i="47"/>
  <c r="AJ124" i="32"/>
  <c r="AF65" i="47"/>
  <c r="AJ97" i="32"/>
  <c r="AF74" i="47"/>
  <c r="AC63" i="47"/>
  <c r="AG119" i="32"/>
  <c r="AC69" i="47"/>
  <c r="AG98" i="32"/>
  <c r="AG82" i="32"/>
  <c r="AF88" i="32"/>
  <c r="AF108" i="32" s="1"/>
  <c r="AC82" i="47" s="1"/>
  <c r="AJ110" i="32"/>
  <c r="AF75" i="47"/>
  <c r="AF67" i="47"/>
  <c r="AJ121" i="32"/>
  <c r="AJ113" i="32"/>
  <c r="AF79" i="47"/>
  <c r="AI120" i="32"/>
  <c r="AE62" i="47"/>
  <c r="AK96" i="32"/>
  <c r="AG70" i="47"/>
  <c r="AI111" i="32"/>
  <c r="AE81" i="47"/>
  <c r="AG77" i="47"/>
  <c r="AK107" i="32"/>
  <c r="AJ114" i="32"/>
  <c r="AF78" i="47"/>
  <c r="AI112" i="32"/>
  <c r="AE80" i="47"/>
  <c r="AG72" i="47"/>
  <c r="AK102" i="32"/>
  <c r="AJ123" i="32"/>
  <c r="AF66" i="47"/>
  <c r="AI99" i="32"/>
  <c r="AE68" i="47"/>
  <c r="AF62" i="47" l="1"/>
  <c r="AJ120" i="32"/>
  <c r="AD63" i="47"/>
  <c r="AH119" i="32"/>
  <c r="AG67" i="47"/>
  <c r="AK121" i="32"/>
  <c r="AK97" i="32"/>
  <c r="AG74" i="47"/>
  <c r="AK114" i="32"/>
  <c r="AG78" i="47"/>
  <c r="AH77" i="47"/>
  <c r="AL107" i="32"/>
  <c r="AK124" i="32"/>
  <c r="AG65" i="47"/>
  <c r="AK110" i="32"/>
  <c r="AG75" i="47"/>
  <c r="AH71" i="47"/>
  <c r="AL103" i="32"/>
  <c r="AJ99" i="32"/>
  <c r="AF68" i="47"/>
  <c r="AF81" i="47"/>
  <c r="AJ111" i="32"/>
  <c r="AH82" i="32"/>
  <c r="AG88" i="32"/>
  <c r="AG108" i="32" s="1"/>
  <c r="AD82" i="47" s="1"/>
  <c r="AD76" i="47"/>
  <c r="AH109" i="32"/>
  <c r="AF80" i="47"/>
  <c r="AJ112" i="32"/>
  <c r="AF74" i="32"/>
  <c r="AF77" i="32" s="1"/>
  <c r="AG79" i="47"/>
  <c r="AK113" i="32"/>
  <c r="AK123" i="32"/>
  <c r="AG66" i="47"/>
  <c r="AH70" i="47"/>
  <c r="AL96" i="32"/>
  <c r="AH98" i="32"/>
  <c r="AD69" i="47"/>
  <c r="AH101" i="32"/>
  <c r="AD73" i="47"/>
  <c r="AH72" i="47"/>
  <c r="AL102" i="32"/>
  <c r="AI98" i="32" l="1"/>
  <c r="AE69" i="47"/>
  <c r="AM107" i="32"/>
  <c r="AI77" i="47"/>
  <c r="AM96" i="32"/>
  <c r="AI70" i="47"/>
  <c r="AK111" i="32"/>
  <c r="AG81" i="47"/>
  <c r="AL114" i="32"/>
  <c r="AH78" i="47"/>
  <c r="AI82" i="32"/>
  <c r="AH88" i="32"/>
  <c r="AH108" i="32" s="1"/>
  <c r="AE82" i="47" s="1"/>
  <c r="AL123" i="32"/>
  <c r="AH66" i="47"/>
  <c r="AL113" i="32"/>
  <c r="AH79" i="47"/>
  <c r="AK99" i="32"/>
  <c r="AG68" i="47"/>
  <c r="AH74" i="47"/>
  <c r="AL97" i="32"/>
  <c r="AM102" i="32"/>
  <c r="AI72" i="47"/>
  <c r="AI71" i="47"/>
  <c r="AM103" i="32"/>
  <c r="AH67" i="47"/>
  <c r="AL121" i="32"/>
  <c r="AG80" i="47"/>
  <c r="AK112" i="32"/>
  <c r="AI119" i="32"/>
  <c r="AE63" i="47"/>
  <c r="AI101" i="32"/>
  <c r="AE73" i="47"/>
  <c r="AL110" i="32"/>
  <c r="AH75" i="47"/>
  <c r="AG74" i="32"/>
  <c r="AG77" i="32" s="1"/>
  <c r="AI109" i="32"/>
  <c r="AE76" i="47"/>
  <c r="AK120" i="32"/>
  <c r="AG62" i="47"/>
  <c r="AL124" i="32"/>
  <c r="AH65" i="47"/>
  <c r="AJ82" i="32" l="1"/>
  <c r="AI88" i="32"/>
  <c r="AI108" i="32" s="1"/>
  <c r="AF82" i="47" s="1"/>
  <c r="AM110" i="32"/>
  <c r="AI75" i="47"/>
  <c r="AN102" i="32"/>
  <c r="AJ72" i="47"/>
  <c r="AM114" i="32"/>
  <c r="AI78" i="47"/>
  <c r="AI74" i="47"/>
  <c r="AM97" i="32"/>
  <c r="AJ101" i="32"/>
  <c r="AF73" i="47"/>
  <c r="AL111" i="32"/>
  <c r="AH81" i="47"/>
  <c r="AJ119" i="32"/>
  <c r="AF63" i="47"/>
  <c r="AL99" i="32"/>
  <c r="AH68" i="47"/>
  <c r="AN96" i="32"/>
  <c r="AJ70" i="47"/>
  <c r="AI65" i="47"/>
  <c r="AM124" i="32"/>
  <c r="AH80" i="47"/>
  <c r="AL112" i="32"/>
  <c r="AI79" i="47"/>
  <c r="AM113" i="32"/>
  <c r="AN107" i="32"/>
  <c r="AJ77" i="47"/>
  <c r="AH62" i="47"/>
  <c r="AL120" i="32"/>
  <c r="AI67" i="47"/>
  <c r="AM121" i="32"/>
  <c r="AH74" i="32"/>
  <c r="AH77" i="32" s="1"/>
  <c r="AM123" i="32"/>
  <c r="AI66" i="47"/>
  <c r="AJ109" i="32"/>
  <c r="AF76" i="47"/>
  <c r="AJ71" i="47"/>
  <c r="AN103" i="32"/>
  <c r="AJ98" i="32"/>
  <c r="AF69" i="47"/>
  <c r="AI74" i="32"/>
  <c r="AI77" i="32" s="1"/>
  <c r="AG73" i="47" l="1"/>
  <c r="AK101" i="32"/>
  <c r="AG76" i="47"/>
  <c r="AK109" i="32"/>
  <c r="AM112" i="32"/>
  <c r="AI80" i="47"/>
  <c r="AN121" i="32"/>
  <c r="AJ67" i="47"/>
  <c r="AO96" i="32"/>
  <c r="AK70" i="47"/>
  <c r="AN114" i="32"/>
  <c r="AJ78" i="47"/>
  <c r="AM120" i="32"/>
  <c r="AI62" i="47"/>
  <c r="AM99" i="32"/>
  <c r="AI68" i="47"/>
  <c r="AO102" i="32"/>
  <c r="AK72" i="47"/>
  <c r="AN124" i="32"/>
  <c r="AJ65" i="47"/>
  <c r="AG69" i="47"/>
  <c r="AK98" i="32"/>
  <c r="AO103" i="32"/>
  <c r="AK71" i="47"/>
  <c r="AK77" i="47"/>
  <c r="AO107" i="32"/>
  <c r="AG63" i="47"/>
  <c r="AK119" i="32"/>
  <c r="AN110" i="32"/>
  <c r="AJ75" i="47"/>
  <c r="AN97" i="32"/>
  <c r="AJ74" i="47"/>
  <c r="AJ79" i="47"/>
  <c r="AN113" i="32"/>
  <c r="AN123" i="32"/>
  <c r="AJ66" i="47"/>
  <c r="AM111" i="32"/>
  <c r="AI81" i="47"/>
  <c r="AK82" i="32"/>
  <c r="AJ88" i="32"/>
  <c r="AJ108" i="32" s="1"/>
  <c r="AG82" i="47" s="1"/>
  <c r="AJ74" i="32" l="1"/>
  <c r="AJ77" i="32" s="1"/>
  <c r="AK79" i="47"/>
  <c r="AO113" i="32"/>
  <c r="AO114" i="32"/>
  <c r="AK78" i="47"/>
  <c r="AL98" i="32"/>
  <c r="AH69" i="47"/>
  <c r="AL70" i="47"/>
  <c r="AP96" i="32"/>
  <c r="AM70" i="47" s="1"/>
  <c r="AP103" i="32"/>
  <c r="AM71" i="47" s="1"/>
  <c r="AL71" i="47"/>
  <c r="AO97" i="32"/>
  <c r="AK74" i="47"/>
  <c r="AO123" i="32"/>
  <c r="AK66" i="47"/>
  <c r="AO124" i="32"/>
  <c r="AK65" i="47"/>
  <c r="AK75" i="47"/>
  <c r="AO110" i="32"/>
  <c r="AO121" i="32"/>
  <c r="AK67" i="47"/>
  <c r="AH63" i="47"/>
  <c r="AL119" i="32"/>
  <c r="AP102" i="32"/>
  <c r="AM72" i="47" s="1"/>
  <c r="AL72" i="47"/>
  <c r="AN112" i="32"/>
  <c r="AJ80" i="47"/>
  <c r="AL82" i="32"/>
  <c r="AK88" i="32"/>
  <c r="AK108" i="32" s="1"/>
  <c r="AH82" i="47" s="1"/>
  <c r="AL109" i="32"/>
  <c r="AH76" i="47"/>
  <c r="AL77" i="47"/>
  <c r="AP107" i="32"/>
  <c r="AM77" i="47" s="1"/>
  <c r="AN99" i="32"/>
  <c r="AJ68" i="47"/>
  <c r="AN120" i="32"/>
  <c r="AJ62" i="47"/>
  <c r="AN111" i="32"/>
  <c r="AJ81" i="47"/>
  <c r="AH73" i="47"/>
  <c r="AL101" i="32"/>
  <c r="AK62" i="47" l="1"/>
  <c r="AO120" i="32"/>
  <c r="AP97" i="32"/>
  <c r="AM74" i="47" s="1"/>
  <c r="AL74" i="47"/>
  <c r="AP121" i="32"/>
  <c r="AM67" i="47" s="1"/>
  <c r="AL67" i="47"/>
  <c r="AP110" i="32"/>
  <c r="AM75" i="47" s="1"/>
  <c r="AL75" i="47"/>
  <c r="AK74" i="32"/>
  <c r="AK77" i="32" s="1"/>
  <c r="AI76" i="47"/>
  <c r="AM109" i="32"/>
  <c r="AI73" i="47"/>
  <c r="AM101" i="32"/>
  <c r="AI69" i="47"/>
  <c r="AM98" i="32"/>
  <c r="AM82" i="32"/>
  <c r="AL88" i="32"/>
  <c r="AL108" i="32" s="1"/>
  <c r="AI82" i="47" s="1"/>
  <c r="AP124" i="32"/>
  <c r="AM65" i="47" s="1"/>
  <c r="AL65" i="47"/>
  <c r="AM119" i="32"/>
  <c r="AI63" i="47"/>
  <c r="AP114" i="32"/>
  <c r="AM78" i="47" s="1"/>
  <c r="AL78" i="47"/>
  <c r="AO99" i="32"/>
  <c r="AK68" i="47"/>
  <c r="AO111" i="32"/>
  <c r="AK81" i="47"/>
  <c r="AK80" i="47"/>
  <c r="AO112" i="32"/>
  <c r="AL66" i="47"/>
  <c r="AP123" i="32"/>
  <c r="AM66" i="47" s="1"/>
  <c r="AL79" i="47"/>
  <c r="AP113" i="32"/>
  <c r="AM79" i="47" s="1"/>
  <c r="AN119" i="32" l="1"/>
  <c r="AJ63" i="47"/>
  <c r="AN109" i="32"/>
  <c r="AJ76" i="47"/>
  <c r="AL80" i="47"/>
  <c r="AP112" i="32"/>
  <c r="AM80" i="47" s="1"/>
  <c r="AN82" i="32"/>
  <c r="AM88" i="32"/>
  <c r="AM108" i="32" s="1"/>
  <c r="AJ82" i="47" s="1"/>
  <c r="AL74" i="32"/>
  <c r="AL77" i="32" s="1"/>
  <c r="AP111" i="32"/>
  <c r="AM81" i="47" s="1"/>
  <c r="AL81" i="47"/>
  <c r="AN98" i="32"/>
  <c r="AJ69" i="47"/>
  <c r="AL62" i="47"/>
  <c r="AP120" i="32"/>
  <c r="AM62" i="47" s="1"/>
  <c r="AL68" i="47"/>
  <c r="AP99" i="32"/>
  <c r="AM68" i="47" s="1"/>
  <c r="AJ73" i="47"/>
  <c r="AN101" i="32"/>
  <c r="AK63" i="47" l="1"/>
  <c r="AO119" i="32"/>
  <c r="AO98" i="32"/>
  <c r="AK69" i="47"/>
  <c r="AO101" i="32"/>
  <c r="AK73" i="47"/>
  <c r="AO82" i="32"/>
  <c r="AN88" i="32"/>
  <c r="AN108" i="32" s="1"/>
  <c r="AK82" i="47" s="1"/>
  <c r="AK76" i="47"/>
  <c r="AO109" i="32"/>
  <c r="AM74" i="32"/>
  <c r="AM77" i="32" s="1"/>
  <c r="AP82" i="32" l="1"/>
  <c r="AP88" i="32" s="1"/>
  <c r="AP108" i="32" s="1"/>
  <c r="AM82" i="47" s="1"/>
  <c r="AO88" i="32"/>
  <c r="AO108" i="32" s="1"/>
  <c r="AL82" i="47" s="1"/>
  <c r="AL73" i="47"/>
  <c r="AP101" i="32"/>
  <c r="AM73" i="47" s="1"/>
  <c r="AN74" i="32"/>
  <c r="AN77" i="32" s="1"/>
  <c r="AL76" i="47"/>
  <c r="AP109" i="32"/>
  <c r="AM76" i="47" s="1"/>
  <c r="AP98" i="32"/>
  <c r="AL69" i="47"/>
  <c r="AO74" i="32"/>
  <c r="AO77" i="32" s="1"/>
  <c r="AP119" i="32"/>
  <c r="AM63" i="47" s="1"/>
  <c r="AL63" i="47"/>
  <c r="AM69" i="47" l="1"/>
  <c r="AP74" i="32"/>
  <c r="AP77" i="32" s="1"/>
  <c r="O122" i="32" l="1"/>
  <c r="L122" i="32" l="1"/>
  <c r="N122" i="32"/>
  <c r="K122" i="32"/>
  <c r="P122" i="32"/>
  <c r="Q122" i="32" s="1"/>
  <c r="R122" i="32" s="1"/>
  <c r="S122" i="32" s="1"/>
  <c r="T122" i="32" s="1"/>
  <c r="U122" i="32" s="1"/>
  <c r="V122" i="32" s="1"/>
  <c r="W122" i="32" s="1"/>
  <c r="X122" i="32" s="1"/>
  <c r="Y122" i="32" s="1"/>
  <c r="Z122" i="32" s="1"/>
  <c r="AA122" i="32" s="1"/>
  <c r="AB122" i="32" s="1"/>
  <c r="AC122" i="32" s="1"/>
  <c r="AD122" i="32" s="1"/>
  <c r="AE122" i="32" s="1"/>
  <c r="AF122" i="32" s="1"/>
  <c r="AG122" i="32" s="1"/>
  <c r="AH122" i="32" s="1"/>
  <c r="AI122" i="32" s="1"/>
  <c r="AJ122" i="32" s="1"/>
  <c r="AK122" i="32" s="1"/>
  <c r="AL122" i="32" s="1"/>
  <c r="AM122" i="32" s="1"/>
  <c r="AN122" i="32" s="1"/>
  <c r="AO122" i="32" s="1"/>
  <c r="AP122" i="32" s="1"/>
  <c r="M122" i="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M6" authorId="0" shapeId="0" xr:uid="{745D0731-7A88-4699-89C7-B4A1D8E2B318}">
      <text>
        <r>
          <rPr>
            <b/>
            <sz val="9"/>
            <color indexed="81"/>
            <rFont val="Tahoma"/>
            <family val="2"/>
          </rPr>
          <t>fadiel:</t>
        </r>
        <r>
          <rPr>
            <sz val="9"/>
            <color indexed="81"/>
            <rFont val="Tahoma"/>
            <family val="2"/>
          </rPr>
          <t xml:space="preserve">
check  NHTS (2013)</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G139" authorId="3" shapeId="0" xr:uid="{7C92666C-7686-4FA6-B4AB-215BA553AE55}">
      <text>
        <r>
          <rPr>
            <b/>
            <sz val="9"/>
            <color indexed="81"/>
            <rFont val="Tahoma"/>
            <family val="2"/>
          </rPr>
          <t>Fadiel:</t>
        </r>
        <r>
          <rPr>
            <sz val="9"/>
            <color indexed="81"/>
            <rFont val="Tahoma"/>
            <family val="2"/>
          </rPr>
          <t xml:space="preserve">
from GHS 2018 statssa (2019)</t>
        </r>
      </text>
    </comment>
    <comment ref="N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<sst xmlns="http://schemas.openxmlformats.org/spreadsheetml/2006/main" count="4188" uniqueCount="653">
  <si>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</si>
  <si>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</si>
  <si>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</si>
  <si>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</si>
  <si>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</si>
  <si>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</si>
  <si>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</si>
  <si>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</si>
  <si>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</si>
  <si>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</si>
  <si>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</si>
  <si>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</si>
  <si>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</si>
  <si>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</si>
  <si>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</si>
  <si>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</si>
  <si>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</si>
  <si>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</si>
  <si>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</si>
  <si>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</si>
  <si>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</si>
  <si>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</si>
  <si>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</si>
  <si>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</si>
  <si>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</si>
  <si>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</si>
  <si>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</si>
  <si>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</si>
  <si>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</si>
  <si>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</si>
  <si>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</si>
  <si>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</si>
  <si>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</si>
  <si>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</si>
  <si>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</si>
  <si>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</si>
  <si>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</si>
  <si>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</si>
  <si>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</si>
  <si>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</si>
  <si>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</si>
  <si>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</si>
  <si>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</si>
  <si>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</si>
  <si>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</si>
  <si>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</si>
  <si>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</si>
  <si>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</si>
  <si>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</si>
  <si>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</si>
  <si>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</si>
  <si>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</si>
  <si>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</si>
  <si>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</si>
  <si>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</si>
  <si>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</si>
  <si>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</si>
  <si>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</si>
  <si>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</si>
  <si>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</si>
  <si>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</si>
  <si>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</si>
  <si>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</si>
  <si>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</si>
  <si>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</si>
  <si>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</si>
  <si>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</si>
  <si>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</si>
  <si>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</si>
  <si>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</si>
  <si>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</si>
  <si>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</si>
  <si>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</si>
  <si>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</si>
  <si>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</si>
  <si>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</si>
  <si>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</si>
  <si>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</si>
  <si>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</si>
  <si>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</si>
  <si>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</si>
  <si>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</si>
  <si>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</si>
  <si>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</si>
  <si>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</si>
  <si>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</si>
  <si>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</si>
  <si>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</si>
  <si>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</si>
  <si>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</si>
  <si>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</si>
  <si>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</si>
  <si>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</si>
  <si>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</si>
  <si>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</si>
  <si>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</si>
  <si>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</si>
  <si>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</si>
  <si>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</si>
  <si>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</si>
  <si>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</si>
  <si>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</si>
  <si>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</si>
  <si>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</si>
  <si>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</si>
  <si>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</si>
  <si>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</si>
  <si>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</si>
  <si>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</si>
  <si>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</si>
  <si>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</si>
  <si>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</si>
  <si>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</si>
  <si>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</si>
  <si>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</si>
  <si>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</si>
  <si>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</si>
  <si>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</si>
  <si>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</si>
  <si>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</si>
  <si>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</si>
  <si>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</si>
  <si>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</si>
  <si>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</si>
  <si>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</si>
  <si>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</si>
  <si>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</si>
  <si>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</si>
  <si>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</si>
  <si>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</si>
  <si>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</si>
  <si>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</si>
  <si>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</si>
  <si>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</si>
  <si>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</si>
  <si>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</si>
  <si>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</si>
  <si>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</si>
  <si>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</si>
  <si>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</si>
  <si>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</si>
  <si>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</si>
  <si>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</si>
  <si>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</si>
  <si>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</si>
  <si>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</si>
  <si>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</si>
  <si>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</si>
  <si>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</si>
  <si>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</si>
  <si>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</si>
  <si>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</si>
  <si>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</si>
  <si>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</si>
  <si>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</si>
  <si>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</si>
  <si>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</si>
  <si>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</si>
  <si>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</si>
  <si>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</si>
  <si>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</si>
  <si>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</si>
  <si>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</si>
  <si>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</si>
  <si>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</si>
  <si>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</si>
  <si>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</si>
  <si>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</si>
  <si>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</si>
  <si>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</si>
  <si>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</si>
  <si>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</si>
  <si>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</si>
  <si>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</si>
  <si>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</si>
  <si>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</si>
  <si>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</si>
  <si>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</si>
  <si>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</si>
  <si>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</si>
  <si>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</si>
  <si>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</si>
  <si>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</si>
  <si>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</si>
  <si>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</si>
  <si>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</si>
  <si>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</si>
  <si>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</si>
  <si>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</si>
  <si>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</si>
  <si>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</si>
  <si>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</si>
  <si>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</si>
  <si>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</si>
  <si>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</si>
  <si>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</si>
  <si>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</si>
  <si>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</si>
  <si>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</si>
  <si>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</si>
  <si>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</si>
  <si>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</si>
  <si>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</si>
  <si>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</si>
  <si>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</si>
  <si>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</si>
  <si>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</si>
  <si>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</si>
  <si>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</si>
  <si>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</si>
  <si>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</si>
  <si>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</si>
  <si>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</si>
  <si>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</si>
  <si>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</si>
  <si>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</si>
  <si>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</si>
  <si>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</si>
  <si>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</si>
  <si>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</si>
  <si>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</si>
  <si>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</si>
  <si>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</si>
  <si>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</si>
  <si>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</si>
  <si>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</si>
  <si>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</si>
  <si>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</si>
  <si>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</si>
  <si>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</si>
  <si>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</si>
  <si>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</si>
  <si>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</si>
  <si>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</si>
  <si>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</si>
  <si>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</si>
  <si>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</si>
  <si>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</si>
  <si>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</si>
  <si>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</si>
  <si>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</si>
  <si>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</si>
  <si>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</si>
  <si>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</si>
  <si>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</si>
  <si>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</si>
  <si>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</si>
  <si>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</si>
  <si>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</si>
  <si>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</si>
  <si>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</si>
  <si>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</si>
  <si>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</si>
  <si>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</si>
  <si>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</si>
  <si>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</si>
  <si>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</si>
  <si>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</si>
  <si>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</si>
  <si>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</si>
  <si>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</si>
  <si>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</si>
  <si>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</si>
  <si>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</si>
  <si>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</si>
  <si>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</si>
  <si>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</si>
  <si>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</si>
  <si>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</si>
  <si>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</si>
  <si>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</si>
  <si>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</si>
  <si>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</si>
  <si>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</si>
  <si>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</si>
  <si>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</si>
  <si>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</si>
  <si>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</si>
  <si>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</si>
  <si>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</si>
  <si>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</si>
  <si>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</si>
  <si>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</si>
  <si>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</si>
  <si>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</si>
  <si>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</si>
  <si>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</si>
  <si>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</si>
  <si>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</si>
  <si>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</si>
  <si>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</si>
  <si>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</si>
  <si>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</si>
  <si>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</si>
  <si>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</si>
  <si>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</si>
  <si>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</si>
  <si>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</si>
  <si>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</si>
  <si>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</si>
  <si>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</si>
  <si>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</si>
  <si>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</si>
  <si>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</si>
  <si>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</si>
  <si>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</si>
  <si>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</si>
  <si>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</si>
  <si>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</si>
  <si>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</si>
  <si>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</si>
  <si>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</si>
  <si>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</si>
  <si>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</si>
  <si>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</si>
  <si>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</si>
  <si>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</si>
  <si>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</si>
  <si>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</si>
  <si>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</si>
  <si>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</si>
  <si>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</si>
  <si>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</si>
  <si>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</si>
  <si>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</si>
  <si>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</si>
  <si>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</si>
  <si>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</si>
  <si>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</si>
  <si>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</si>
  <si>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</si>
  <si>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</si>
  <si>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</si>
  <si>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</si>
  <si>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</si>
  <si>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</si>
  <si>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</si>
  <si>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</si>
  <si>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</si>
  <si>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</si>
  <si>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</si>
  <si>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</si>
  <si>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</si>
  <si>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</si>
  <si>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</si>
  <si>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</si>
  <si>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</si>
  <si>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</si>
  <si>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</si>
  <si>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</si>
  <si>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</si>
  <si>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</si>
  <si>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</si>
  <si>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</si>
  <si>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</si>
  <si>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</si>
  <si>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</si>
  <si>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</si>
  <si>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</si>
  <si>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</si>
  <si>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</si>
  <si>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</si>
  <si>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</si>
  <si>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</si>
  <si>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</si>
  <si>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</si>
  <si>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</si>
  <si>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</si>
  <si>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</si>
  <si>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</si>
  <si>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</si>
  <si>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</si>
  <si>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</si>
  <si>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</si>
  <si>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</si>
  <si>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</si>
  <si>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</si>
  <si>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</si>
  <si>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</si>
  <si>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</si>
  <si>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</si>
  <si>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</si>
  <si>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</si>
  <si>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</si>
  <si>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</si>
  <si>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</si>
  <si>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</si>
  <si>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</si>
  <si>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</si>
  <si>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</si>
  <si>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</si>
  <si>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</si>
  <si>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</si>
  <si>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</si>
  <si>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</si>
  <si>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</si>
  <si>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</si>
  <si>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</si>
  <si>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</si>
  <si>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</si>
  <si>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</si>
  <si>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</si>
  <si>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</si>
  <si>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</si>
  <si>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</si>
  <si>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</si>
  <si>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</si>
  <si>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</si>
  <si>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</si>
  <si>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</si>
  <si>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</si>
  <si>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</si>
  <si>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</si>
  <si>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</si>
  <si>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</si>
  <si>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</si>
  <si>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</si>
  <si>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</si>
  <si>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</si>
  <si>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</si>
  <si>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</si>
  <si>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</si>
  <si>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</si>
  <si>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</si>
  <si>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</si>
  <si>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</si>
  <si>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</si>
  <si>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</si>
  <si>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</si>
  <si>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</si>
  <si>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</si>
  <si>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</si>
  <si>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</si>
  <si>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</si>
  <si>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</si>
  <si>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</si>
  <si>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</si>
  <si>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</si>
  <si>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</si>
  <si>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</si>
  <si>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</si>
  <si>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</si>
  <si>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</si>
  <si>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</si>
  <si>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</si>
  <si>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</si>
  <si>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</si>
  <si>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</si>
  <si>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</si>
  <si>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</si>
  <si>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</si>
  <si>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</si>
  <si>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</si>
  <si>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</si>
  <si>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</si>
  <si>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</si>
  <si>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</si>
  <si>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</si>
  <si>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</si>
  <si>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</si>
  <si>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</si>
  <si>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</si>
  <si>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</si>
  <si>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</si>
  <si>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</si>
  <si>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</si>
  <si>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</si>
  <si>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</si>
  <si>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</si>
  <si>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</si>
  <si>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</si>
  <si>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</si>
  <si>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</si>
  <si>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</si>
  <si>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</si>
  <si>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</si>
  <si>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</si>
  <si>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</si>
  <si>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</si>
  <si>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</si>
  <si>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</si>
  <si>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</si>
  <si>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</si>
  <si>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</si>
  <si>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</si>
  <si>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</si>
  <si>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</si>
  <si>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</si>
  <si>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</si>
  <si>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</si>
  <si>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</si>
  <si>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</si>
  <si>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</si>
  <si>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</si>
  <si>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</si>
  <si>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</si>
  <si>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</si>
  <si>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</si>
  <si>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</si>
  <si>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</si>
  <si>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</si>
  <si>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</si>
  <si>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</si>
  <si>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</si>
  <si>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</si>
  <si>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</si>
  <si>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</si>
  <si>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</si>
  <si>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</si>
  <si>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</si>
  <si>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</si>
  <si>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</si>
  <si>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</si>
  <si>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</si>
  <si>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</si>
  <si>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</si>
  <si>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1 and 2</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</si>
  <si>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</si>
  <si>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</si>
  <si>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</si>
  <si>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</si>
  <si>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</si>
  <si>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</si>
  <si>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</si>
  <si>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</si>
  <si>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</si>
  <si>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</si>
  <si>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</si>
  <si>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</si>
  <si>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</si>
  <si>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</si>
  <si>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</si>
  <si>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</si>
  <si>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</si>
  <si>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</si>
  <si>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</si>
  <si>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</si>
  <si>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</si>
  <si>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</si>
  <si>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</si>
  <si>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</si>
  <si>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</si>
  <si>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</si>
  <si>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</si>
  <si>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</si>
  <si>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</si>
  <si>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</si>
  <si>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</si>
  <si>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</si>
  <si>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</si>
  <si>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</si>
  <si>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</si>
  <si>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</si>
  <si>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</si>
  <si>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 xml:space="preserve">  1 PAM2</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</si>
  <si>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</si>
  <si>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</si>
  <si>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</si>
  <si>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</si>
  <si>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</si>
  <si>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</si>
  <si>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</si>
  <si>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</si>
  <si>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</si>
  <si>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</si>
  <si>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</si>
  <si>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</si>
  <si>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</si>
  <si>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</si>
  <si>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</si>
  <si>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</si>
  <si>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</si>
  <si>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</si>
  <si>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</si>
  <si>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</si>
  <si>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</si>
  <si>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</si>
  <si>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</si>
  <si>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</si>
  <si>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</si>
  <si>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</si>
  <si>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</si>
  <si>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</si>
  <si>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</si>
  <si>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</si>
  <si>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</si>
  <si>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</si>
  <si>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</si>
  <si>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</si>
  <si>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</si>
  <si>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</si>
  <si>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</si>
  <si>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</si>
  <si>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</si>
  <si>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</si>
  <si>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</si>
  <si>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</si>
  <si>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</si>
  <si>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</si>
  <si>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</si>
  <si>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</si>
  <si>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</si>
  <si>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</si>
  <si>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</si>
  <si>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</si>
  <si>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</si>
  <si>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</si>
  <si>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</si>
  <si>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</si>
  <si>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</si>
  <si>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</si>
  <si>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</si>
  <si>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</si>
  <si>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</si>
  <si>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</si>
  <si>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</si>
  <si>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</si>
  <si>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</si>
  <si>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</si>
  <si>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</si>
  <si>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</si>
  <si>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</si>
  <si>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</si>
  <si>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</si>
  <si>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</si>
  <si>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</si>
  <si>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</si>
  <si>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</si>
  <si>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</si>
  <si>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</si>
  <si>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</si>
  <si>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</si>
  <si>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</si>
  <si>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</si>
  <si>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</si>
  <si>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</si>
  <si>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</si>
  <si>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</si>
  <si>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</si>
  <si>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</si>
  <si>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</si>
  <si>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</si>
  <si>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</si>
  <si>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</si>
  <si>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</si>
  <si>
    <t>GVA_FS</t>
  </si>
  <si>
    <t>TFHPOP</t>
  </si>
  <si>
    <t>agr</t>
  </si>
  <si>
    <t>PAMS_RUN</t>
  </si>
  <si>
    <t>RES</t>
  </si>
  <si>
    <t>TRA</t>
  </si>
  <si>
    <t>WASTE</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</si>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</sst>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69">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AADC9B"/>
        <bgColor indexed="64"/>
      </patternFill>
    </fill>
    <fill>
      <patternFill patternType="solid">
        <fgColor theme="5"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80"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05">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9" fontId="16" fillId="0" borderId="0" xfId="45" applyFon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0" fontId="28" fillId="6" borderId="5" xfId="27"/>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2"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38" fillId="0" borderId="0" xfId="41" applyFont="1" applyFill="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9" fontId="16" fillId="0" borderId="4" xfId="45" applyNumberFormat="1" applyFont="1" applyBorder="1"/>
    <xf numFmtId="173" fontId="0" fillId="0" borderId="0" xfId="0" applyNumberFormat="1" applyBorder="1"/>
    <xf numFmtId="0" fontId="26" fillId="0" borderId="7" xfId="21" applyAlignment="1">
      <alignment horizontal="left"/>
    </xf>
    <xf numFmtId="0" fontId="25" fillId="0" borderId="6" xfId="20" applyAlignment="1">
      <alignment horizontal="left"/>
    </xf>
    <xf numFmtId="9" fontId="16" fillId="0" borderId="0" xfId="45" applyFont="1"/>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174" fontId="28" fillId="8" borderId="8" xfId="44" applyNumberFormat="1" applyFont="1"/>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0" fontId="26" fillId="0" borderId="7" xfId="21" applyAlignment="1">
      <alignment horizontal="left"/>
    </xf>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9" fontId="0" fillId="0" borderId="0" xfId="45" applyFont="1"/>
    <xf numFmtId="172" fontId="0" fillId="0" borderId="0" xfId="45" applyNumberFormat="1" applyFont="1"/>
    <xf numFmtId="0" fontId="43" fillId="4" borderId="0" xfId="3" applyFont="1"/>
    <xf numFmtId="0" fontId="38" fillId="0" borderId="0" xfId="0" applyFont="1" applyAlignment="1">
      <alignment horizontal="center"/>
    </xf>
    <xf numFmtId="173" fontId="34" fillId="0" borderId="0" xfId="0" applyNumberFormat="1" applyFont="1" applyBorder="1"/>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0" fontId="39" fillId="0" borderId="3" xfId="0" applyFont="1" applyBorder="1"/>
    <xf numFmtId="0" fontId="38" fillId="0" borderId="16"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0" fontId="26" fillId="0" borderId="7" xfId="21" applyAlignment="1">
      <alignment horizontal="left"/>
    </xf>
    <xf numFmtId="167" fontId="2" fillId="0" borderId="0" xfId="11" applyNumberFormat="1" applyFill="1" applyBorder="1"/>
    <xf numFmtId="2" fontId="0" fillId="0" borderId="15" xfId="0" applyNumberFormat="1" applyBorder="1"/>
    <xf numFmtId="0" fontId="26" fillId="0" borderId="43" xfId="21" applyBorder="1"/>
    <xf numFmtId="0" fontId="0" fillId="0" borderId="15" xfId="0" applyFill="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6" fillId="0" borderId="0" xfId="0" applyFont="1" applyBorder="1"/>
    <xf numFmtId="0" fontId="35" fillId="0" borderId="0" xfId="0" applyFont="1"/>
    <xf numFmtId="2" fontId="35" fillId="0" borderId="0" xfId="0" applyNumberFormat="1" applyFont="1"/>
    <xf numFmtId="22" fontId="0" fillId="0" borderId="0" xfId="0" applyNumberFormat="1"/>
    <xf numFmtId="173" fontId="0" fillId="79" borderId="0" xfId="0" applyNumberFormat="1" applyFill="1"/>
    <xf numFmtId="188" fontId="16" fillId="0" borderId="59" xfId="2765" applyNumberFormat="1" applyFont="1" applyBorder="1" applyAlignment="1">
      <alignment vertical="center" wrapText="1"/>
    </xf>
    <xf numFmtId="2" fontId="16" fillId="81" borderId="0" xfId="31" applyNumberFormat="1" applyFill="1"/>
    <xf numFmtId="173" fontId="19" fillId="81" borderId="5" xfId="6" applyNumberFormat="1" applyFill="1"/>
    <xf numFmtId="173" fontId="16" fillId="81"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2" fontId="0" fillId="0" borderId="0" xfId="45" applyNumberFormat="1" applyFon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0" fontId="16" fillId="0" borderId="0" xfId="45" applyNumberFormat="1"/>
    <xf numFmtId="172" fontId="28" fillId="0" borderId="5" xfId="45" applyNumberFormat="1" applyFont="1" applyBorder="1"/>
    <xf numFmtId="0" fontId="16" fillId="8" borderId="8" xfId="44"/>
    <xf numFmtId="0" fontId="28" fillId="0" borderId="5" xfId="27" applyFill="1"/>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xf numFmtId="0" fontId="0" fillId="10" borderId="0" xfId="0" applyFill="1" applyAlignment="1">
      <alignment horizontal="center"/>
    </xf>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26.515913112989015</c:v>
                </c:pt>
                <c:pt idx="1">
                  <c:v>25.4523243135</c:v>
                </c:pt>
                <c:pt idx="2">
                  <c:v>20.712850503599999</c:v>
                </c:pt>
                <c:pt idx="3">
                  <c:v>14.739000688999997</c:v>
                </c:pt>
                <c:pt idx="4" formatCode="0.000">
                  <c:v>10.434309486529997</c:v>
                </c:pt>
              </c:numCache>
            </c:numRef>
          </c:val>
          <c:extLst>
            <c:ext xmlns:c16="http://schemas.microsoft.com/office/drawing/2014/chart" uri="{C3380CC4-5D6E-409C-BE32-E72D297353CC}">
              <c16:uniqueId val="{00000000-9081-4B75-9AB5-879A31DECC46}"/>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15.909547867793409</c:v>
                </c:pt>
                <c:pt idx="1">
                  <c:v>18.6923198273</c:v>
                </c:pt>
                <c:pt idx="2">
                  <c:v>21.354603259300003</c:v>
                </c:pt>
                <c:pt idx="3">
                  <c:v>25.239021954659997</c:v>
                </c:pt>
                <c:pt idx="4" formatCode="0.000">
                  <c:v>28.751933493569997</c:v>
                </c:pt>
              </c:numCache>
            </c:numRef>
          </c:val>
          <c:extLst>
            <c:ext xmlns:c16="http://schemas.microsoft.com/office/drawing/2014/chart" uri="{C3380CC4-5D6E-409C-BE32-E72D297353CC}">
              <c16:uniqueId val="{00000001-9081-4B75-9AB5-879A31DECC46}"/>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9.8999719012876621</c:v>
                </c:pt>
                <c:pt idx="1">
                  <c:v>15.164045859200005</c:v>
                </c:pt>
                <c:pt idx="2">
                  <c:v>23.888636237100002</c:v>
                </c:pt>
                <c:pt idx="3">
                  <c:v>31.397283356339997</c:v>
                </c:pt>
                <c:pt idx="4" formatCode="0.000">
                  <c:v>36.331666019899991</c:v>
                </c:pt>
              </c:numCache>
            </c:numRef>
          </c:val>
          <c:extLst>
            <c:ext xmlns:c16="http://schemas.microsoft.com/office/drawing/2014/chart" uri="{C3380CC4-5D6E-409C-BE32-E72D297353CC}">
              <c16:uniqueId val="{00000002-9081-4B75-9AB5-879A31DECC46}"/>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7.6896148027668154</c:v>
                </c:pt>
                <c:pt idx="1">
                  <c:v>5.0904648626999993</c:v>
                </c:pt>
                <c:pt idx="2">
                  <c:v>3.1069275755399985</c:v>
                </c:pt>
                <c:pt idx="3">
                  <c:v>1.473900068899999</c:v>
                </c:pt>
                <c:pt idx="4">
                  <c:v>0.52171547432650023</c:v>
                </c:pt>
              </c:numCache>
            </c:numRef>
          </c:val>
          <c:extLst>
            <c:ext xmlns:c16="http://schemas.microsoft.com/office/drawing/2014/chart" uri="{C3380CC4-5D6E-409C-BE32-E72D297353CC}">
              <c16:uniqueId val="{00000000-D7ED-415D-89D1-59DA3B04742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18.826298310222199</c:v>
                </c:pt>
                <c:pt idx="1">
                  <c:v>20.361859450800001</c:v>
                </c:pt>
                <c:pt idx="2">
                  <c:v>17.60592292806</c:v>
                </c:pt>
                <c:pt idx="3">
                  <c:v>13.265100620099998</c:v>
                </c:pt>
                <c:pt idx="4">
                  <c:v>9.9125940122034972</c:v>
                </c:pt>
              </c:numCache>
            </c:numRef>
          </c:val>
          <c:extLst>
            <c:ext xmlns:c16="http://schemas.microsoft.com/office/drawing/2014/chart" uri="{C3380CC4-5D6E-409C-BE32-E72D297353CC}">
              <c16:uniqueId val="{00000001-D7ED-415D-89D1-59DA3B04742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2.7046231375248801</c:v>
                </c:pt>
                <c:pt idx="1">
                  <c:v>1.8692319827299997</c:v>
                </c:pt>
                <c:pt idx="2">
                  <c:v>1.0677301629650024</c:v>
                </c:pt>
                <c:pt idx="3">
                  <c:v>1.2619510977330002</c:v>
                </c:pt>
                <c:pt idx="4">
                  <c:v>0</c:v>
                </c:pt>
              </c:numCache>
            </c:numRef>
          </c:val>
          <c:extLst>
            <c:ext xmlns:c16="http://schemas.microsoft.com/office/drawing/2014/chart" uri="{C3380CC4-5D6E-409C-BE32-E72D297353CC}">
              <c16:uniqueId val="{00000002-D7ED-415D-89D1-59DA3B04742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13.204924730268528</c:v>
                </c:pt>
                <c:pt idx="1">
                  <c:v>16.823087844570001</c:v>
                </c:pt>
                <c:pt idx="2">
                  <c:v>20.286873096335</c:v>
                </c:pt>
                <c:pt idx="3">
                  <c:v>23.977070856926996</c:v>
                </c:pt>
                <c:pt idx="4">
                  <c:v>28.751933493569997</c:v>
                </c:pt>
              </c:numCache>
            </c:numRef>
          </c:val>
          <c:extLst>
            <c:ext xmlns:c16="http://schemas.microsoft.com/office/drawing/2014/chart" uri="{C3380CC4-5D6E-409C-BE32-E72D297353CC}">
              <c16:uniqueId val="{00000003-D7ED-415D-89D1-59DA3B04742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9.8999719012876621</c:v>
                </c:pt>
                <c:pt idx="1">
                  <c:v>15.164045859200005</c:v>
                </c:pt>
                <c:pt idx="2">
                  <c:v>23.888636237100002</c:v>
                </c:pt>
                <c:pt idx="3">
                  <c:v>31.397283356339997</c:v>
                </c:pt>
                <c:pt idx="4">
                  <c:v>36.331666019899991</c:v>
                </c:pt>
              </c:numCache>
            </c:numRef>
          </c:val>
          <c:extLst>
            <c:ext xmlns:c16="http://schemas.microsoft.com/office/drawing/2014/chart" uri="{C3380CC4-5D6E-409C-BE32-E72D297353CC}">
              <c16:uniqueId val="{00000004-D7ED-415D-89D1-59DA3B04742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RES!$J$96:$AP$96</c:f>
              <c:numCache>
                <c:formatCode>0.000</c:formatCode>
                <c:ptCount val="33"/>
                <c:pt idx="0">
                  <c:v>10.658785333292295</c:v>
                </c:pt>
                <c:pt idx="1">
                  <c:v>12.189694821328063</c:v>
                </c:pt>
                <c:pt idx="2">
                  <c:v>13.720604309363832</c:v>
                </c:pt>
                <c:pt idx="3">
                  <c:v>15.2515137973996</c:v>
                </c:pt>
                <c:pt idx="4">
                  <c:v>16.782423285435367</c:v>
                </c:pt>
                <c:pt idx="5">
                  <c:v>18.313332773471135</c:v>
                </c:pt>
                <c:pt idx="6">
                  <c:v>18.110424314925734</c:v>
                </c:pt>
                <c:pt idx="7">
                  <c:v>17.988678939330427</c:v>
                </c:pt>
                <c:pt idx="8">
                  <c:v>18.506851143562901</c:v>
                </c:pt>
                <c:pt idx="9">
                  <c:v>18.976433551921762</c:v>
                </c:pt>
                <c:pt idx="10">
                  <c:v>18.629271580229716</c:v>
                </c:pt>
                <c:pt idx="11">
                  <c:v>18.305518992636667</c:v>
                </c:pt>
                <c:pt idx="12">
                  <c:v>17.915409658264227</c:v>
                </c:pt>
                <c:pt idx="13">
                  <c:v>17.492883985841626</c:v>
                </c:pt>
                <c:pt idx="14">
                  <c:v>17.045807437043916</c:v>
                </c:pt>
                <c:pt idx="15">
                  <c:v>16.570068890289409</c:v>
                </c:pt>
                <c:pt idx="16">
                  <c:v>16.090363122437221</c:v>
                </c:pt>
                <c:pt idx="17">
                  <c:v>15.576808718730131</c:v>
                </c:pt>
                <c:pt idx="18">
                  <c:v>15.06069293740995</c:v>
                </c:pt>
                <c:pt idx="19">
                  <c:v>14.566739549087789</c:v>
                </c:pt>
                <c:pt idx="20">
                  <c:v>14.084233544939226</c:v>
                </c:pt>
                <c:pt idx="21">
                  <c:v>13.618996888299661</c:v>
                </c:pt>
                <c:pt idx="22">
                  <c:v>13.16811307871286</c:v>
                </c:pt>
                <c:pt idx="23">
                  <c:v>12.749573837074918</c:v>
                </c:pt>
                <c:pt idx="24">
                  <c:v>12.351458082075704</c:v>
                </c:pt>
                <c:pt idx="25">
                  <c:v>11.920934416618618</c:v>
                </c:pt>
                <c:pt idx="26">
                  <c:v>11.500834718538492</c:v>
                </c:pt>
                <c:pt idx="27">
                  <c:v>11.103827072044236</c:v>
                </c:pt>
                <c:pt idx="28">
                  <c:v>10.716997331812028</c:v>
                </c:pt>
                <c:pt idx="29">
                  <c:v>8.9780717547227056</c:v>
                </c:pt>
                <c:pt idx="30">
                  <c:v>7.5869775221531599</c:v>
                </c:pt>
                <c:pt idx="31">
                  <c:v>7.5869775221531599</c:v>
                </c:pt>
                <c:pt idx="32">
                  <c:v>7.5869775221531599</c:v>
                </c:pt>
              </c:numCache>
            </c:numRef>
          </c:val>
          <c:smooth val="0"/>
          <c:extLst>
            <c:ext xmlns:c16="http://schemas.microsoft.com/office/drawing/2014/chart" uri="{C3380CC4-5D6E-409C-BE32-E72D297353CC}">
              <c16:uniqueId val="{00000000-A92E-48B3-BC7B-C545C182B1C3}"/>
            </c:ext>
          </c:extLst>
        </c:ser>
        <c:ser>
          <c:idx val="1"/>
          <c:order val="1"/>
          <c:spPr>
            <a:ln w="28575" cap="rnd">
              <a:solidFill>
                <a:schemeClr val="accent2"/>
              </a:solidFill>
              <a:round/>
            </a:ln>
            <a:effectLst/>
          </c:spPr>
          <c:marker>
            <c:symbol val="none"/>
          </c:marker>
          <c:val>
            <c:numRef>
              <c:f>RES!$J$97:$AP$97</c:f>
              <c:numCache>
                <c:formatCode>0.000</c:formatCode>
                <c:ptCount val="33"/>
                <c:pt idx="0" formatCode="0.00">
                  <c:v>4.742986727829742E-2</c:v>
                </c:pt>
                <c:pt idx="1">
                  <c:v>4.5519745651797672E-2</c:v>
                </c:pt>
                <c:pt idx="2">
                  <c:v>4.3609624025297923E-2</c:v>
                </c:pt>
                <c:pt idx="3">
                  <c:v>4.1699502398798181E-2</c:v>
                </c:pt>
                <c:pt idx="4">
                  <c:v>3.9789380772298433E-2</c:v>
                </c:pt>
                <c:pt idx="5">
                  <c:v>3.7879259145798684E-2</c:v>
                </c:pt>
                <c:pt idx="6">
                  <c:v>3.7459563715196896E-2</c:v>
                </c:pt>
                <c:pt idx="7">
                  <c:v>3.7207745835348305E-2</c:v>
                </c:pt>
                <c:pt idx="8">
                  <c:v>3.8279532137113374E-2</c:v>
                </c:pt>
                <c:pt idx="9">
                  <c:v>3.9250815406879573E-2</c:v>
                </c:pt>
                <c:pt idx="10">
                  <c:v>3.8532746311868149E-2</c:v>
                </c:pt>
                <c:pt idx="11">
                  <c:v>3.7863097137889018E-2</c:v>
                </c:pt>
                <c:pt idx="12">
                  <c:v>3.7056195807875794E-2</c:v>
                </c:pt>
                <c:pt idx="13">
                  <c:v>3.6182244592145495E-2</c:v>
                </c:pt>
                <c:pt idx="14">
                  <c:v>3.5257512395150209E-2</c:v>
                </c:pt>
                <c:pt idx="15">
                  <c:v>3.4273495781622358E-2</c:v>
                </c:pt>
                <c:pt idx="16">
                  <c:v>3.328127337628662E-2</c:v>
                </c:pt>
                <c:pt idx="17">
                  <c:v>3.2219038523454868E-2</c:v>
                </c:pt>
                <c:pt idx="18">
                  <c:v>3.1151505722533786E-2</c:v>
                </c:pt>
                <c:pt idx="19">
                  <c:v>3.012981356886393E-2</c:v>
                </c:pt>
                <c:pt idx="20">
                  <c:v>2.9131799160638714E-2</c:v>
                </c:pt>
                <c:pt idx="21">
                  <c:v>2.8169504634625205E-2</c:v>
                </c:pt>
                <c:pt idx="22">
                  <c:v>2.7236897507389227E-2</c:v>
                </c:pt>
                <c:pt idx="23">
                  <c:v>2.6371191816743127E-2</c:v>
                </c:pt>
                <c:pt idx="24">
                  <c:v>2.5547730023077368E-2</c:v>
                </c:pt>
                <c:pt idx="25">
                  <c:v>2.4657235775308775E-2</c:v>
                </c:pt>
                <c:pt idx="26">
                  <c:v>2.3788302439826516E-2</c:v>
                </c:pt>
                <c:pt idx="27">
                  <c:v>2.296713265547114E-2</c:v>
                </c:pt>
                <c:pt idx="28">
                  <c:v>2.2167014831107459E-2</c:v>
                </c:pt>
                <c:pt idx="29">
                  <c:v>1.8570224810164754E-2</c:v>
                </c:pt>
                <c:pt idx="30">
                  <c:v>1.5692888413588145E-2</c:v>
                </c:pt>
                <c:pt idx="31">
                  <c:v>1.5692888413588145E-2</c:v>
                </c:pt>
                <c:pt idx="32">
                  <c:v>1.5692888413588145E-2</c:v>
                </c:pt>
              </c:numCache>
            </c:numRef>
          </c:val>
          <c:smooth val="0"/>
          <c:extLst>
            <c:ext xmlns:c16="http://schemas.microsoft.com/office/drawing/2014/chart" uri="{C3380CC4-5D6E-409C-BE32-E72D297353CC}">
              <c16:uniqueId val="{00000001-A92E-48B3-BC7B-C545C182B1C3}"/>
            </c:ext>
          </c:extLst>
        </c:ser>
        <c:ser>
          <c:idx val="2"/>
          <c:order val="2"/>
          <c:spPr>
            <a:ln w="28575" cap="rnd">
              <a:solidFill>
                <a:schemeClr val="accent3"/>
              </a:solidFill>
              <a:round/>
            </a:ln>
            <a:effectLst/>
          </c:spPr>
          <c:marker>
            <c:symbol val="none"/>
          </c:marker>
          <c:val>
            <c:numRef>
              <c:f>RES!$J$98:$AP$98</c:f>
              <c:numCache>
                <c:formatCode>0.000</c:formatCode>
                <c:ptCount val="33"/>
                <c:pt idx="0" formatCode="0.00">
                  <c:v>10.048392993864358</c:v>
                </c:pt>
                <c:pt idx="1">
                  <c:v>10.416076928818626</c:v>
                </c:pt>
                <c:pt idx="2">
                  <c:v>10.783760863772892</c:v>
                </c:pt>
                <c:pt idx="3">
                  <c:v>11.151444798727161</c:v>
                </c:pt>
                <c:pt idx="4">
                  <c:v>11.519128733681427</c:v>
                </c:pt>
                <c:pt idx="5">
                  <c:v>11.886812668635695</c:v>
                </c:pt>
                <c:pt idx="6">
                  <c:v>11.755108905839185</c:v>
                </c:pt>
                <c:pt idx="7">
                  <c:v>11.676086453133554</c:v>
                </c:pt>
                <c:pt idx="8">
                  <c:v>12.012421515571127</c:v>
                </c:pt>
                <c:pt idx="9">
                  <c:v>12.317217927545601</c:v>
                </c:pt>
                <c:pt idx="10">
                  <c:v>12.091882136719178</c:v>
                </c:pt>
                <c:pt idx="11">
                  <c:v>11.88174090206202</c:v>
                </c:pt>
                <c:pt idx="12">
                  <c:v>11.628528849655657</c:v>
                </c:pt>
                <c:pt idx="13">
                  <c:v>11.354276010049508</c:v>
                </c:pt>
                <c:pt idx="14">
                  <c:v>11.06408769480211</c:v>
                </c:pt>
                <c:pt idx="15">
                  <c:v>10.755295458322264</c:v>
                </c:pt>
                <c:pt idx="16">
                  <c:v>10.443928179135201</c:v>
                </c:pt>
                <c:pt idx="17">
                  <c:v>10.110590437309083</c:v>
                </c:pt>
                <c:pt idx="18">
                  <c:v>9.7755901572526476</c:v>
                </c:pt>
                <c:pt idx="19">
                  <c:v>9.4549750367471681</c:v>
                </c:pt>
                <c:pt idx="20">
                  <c:v>9.1417901810056534</c:v>
                </c:pt>
                <c:pt idx="21">
                  <c:v>8.8398145082833199</c:v>
                </c:pt>
                <c:pt idx="22">
                  <c:v>8.5471549773189164</c:v>
                </c:pt>
                <c:pt idx="23">
                  <c:v>8.2754896490379792</c:v>
                </c:pt>
                <c:pt idx="24">
                  <c:v>8.0170807914780156</c:v>
                </c:pt>
                <c:pt idx="25">
                  <c:v>7.7376366168974009</c:v>
                </c:pt>
                <c:pt idx="26">
                  <c:v>7.4649584280063701</c:v>
                </c:pt>
                <c:pt idx="27">
                  <c:v>7.2072688211899978</c:v>
                </c:pt>
                <c:pt idx="28">
                  <c:v>6.9561854867868664</c:v>
                </c:pt>
                <c:pt idx="29">
                  <c:v>5.8274841829202559</c:v>
                </c:pt>
                <c:pt idx="30">
                  <c:v>4.9245531461988863</c:v>
                </c:pt>
                <c:pt idx="31">
                  <c:v>4.9245531461988863</c:v>
                </c:pt>
                <c:pt idx="32">
                  <c:v>4.9245531461988863</c:v>
                </c:pt>
              </c:numCache>
            </c:numRef>
          </c:val>
          <c:smooth val="0"/>
          <c:extLst>
            <c:ext xmlns:c16="http://schemas.microsoft.com/office/drawing/2014/chart" uri="{C3380CC4-5D6E-409C-BE32-E72D297353CC}">
              <c16:uniqueId val="{00000002-A92E-48B3-BC7B-C545C182B1C3}"/>
            </c:ext>
          </c:extLst>
        </c:ser>
        <c:ser>
          <c:idx val="3"/>
          <c:order val="3"/>
          <c:spPr>
            <a:ln w="28575" cap="rnd">
              <a:solidFill>
                <a:schemeClr val="accent4"/>
              </a:solidFill>
              <a:round/>
            </a:ln>
            <a:effectLst/>
          </c:spPr>
          <c:marker>
            <c:symbol val="none"/>
          </c:marker>
          <c:val>
            <c:numRef>
              <c:f>RES!$J$99:$AP$99</c:f>
              <c:numCache>
                <c:formatCode>0.000</c:formatCode>
                <c:ptCount val="33"/>
                <c:pt idx="0" formatCode="0.00">
                  <c:v>14.59873427639161</c:v>
                </c:pt>
                <c:pt idx="1">
                  <c:v>13.810249302650501</c:v>
                </c:pt>
                <c:pt idx="2">
                  <c:v>13.021764328909391</c:v>
                </c:pt>
                <c:pt idx="3">
                  <c:v>12.233279355168282</c:v>
                </c:pt>
                <c:pt idx="4">
                  <c:v>11.444794381427172</c:v>
                </c:pt>
                <c:pt idx="5">
                  <c:v>10.656309407686063</c:v>
                </c:pt>
                <c:pt idx="6">
                  <c:v>10.538239401399238</c:v>
                </c:pt>
                <c:pt idx="7">
                  <c:v>10.467397222788367</c:v>
                </c:pt>
                <c:pt idx="8">
                  <c:v>10.76891543375884</c:v>
                </c:pt>
                <c:pt idx="9">
                  <c:v>11.042159823394311</c:v>
                </c:pt>
                <c:pt idx="10">
                  <c:v>10.840150422336963</c:v>
                </c:pt>
                <c:pt idx="11">
                  <c:v>10.651762662031084</c:v>
                </c:pt>
                <c:pt idx="12">
                  <c:v>10.424762704059413</c:v>
                </c:pt>
                <c:pt idx="13">
                  <c:v>10.1789000665089</c:v>
                </c:pt>
                <c:pt idx="14">
                  <c:v>9.9187515674978251</c:v>
                </c:pt>
                <c:pt idx="15">
                  <c:v>9.6419249945256542</c:v>
                </c:pt>
                <c:pt idx="16">
                  <c:v>9.3627899430242874</c:v>
                </c:pt>
                <c:pt idx="17">
                  <c:v>9.0639587749744113</c:v>
                </c:pt>
                <c:pt idx="18">
                  <c:v>8.763637171912368</c:v>
                </c:pt>
                <c:pt idx="19">
                  <c:v>8.4762116003877281</c:v>
                </c:pt>
                <c:pt idx="20">
                  <c:v>8.1954471248619125</c:v>
                </c:pt>
                <c:pt idx="21">
                  <c:v>7.924731476199077</c:v>
                </c:pt>
                <c:pt idx="22">
                  <c:v>7.6623675776500715</c:v>
                </c:pt>
                <c:pt idx="23">
                  <c:v>7.4188245965159592</c:v>
                </c:pt>
                <c:pt idx="24">
                  <c:v>7.1871657980971477</c:v>
                </c:pt>
                <c:pt idx="25">
                  <c:v>6.9366492240146984</c:v>
                </c:pt>
                <c:pt idx="26">
                  <c:v>6.6921982319319078</c:v>
                </c:pt>
                <c:pt idx="27">
                  <c:v>6.461184228604858</c:v>
                </c:pt>
                <c:pt idx="28">
                  <c:v>6.2360926272563217</c:v>
                </c:pt>
                <c:pt idx="29">
                  <c:v>5.2242326225472739</c:v>
                </c:pt>
                <c:pt idx="30">
                  <c:v>4.4147715189417767</c:v>
                </c:pt>
                <c:pt idx="31">
                  <c:v>4.4147715189417767</c:v>
                </c:pt>
                <c:pt idx="32">
                  <c:v>4.4147715189417767</c:v>
                </c:pt>
              </c:numCache>
            </c:numRef>
          </c:val>
          <c:smooth val="0"/>
          <c:extLst>
            <c:ext xmlns:c16="http://schemas.microsoft.com/office/drawing/2014/chart" uri="{C3380CC4-5D6E-409C-BE32-E72D297353CC}">
              <c16:uniqueId val="{00000003-A92E-48B3-BC7B-C545C182B1C3}"/>
            </c:ext>
          </c:extLst>
        </c:ser>
        <c:ser>
          <c:idx val="4"/>
          <c:order val="4"/>
          <c:spPr>
            <a:ln w="28575" cap="rnd">
              <a:solidFill>
                <a:schemeClr val="accent5"/>
              </a:solidFill>
              <a:round/>
            </a:ln>
            <a:effectLst/>
          </c:spPr>
          <c:marker>
            <c:symbol val="none"/>
          </c:marker>
          <c:val>
            <c:numRef>
              <c:f>RES!$J$100:$AP$100</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A92E-48B3-BC7B-C545C182B1C3}"/>
            </c:ext>
          </c:extLst>
        </c:ser>
        <c:ser>
          <c:idx val="5"/>
          <c:order val="5"/>
          <c:spPr>
            <a:ln w="28575" cap="rnd">
              <a:solidFill>
                <a:schemeClr val="accent6"/>
              </a:solidFill>
              <a:round/>
            </a:ln>
            <a:effectLst/>
          </c:spPr>
          <c:marker>
            <c:symbol val="none"/>
          </c:marker>
          <c:val>
            <c:numRef>
              <c:f>RES!$J$101:$AP$101</c:f>
              <c:numCache>
                <c:formatCode>0.000</c:formatCode>
                <c:ptCount val="33"/>
                <c:pt idx="0" formatCode="0.00">
                  <c:v>5.646504427564552</c:v>
                </c:pt>
                <c:pt idx="1">
                  <c:v>5.8958681759198246</c:v>
                </c:pt>
                <c:pt idx="2">
                  <c:v>6.1452319242750963</c:v>
                </c:pt>
                <c:pt idx="3">
                  <c:v>6.394595672630369</c:v>
                </c:pt>
                <c:pt idx="4">
                  <c:v>6.6439594209856407</c:v>
                </c:pt>
                <c:pt idx="5">
                  <c:v>6.8933231693409134</c:v>
                </c:pt>
                <c:pt idx="6">
                  <c:v>6.8169463789528493</c:v>
                </c:pt>
                <c:pt idx="7">
                  <c:v>6.7711201916207999</c:v>
                </c:pt>
                <c:pt idx="8">
                  <c:v>6.9661654357239646</c:v>
                </c:pt>
                <c:pt idx="9">
                  <c:v>7.1429209905700031</c:v>
                </c:pt>
                <c:pt idx="10">
                  <c:v>7.0122457228521844</c:v>
                </c:pt>
                <c:pt idx="11">
                  <c:v>6.8903819834228361</c:v>
                </c:pt>
                <c:pt idx="12">
                  <c:v>6.7435408952129814</c:v>
                </c:pt>
                <c:pt idx="13">
                  <c:v>6.5844979704007756</c:v>
                </c:pt>
                <c:pt idx="14">
                  <c:v>6.4162138480939603</c:v>
                </c:pt>
                <c:pt idx="15">
                  <c:v>6.2371410606632631</c:v>
                </c:pt>
                <c:pt idx="16">
                  <c:v>6.0565749711968948</c:v>
                </c:pt>
                <c:pt idx="17">
                  <c:v>5.8632679137879151</c:v>
                </c:pt>
                <c:pt idx="18">
                  <c:v>5.6689967280105948</c:v>
                </c:pt>
                <c:pt idx="19">
                  <c:v>5.4830676904938356</c:v>
                </c:pt>
                <c:pt idx="20">
                  <c:v>5.3014475638415437</c:v>
                </c:pt>
                <c:pt idx="21">
                  <c:v>5.1263277937751175</c:v>
                </c:pt>
                <c:pt idx="22">
                  <c:v>4.9566105801061893</c:v>
                </c:pt>
                <c:pt idx="23">
                  <c:v>4.7990681880495876</c:v>
                </c:pt>
                <c:pt idx="24">
                  <c:v>4.6492134023608127</c:v>
                </c:pt>
                <c:pt idx="25">
                  <c:v>4.487159952300428</c:v>
                </c:pt>
                <c:pt idx="26">
                  <c:v>4.3290301886997877</c:v>
                </c:pt>
                <c:pt idx="27">
                  <c:v>4.179592506228972</c:v>
                </c:pt>
                <c:pt idx="28">
                  <c:v>4.0339858903324055</c:v>
                </c:pt>
                <c:pt idx="29">
                  <c:v>3.3794367638253076</c:v>
                </c:pt>
                <c:pt idx="30">
                  <c:v>2.8558148637198686</c:v>
                </c:pt>
                <c:pt idx="31">
                  <c:v>2.8558148637198686</c:v>
                </c:pt>
                <c:pt idx="32">
                  <c:v>2.8558148637198686</c:v>
                </c:pt>
              </c:numCache>
            </c:numRef>
          </c:val>
          <c:smooth val="0"/>
          <c:extLst>
            <c:ext xmlns:c16="http://schemas.microsoft.com/office/drawing/2014/chart" uri="{C3380CC4-5D6E-409C-BE32-E72D297353CC}">
              <c16:uniqueId val="{00000005-A92E-48B3-BC7B-C545C182B1C3}"/>
            </c:ext>
          </c:extLst>
        </c:ser>
        <c:ser>
          <c:idx val="6"/>
          <c:order val="6"/>
          <c:spPr>
            <a:ln w="28575" cap="rnd">
              <a:solidFill>
                <a:schemeClr val="accent1">
                  <a:lumMod val="60000"/>
                </a:schemeClr>
              </a:solidFill>
              <a:round/>
            </a:ln>
            <a:effectLst/>
          </c:spPr>
          <c:marker>
            <c:symbol val="none"/>
          </c:marker>
          <c:val>
            <c:numRef>
              <c:f>RES!$J$102:$AP$102</c:f>
              <c:numCache>
                <c:formatCode>0.000</c:formatCode>
                <c:ptCount val="33"/>
                <c:pt idx="0" formatCode="0.00">
                  <c:v>1.4522685698054492</c:v>
                </c:pt>
                <c:pt idx="1">
                  <c:v>1.6534920531745438</c:v>
                </c:pt>
                <c:pt idx="2">
                  <c:v>1.8547155365436385</c:v>
                </c:pt>
                <c:pt idx="3">
                  <c:v>2.0559390199127332</c:v>
                </c:pt>
                <c:pt idx="4">
                  <c:v>2.2571625032818279</c:v>
                </c:pt>
                <c:pt idx="5">
                  <c:v>2.4583859866509226</c:v>
                </c:pt>
                <c:pt idx="6">
                  <c:v>2.4311475086943837</c:v>
                </c:pt>
                <c:pt idx="7">
                  <c:v>2.4148043815855584</c:v>
                </c:pt>
                <c:pt idx="8">
                  <c:v>2.4843639369824042</c:v>
                </c:pt>
                <c:pt idx="9">
                  <c:v>2.5474007870504325</c:v>
                </c:pt>
                <c:pt idx="10">
                  <c:v>2.5007976844441084</c:v>
                </c:pt>
                <c:pt idx="11">
                  <c:v>2.4573370629217561</c:v>
                </c:pt>
                <c:pt idx="12">
                  <c:v>2.4049686965110175</c:v>
                </c:pt>
                <c:pt idx="13">
                  <c:v>2.3482487534546284</c:v>
                </c:pt>
                <c:pt idx="14">
                  <c:v>2.2882330951296348</c:v>
                </c:pt>
                <c:pt idx="15">
                  <c:v>2.2243698436331529</c:v>
                </c:pt>
                <c:pt idx="16">
                  <c:v>2.159974031467724</c:v>
                </c:pt>
                <c:pt idx="17">
                  <c:v>2.091034370671232</c:v>
                </c:pt>
                <c:pt idx="18">
                  <c:v>2.0217508699572093</c:v>
                </c:pt>
                <c:pt idx="19">
                  <c:v>1.9554424539561071</c:v>
                </c:pt>
                <c:pt idx="20">
                  <c:v>1.8906707374287868</c:v>
                </c:pt>
                <c:pt idx="21">
                  <c:v>1.8282172620670627</c:v>
                </c:pt>
                <c:pt idx="22">
                  <c:v>1.7676905161815908</c:v>
                </c:pt>
                <c:pt idx="23">
                  <c:v>1.7115057125069291</c:v>
                </c:pt>
                <c:pt idx="24">
                  <c:v>1.6580625623571756</c:v>
                </c:pt>
                <c:pt idx="25">
                  <c:v>1.6002689668836916</c:v>
                </c:pt>
                <c:pt idx="26">
                  <c:v>1.5438746871787687</c:v>
                </c:pt>
                <c:pt idx="27">
                  <c:v>1.4905802897685616</c:v>
                </c:pt>
                <c:pt idx="28">
                  <c:v>1.4386521768264828</c:v>
                </c:pt>
                <c:pt idx="29">
                  <c:v>1.2052184090123583</c:v>
                </c:pt>
                <c:pt idx="30">
                  <c:v>1.0184776005662892</c:v>
                </c:pt>
                <c:pt idx="31">
                  <c:v>1.0184776005662892</c:v>
                </c:pt>
                <c:pt idx="32">
                  <c:v>1.0184776005662892</c:v>
                </c:pt>
              </c:numCache>
            </c:numRef>
          </c:val>
          <c:smooth val="0"/>
          <c:extLst>
            <c:ext xmlns:c16="http://schemas.microsoft.com/office/drawing/2014/chart" uri="{C3380CC4-5D6E-409C-BE32-E72D297353CC}">
              <c16:uniqueId val="{00000006-A92E-48B3-BC7B-C545C182B1C3}"/>
            </c:ext>
          </c:extLst>
        </c:ser>
        <c:ser>
          <c:idx val="7"/>
          <c:order val="7"/>
          <c:spPr>
            <a:ln w="28575" cap="rnd">
              <a:solidFill>
                <a:schemeClr val="accent2">
                  <a:lumMod val="60000"/>
                </a:schemeClr>
              </a:solidFill>
              <a:round/>
            </a:ln>
            <a:effectLst/>
          </c:spPr>
          <c:marker>
            <c:symbol val="none"/>
          </c:marker>
          <c:val>
            <c:numRef>
              <c:f>RES!$J$103:$AP$103</c:f>
              <c:numCache>
                <c:formatCode>0.000</c:formatCode>
                <c:ptCount val="33"/>
                <c:pt idx="0" formatCode="0.00">
                  <c:v>2.0112975726561855</c:v>
                </c:pt>
                <c:pt idx="1">
                  <c:v>2.1151588924082221</c:v>
                </c:pt>
                <c:pt idx="2">
                  <c:v>2.2190202121602591</c:v>
                </c:pt>
                <c:pt idx="3">
                  <c:v>2.3228815319122957</c:v>
                </c:pt>
                <c:pt idx="4">
                  <c:v>2.4267428516643328</c:v>
                </c:pt>
                <c:pt idx="5">
                  <c:v>2.5306041714163694</c:v>
                </c:pt>
                <c:pt idx="6">
                  <c:v>2.5025655288622137</c:v>
                </c:pt>
                <c:pt idx="7">
                  <c:v>2.4857423018099296</c:v>
                </c:pt>
                <c:pt idx="8">
                  <c:v>2.5573452567588104</c:v>
                </c:pt>
                <c:pt idx="9">
                  <c:v>2.6222338936943057</c:v>
                </c:pt>
                <c:pt idx="10">
                  <c:v>2.5742617662509781</c:v>
                </c:pt>
                <c:pt idx="11">
                  <c:v>2.5295244342315089</c:v>
                </c:pt>
                <c:pt idx="12">
                  <c:v>2.4756176810979973</c:v>
                </c:pt>
                <c:pt idx="13">
                  <c:v>2.4172315182739337</c:v>
                </c:pt>
                <c:pt idx="14">
                  <c:v>2.3554528243942028</c:v>
                </c:pt>
                <c:pt idx="15">
                  <c:v>2.289713509447417</c:v>
                </c:pt>
                <c:pt idx="16">
                  <c:v>2.2234259891912584</c:v>
                </c:pt>
                <c:pt idx="17">
                  <c:v>2.152461139027392</c:v>
                </c:pt>
                <c:pt idx="18">
                  <c:v>2.0811423482153408</c:v>
                </c:pt>
                <c:pt idx="19">
                  <c:v>2.0128860389768568</c:v>
                </c:pt>
                <c:pt idx="20">
                  <c:v>1.9462115716947139</c:v>
                </c:pt>
                <c:pt idx="21">
                  <c:v>1.8819234468322978</c:v>
                </c:pt>
                <c:pt idx="22">
                  <c:v>1.8196186515512698</c:v>
                </c:pt>
                <c:pt idx="23">
                  <c:v>1.7617833485022951</c:v>
                </c:pt>
                <c:pt idx="24">
                  <c:v>1.706770238503714</c:v>
                </c:pt>
                <c:pt idx="25">
                  <c:v>1.6472788833705072</c:v>
                </c:pt>
                <c:pt idx="26">
                  <c:v>1.5892279506690414</c:v>
                </c:pt>
                <c:pt idx="27">
                  <c:v>1.5343679632090892</c:v>
                </c:pt>
                <c:pt idx="28">
                  <c:v>1.4809143965443912</c:v>
                </c:pt>
                <c:pt idx="29">
                  <c:v>1.2406232177842089</c:v>
                </c:pt>
                <c:pt idx="30">
                  <c:v>1.0483966628846386</c:v>
                </c:pt>
                <c:pt idx="31">
                  <c:v>1.0483966628846386</c:v>
                </c:pt>
                <c:pt idx="32">
                  <c:v>1.0483966628846386</c:v>
                </c:pt>
              </c:numCache>
            </c:numRef>
          </c:val>
          <c:smooth val="0"/>
          <c:extLst>
            <c:ext xmlns:c16="http://schemas.microsoft.com/office/drawing/2014/chart" uri="{C3380CC4-5D6E-409C-BE32-E72D297353CC}">
              <c16:uniqueId val="{00000007-A92E-48B3-BC7B-C545C182B1C3}"/>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RES!$J$107:$AP$107</c:f>
              <c:numCache>
                <c:formatCode>0.000</c:formatCode>
                <c:ptCount val="33"/>
                <c:pt idx="0" formatCode="0.00">
                  <c:v>16.022685217204927</c:v>
                </c:pt>
                <c:pt idx="1">
                  <c:v>17.249355448173041</c:v>
                </c:pt>
                <c:pt idx="2">
                  <c:v>18.476025679141156</c:v>
                </c:pt>
                <c:pt idx="3">
                  <c:v>19.702695910109274</c:v>
                </c:pt>
                <c:pt idx="4">
                  <c:v>20.929366141077388</c:v>
                </c:pt>
                <c:pt idx="5">
                  <c:v>22.156036372045502</c:v>
                </c:pt>
                <c:pt idx="6">
                  <c:v>22.788483398017178</c:v>
                </c:pt>
                <c:pt idx="7">
                  <c:v>23.494987175320244</c:v>
                </c:pt>
                <c:pt idx="8">
                  <c:v>24.857823264597748</c:v>
                </c:pt>
                <c:pt idx="9">
                  <c:v>24.017016137033156</c:v>
                </c:pt>
                <c:pt idx="10">
                  <c:v>24.698664551795062</c:v>
                </c:pt>
                <c:pt idx="11">
                  <c:v>25.284633987427917</c:v>
                </c:pt>
                <c:pt idx="12">
                  <c:v>25.881795329582069</c:v>
                </c:pt>
                <c:pt idx="13">
                  <c:v>26.535819801969737</c:v>
                </c:pt>
                <c:pt idx="14">
                  <c:v>27.173775034353291</c:v>
                </c:pt>
                <c:pt idx="15">
                  <c:v>27.871133773976002</c:v>
                </c:pt>
                <c:pt idx="16">
                  <c:v>28.5610799031206</c:v>
                </c:pt>
                <c:pt idx="17">
                  <c:v>29.23557424571321</c:v>
                </c:pt>
                <c:pt idx="18">
                  <c:v>29.975918254673299</c:v>
                </c:pt>
                <c:pt idx="19">
                  <c:v>30.531471830317521</c:v>
                </c:pt>
                <c:pt idx="20">
                  <c:v>31.102800027010172</c:v>
                </c:pt>
                <c:pt idx="21">
                  <c:v>31.660761809655359</c:v>
                </c:pt>
                <c:pt idx="22">
                  <c:v>32.213529772734674</c:v>
                </c:pt>
                <c:pt idx="23">
                  <c:v>32.786951082196467</c:v>
                </c:pt>
                <c:pt idx="24">
                  <c:v>33.31697306499418</c:v>
                </c:pt>
                <c:pt idx="25">
                  <c:v>33.819670838187449</c:v>
                </c:pt>
                <c:pt idx="26">
                  <c:v>34.376326095069011</c:v>
                </c:pt>
                <c:pt idx="27">
                  <c:v>34.900528838685879</c:v>
                </c:pt>
                <c:pt idx="28">
                  <c:v>35.428560753583994</c:v>
                </c:pt>
                <c:pt idx="29">
                  <c:v>38.945546854635055</c:v>
                </c:pt>
                <c:pt idx="30">
                  <c:v>42.483905921546928</c:v>
                </c:pt>
                <c:pt idx="31">
                  <c:v>42.483905921546928</c:v>
                </c:pt>
                <c:pt idx="32">
                  <c:v>42.483905921546928</c:v>
                </c:pt>
              </c:numCache>
            </c:numRef>
          </c:val>
          <c:smooth val="0"/>
          <c:extLst>
            <c:ext xmlns:c16="http://schemas.microsoft.com/office/drawing/2014/chart" uri="{C3380CC4-5D6E-409C-BE32-E72D297353CC}">
              <c16:uniqueId val="{00000000-1F05-40C6-AF95-1ACDB99D0921}"/>
            </c:ext>
          </c:extLst>
        </c:ser>
        <c:ser>
          <c:idx val="1"/>
          <c:order val="1"/>
          <c:spPr>
            <a:ln w="28575" cap="rnd">
              <a:solidFill>
                <a:schemeClr val="accent2"/>
              </a:solidFill>
              <a:round/>
            </a:ln>
            <a:effectLst/>
          </c:spPr>
          <c:marker>
            <c:symbol val="none"/>
          </c:marker>
          <c:val>
            <c:numRef>
              <c:f>RES!$J$108:$AP$108</c:f>
              <c:numCache>
                <c:formatCode>0.000</c:formatCode>
                <c:ptCount val="33"/>
                <c:pt idx="0" formatCode="0.00">
                  <c:v>3.3422499241462768E-2</c:v>
                </c:pt>
                <c:pt idx="1">
                  <c:v>4.0659252524006942E-2</c:v>
                </c:pt>
                <c:pt idx="2">
                  <c:v>4.7896005806551116E-2</c:v>
                </c:pt>
                <c:pt idx="3">
                  <c:v>5.513275908909529E-2</c:v>
                </c:pt>
                <c:pt idx="4">
                  <c:v>6.2369512371639464E-2</c:v>
                </c:pt>
                <c:pt idx="5">
                  <c:v>6.9606265654183638E-2</c:v>
                </c:pt>
                <c:pt idx="6">
                  <c:v>5.9824435881239896E-2</c:v>
                </c:pt>
                <c:pt idx="7">
                  <c:v>6.1679152984915102E-2</c:v>
                </c:pt>
                <c:pt idx="8">
                  <c:v>6.5256876820925874E-2</c:v>
                </c:pt>
                <c:pt idx="9">
                  <c:v>6.304958591819497E-2</c:v>
                </c:pt>
                <c:pt idx="10">
                  <c:v>6.4839052604952221E-2</c:v>
                </c:pt>
                <c:pt idx="11">
                  <c:v>6.6377342376944426E-2</c:v>
                </c:pt>
                <c:pt idx="12">
                  <c:v>6.7945013195598578E-2</c:v>
                </c:pt>
                <c:pt idx="13">
                  <c:v>6.9661961376385459E-2</c:v>
                </c:pt>
                <c:pt idx="14">
                  <c:v>7.1336724511265784E-2</c:v>
                </c:pt>
                <c:pt idx="15">
                  <c:v>7.3167434018174479E-2</c:v>
                </c:pt>
                <c:pt idx="16">
                  <c:v>7.4978683904514523E-2</c:v>
                </c:pt>
                <c:pt idx="17">
                  <c:v>7.6749369686711047E-2</c:v>
                </c:pt>
                <c:pt idx="18">
                  <c:v>7.8692924328787259E-2</c:v>
                </c:pt>
                <c:pt idx="19">
                  <c:v>8.0151366239301275E-2</c:v>
                </c:pt>
                <c:pt idx="20">
                  <c:v>8.1651219760626781E-2</c:v>
                </c:pt>
                <c:pt idx="21">
                  <c:v>8.3115983707706453E-2</c:v>
                </c:pt>
                <c:pt idx="22">
                  <c:v>8.4567112814758816E-2</c:v>
                </c:pt>
                <c:pt idx="23">
                  <c:v>8.6072461185761784E-2</c:v>
                </c:pt>
                <c:pt idx="24">
                  <c:v>8.7463877436317894E-2</c:v>
                </c:pt>
                <c:pt idx="25">
                  <c:v>8.8783562040808048E-2</c:v>
                </c:pt>
                <c:pt idx="26">
                  <c:v>9.0244896090188612E-2</c:v>
                </c:pt>
                <c:pt idx="27">
                  <c:v>9.162103564614546E-2</c:v>
                </c:pt>
                <c:pt idx="28">
                  <c:v>9.3007227560909705E-2</c:v>
                </c:pt>
                <c:pt idx="29">
                  <c:v>0.10224003633640935</c:v>
                </c:pt>
                <c:pt idx="30">
                  <c:v>0.11152895352436454</c:v>
                </c:pt>
                <c:pt idx="31">
                  <c:v>0.11152895352436454</c:v>
                </c:pt>
                <c:pt idx="32">
                  <c:v>0.11152895352436454</c:v>
                </c:pt>
              </c:numCache>
            </c:numRef>
          </c:val>
          <c:smooth val="0"/>
          <c:extLst>
            <c:ext xmlns:c16="http://schemas.microsoft.com/office/drawing/2014/chart" uri="{C3380CC4-5D6E-409C-BE32-E72D297353CC}">
              <c16:uniqueId val="{00000001-1F05-40C6-AF95-1ACDB99D0921}"/>
            </c:ext>
          </c:extLst>
        </c:ser>
        <c:ser>
          <c:idx val="2"/>
          <c:order val="2"/>
          <c:spPr>
            <a:ln w="28575" cap="rnd">
              <a:solidFill>
                <a:schemeClr val="accent3"/>
              </a:solidFill>
              <a:round/>
            </a:ln>
            <a:effectLst/>
          </c:spPr>
          <c:marker>
            <c:symbol val="none"/>
          </c:marker>
          <c:val>
            <c:numRef>
              <c:f>RES!$J$109:$AP$109</c:f>
              <c:numCache>
                <c:formatCode>0.000</c:formatCode>
                <c:ptCount val="33"/>
                <c:pt idx="0" formatCode="0.00">
                  <c:v>9.0407206613711697</c:v>
                </c:pt>
                <c:pt idx="1">
                  <c:v>8.8932969332630538</c:v>
                </c:pt>
                <c:pt idx="2">
                  <c:v>8.7458732051549379</c:v>
                </c:pt>
                <c:pt idx="3">
                  <c:v>8.5984494770468238</c:v>
                </c:pt>
                <c:pt idx="4">
                  <c:v>8.4510257489387079</c:v>
                </c:pt>
                <c:pt idx="5">
                  <c:v>8.3036020208305921</c:v>
                </c:pt>
                <c:pt idx="6">
                  <c:v>8.5406294527566686</c:v>
                </c:pt>
                <c:pt idx="7">
                  <c:v>8.8054117493022748</c:v>
                </c:pt>
                <c:pt idx="8">
                  <c:v>9.3161731650608992</c:v>
                </c:pt>
                <c:pt idx="9">
                  <c:v>9.0010568849493975</c:v>
                </c:pt>
                <c:pt idx="10">
                  <c:v>9.2565239305557316</c:v>
                </c:pt>
                <c:pt idx="11">
                  <c:v>9.4761325694007628</c:v>
                </c:pt>
                <c:pt idx="12">
                  <c:v>9.6999356921348188</c:v>
                </c:pt>
                <c:pt idx="13">
                  <c:v>9.9450498831118175</c:v>
                </c:pt>
                <c:pt idx="14">
                  <c:v>10.184141671366111</c:v>
                </c:pt>
                <c:pt idx="15">
                  <c:v>10.445496606081829</c:v>
                </c:pt>
                <c:pt idx="16">
                  <c:v>10.704073455118676</c:v>
                </c:pt>
                <c:pt idx="17">
                  <c:v>10.956859309598375</c:v>
                </c:pt>
                <c:pt idx="18">
                  <c:v>11.23432419120812</c:v>
                </c:pt>
                <c:pt idx="19">
                  <c:v>11.442533625239355</c:v>
                </c:pt>
                <c:pt idx="20">
                  <c:v>11.656655045196954</c:v>
                </c:pt>
                <c:pt idx="21">
                  <c:v>11.865767022994772</c:v>
                </c:pt>
                <c:pt idx="22">
                  <c:v>12.072932469837378</c:v>
                </c:pt>
                <c:pt idx="23">
                  <c:v>12.287838343075689</c:v>
                </c:pt>
                <c:pt idx="24">
                  <c:v>12.48647908971197</c:v>
                </c:pt>
                <c:pt idx="25">
                  <c:v>12.674879315061903</c:v>
                </c:pt>
                <c:pt idx="26">
                  <c:v>12.883501635333035</c:v>
                </c:pt>
                <c:pt idx="27">
                  <c:v>13.079961457303446</c:v>
                </c:pt>
                <c:pt idx="28">
                  <c:v>13.277856369641787</c:v>
                </c:pt>
                <c:pt idx="29">
                  <c:v>14.595946501176652</c:v>
                </c:pt>
                <c:pt idx="30">
                  <c:v>15.922046756884129</c:v>
                </c:pt>
                <c:pt idx="31">
                  <c:v>15.922046756884129</c:v>
                </c:pt>
                <c:pt idx="32">
                  <c:v>15.922046756884129</c:v>
                </c:pt>
              </c:numCache>
            </c:numRef>
          </c:val>
          <c:smooth val="0"/>
          <c:extLst>
            <c:ext xmlns:c16="http://schemas.microsoft.com/office/drawing/2014/chart" uri="{C3380CC4-5D6E-409C-BE32-E72D297353CC}">
              <c16:uniqueId val="{00000002-1F05-40C6-AF95-1ACDB99D0921}"/>
            </c:ext>
          </c:extLst>
        </c:ser>
        <c:ser>
          <c:idx val="3"/>
          <c:order val="3"/>
          <c:spPr>
            <a:ln w="28575" cap="rnd">
              <a:solidFill>
                <a:schemeClr val="accent4"/>
              </a:solidFill>
              <a:round/>
            </a:ln>
            <a:effectLst/>
          </c:spPr>
          <c:marker>
            <c:symbol val="none"/>
          </c:marker>
          <c:val>
            <c:numRef>
              <c:f>RES!$J$110:$AP$110</c:f>
              <c:numCache>
                <c:formatCode>0.000</c:formatCode>
                <c:ptCount val="33"/>
                <c:pt idx="0" formatCode="0.00">
                  <c:v>13.155695330373915</c:v>
                </c:pt>
                <c:pt idx="1">
                  <c:v>13.019773153070009</c:v>
                </c:pt>
                <c:pt idx="2">
                  <c:v>12.883850975766103</c:v>
                </c:pt>
                <c:pt idx="3">
                  <c:v>12.747928798462198</c:v>
                </c:pt>
                <c:pt idx="4">
                  <c:v>12.612006621158292</c:v>
                </c:pt>
                <c:pt idx="5">
                  <c:v>12.476084443854386</c:v>
                </c:pt>
                <c:pt idx="6">
                  <c:v>12.832215945436623</c:v>
                </c:pt>
                <c:pt idx="7">
                  <c:v>13.230048871756258</c:v>
                </c:pt>
                <c:pt idx="8">
                  <c:v>13.997463126158326</c:v>
                </c:pt>
                <c:pt idx="9">
                  <c:v>13.524003859873414</c:v>
                </c:pt>
                <c:pt idx="10">
                  <c:v>13.907840708702521</c:v>
                </c:pt>
                <c:pt idx="11">
                  <c:v>14.237800636449212</c:v>
                </c:pt>
                <c:pt idx="12">
                  <c:v>14.574062737044093</c:v>
                </c:pt>
                <c:pt idx="13">
                  <c:v>14.942344518534169</c:v>
                </c:pt>
                <c:pt idx="14">
                  <c:v>15.301577696209312</c:v>
                </c:pt>
                <c:pt idx="15">
                  <c:v>15.694261043406289</c:v>
                </c:pt>
                <c:pt idx="16">
                  <c:v>16.082770342830397</c:v>
                </c:pt>
                <c:pt idx="17">
                  <c:v>16.46257872704594</c:v>
                </c:pt>
                <c:pt idx="18">
                  <c:v>16.879467118912896</c:v>
                </c:pt>
                <c:pt idx="19">
                  <c:v>17.192299847945947</c:v>
                </c:pt>
                <c:pt idx="20">
                  <c:v>17.514015280589213</c:v>
                </c:pt>
                <c:pt idx="21">
                  <c:v>17.828204073197799</c:v>
                </c:pt>
                <c:pt idx="22">
                  <c:v>18.139468221235404</c:v>
                </c:pt>
                <c:pt idx="23">
                  <c:v>18.462362287602673</c:v>
                </c:pt>
                <c:pt idx="24">
                  <c:v>18.760818153238755</c:v>
                </c:pt>
                <c:pt idx="25">
                  <c:v>19.043887731333953</c:v>
                </c:pt>
                <c:pt idx="26">
                  <c:v>19.357340818084264</c:v>
                </c:pt>
                <c:pt idx="27">
                  <c:v>19.65251986478938</c:v>
                </c:pt>
                <c:pt idx="28">
                  <c:v>19.949855121362205</c:v>
                </c:pt>
                <c:pt idx="29">
                  <c:v>21.930273227189872</c:v>
                </c:pt>
                <c:pt idx="30">
                  <c:v>23.922726469736826</c:v>
                </c:pt>
                <c:pt idx="31">
                  <c:v>23.922726469736826</c:v>
                </c:pt>
                <c:pt idx="32">
                  <c:v>23.922726469736826</c:v>
                </c:pt>
              </c:numCache>
            </c:numRef>
          </c:val>
          <c:smooth val="0"/>
          <c:extLst>
            <c:ext xmlns:c16="http://schemas.microsoft.com/office/drawing/2014/chart" uri="{C3380CC4-5D6E-409C-BE32-E72D297353CC}">
              <c16:uniqueId val="{00000003-1F05-40C6-AF95-1ACDB99D0921}"/>
            </c:ext>
          </c:extLst>
        </c:ser>
        <c:ser>
          <c:idx val="4"/>
          <c:order val="4"/>
          <c:spPr>
            <a:ln w="28575" cap="rnd">
              <a:solidFill>
                <a:schemeClr val="accent5"/>
              </a:solidFill>
              <a:round/>
            </a:ln>
            <a:effectLst/>
          </c:spPr>
          <c:marker>
            <c:symbol val="none"/>
          </c:marker>
          <c:val>
            <c:numRef>
              <c:f>RES!$J$111:$AP$111</c:f>
              <c:numCache>
                <c:formatCode>0.000</c:formatCode>
                <c:ptCount val="33"/>
                <c:pt idx="0" formatCode="0.00">
                  <c:v>8.7049271722264585</c:v>
                </c:pt>
                <c:pt idx="1">
                  <c:v>9.1012815075888174</c:v>
                </c:pt>
                <c:pt idx="2">
                  <c:v>9.4976358429511762</c:v>
                </c:pt>
                <c:pt idx="3">
                  <c:v>9.8939901783135369</c:v>
                </c:pt>
                <c:pt idx="4">
                  <c:v>10.290344513675896</c:v>
                </c:pt>
                <c:pt idx="5">
                  <c:v>10.686698849038255</c:v>
                </c:pt>
                <c:pt idx="6">
                  <c:v>10.991752099133871</c:v>
                </c:pt>
                <c:pt idx="7">
                  <c:v>11.332525736483193</c:v>
                </c:pt>
                <c:pt idx="8">
                  <c:v>11.989873405630618</c:v>
                </c:pt>
                <c:pt idx="9">
                  <c:v>11.584320155422709</c:v>
                </c:pt>
                <c:pt idx="10">
                  <c:v>11.913105106266888</c:v>
                </c:pt>
                <c:pt idx="11">
                  <c:v>12.195740447182384</c:v>
                </c:pt>
                <c:pt idx="12">
                  <c:v>12.483774070197228</c:v>
                </c:pt>
                <c:pt idx="13">
                  <c:v>12.799234943204581</c:v>
                </c:pt>
                <c:pt idx="14">
                  <c:v>13.106945010708042</c:v>
                </c:pt>
                <c:pt idx="15">
                  <c:v>13.443307648634365</c:v>
                </c:pt>
                <c:pt idx="16">
                  <c:v>13.776094902654712</c:v>
                </c:pt>
                <c:pt idx="17">
                  <c:v>14.101429172450452</c:v>
                </c:pt>
                <c:pt idx="18">
                  <c:v>14.458525240338687</c:v>
                </c:pt>
                <c:pt idx="19">
                  <c:v>14.726489855386305</c:v>
                </c:pt>
                <c:pt idx="20">
                  <c:v>15.00206317001229</c:v>
                </c:pt>
                <c:pt idx="21">
                  <c:v>15.271189354871101</c:v>
                </c:pt>
                <c:pt idx="22">
                  <c:v>15.53781036305279</c:v>
                </c:pt>
                <c:pt idx="23">
                  <c:v>15.814393265560165</c:v>
                </c:pt>
                <c:pt idx="24">
                  <c:v>16.070043022511992</c:v>
                </c:pt>
                <c:pt idx="25">
                  <c:v>16.312513274139523</c:v>
                </c:pt>
                <c:pt idx="26">
                  <c:v>16.581009271940509</c:v>
                </c:pt>
                <c:pt idx="27">
                  <c:v>16.833852188552669</c:v>
                </c:pt>
                <c:pt idx="28">
                  <c:v>17.088542060082077</c:v>
                </c:pt>
                <c:pt idx="29">
                  <c:v>18.784918193748624</c:v>
                </c:pt>
                <c:pt idx="30">
                  <c:v>20.491603321579554</c:v>
                </c:pt>
                <c:pt idx="31">
                  <c:v>20.491603321579554</c:v>
                </c:pt>
                <c:pt idx="32">
                  <c:v>20.491603321579554</c:v>
                </c:pt>
              </c:numCache>
            </c:numRef>
          </c:val>
          <c:smooth val="0"/>
          <c:extLst>
            <c:ext xmlns:c16="http://schemas.microsoft.com/office/drawing/2014/chart" uri="{C3380CC4-5D6E-409C-BE32-E72D297353CC}">
              <c16:uniqueId val="{00000004-1F05-40C6-AF95-1ACDB99D0921}"/>
            </c:ext>
          </c:extLst>
        </c:ser>
        <c:ser>
          <c:idx val="5"/>
          <c:order val="5"/>
          <c:spPr>
            <a:ln w="28575" cap="rnd">
              <a:solidFill>
                <a:schemeClr val="accent6"/>
              </a:solidFill>
              <a:round/>
            </a:ln>
            <a:effectLst/>
          </c:spPr>
          <c:marker>
            <c:symbol val="none"/>
          </c:marker>
          <c:val>
            <c:numRef>
              <c:f>RES!$J$112:$AP$112</c:f>
              <c:numCache>
                <c:formatCode>0.000</c:formatCode>
                <c:ptCount val="33"/>
                <c:pt idx="0" formatCode="0.00">
                  <c:v>6.0832370770317112</c:v>
                </c:pt>
                <c:pt idx="1">
                  <c:v>5.8572082705211033</c:v>
                </c:pt>
                <c:pt idx="2">
                  <c:v>5.6311794640104944</c:v>
                </c:pt>
                <c:pt idx="3">
                  <c:v>5.4051506574998864</c:v>
                </c:pt>
                <c:pt idx="4">
                  <c:v>5.1791218509892776</c:v>
                </c:pt>
                <c:pt idx="5">
                  <c:v>4.9530930444786696</c:v>
                </c:pt>
                <c:pt idx="6">
                  <c:v>5.0944797488846039</c:v>
                </c:pt>
                <c:pt idx="7">
                  <c:v>5.2524222114485717</c:v>
                </c:pt>
                <c:pt idx="8">
                  <c:v>5.5570910538901632</c:v>
                </c:pt>
                <c:pt idx="9">
                  <c:v>5.3691244038379553</c:v>
                </c:pt>
                <c:pt idx="10">
                  <c:v>5.5215103254550995</c:v>
                </c:pt>
                <c:pt idx="11">
                  <c:v>5.6525067314536077</c:v>
                </c:pt>
                <c:pt idx="12">
                  <c:v>5.7860051442828606</c:v>
                </c:pt>
                <c:pt idx="13">
                  <c:v>5.9322155950469435</c:v>
                </c:pt>
                <c:pt idx="14">
                  <c:v>6.0748336866201535</c:v>
                </c:pt>
                <c:pt idx="15">
                  <c:v>6.2307317301479079</c:v>
                </c:pt>
                <c:pt idx="16">
                  <c:v>6.3849726474287092</c:v>
                </c:pt>
                <c:pt idx="17">
                  <c:v>6.535759240334416</c:v>
                </c:pt>
                <c:pt idx="18">
                  <c:v>6.7012668563955797</c:v>
                </c:pt>
                <c:pt idx="19">
                  <c:v>6.8254636443567378</c:v>
                </c:pt>
                <c:pt idx="20">
                  <c:v>6.9531869279636984</c:v>
                </c:pt>
                <c:pt idx="21">
                  <c:v>7.0779220826771878</c:v>
                </c:pt>
                <c:pt idx="22">
                  <c:v>7.2014961329794911</c:v>
                </c:pt>
                <c:pt idx="23">
                  <c:v>7.3296873424430462</c:v>
                </c:pt>
                <c:pt idx="24">
                  <c:v>7.448176414781293</c:v>
                </c:pt>
                <c:pt idx="25">
                  <c:v>7.5605570230303405</c:v>
                </c:pt>
                <c:pt idx="26">
                  <c:v>7.6850000973570873</c:v>
                </c:pt>
                <c:pt idx="27">
                  <c:v>7.8021882495927146</c:v>
                </c:pt>
                <c:pt idx="28">
                  <c:v>7.9202324322717281</c:v>
                </c:pt>
                <c:pt idx="29">
                  <c:v>8.7064723130034238</c:v>
                </c:pt>
                <c:pt idx="30">
                  <c:v>9.4974902274396786</c:v>
                </c:pt>
                <c:pt idx="31">
                  <c:v>9.4974902274396786</c:v>
                </c:pt>
                <c:pt idx="32">
                  <c:v>9.4974902274396786</c:v>
                </c:pt>
              </c:numCache>
            </c:numRef>
          </c:val>
          <c:smooth val="0"/>
          <c:extLst>
            <c:ext xmlns:c16="http://schemas.microsoft.com/office/drawing/2014/chart" uri="{C3380CC4-5D6E-409C-BE32-E72D297353CC}">
              <c16:uniqueId val="{00000005-1F05-40C6-AF95-1ACDB99D0921}"/>
            </c:ext>
          </c:extLst>
        </c:ser>
        <c:ser>
          <c:idx val="6"/>
          <c:order val="6"/>
          <c:spPr>
            <a:ln w="28575" cap="rnd">
              <a:solidFill>
                <a:schemeClr val="accent1">
                  <a:lumMod val="60000"/>
                </a:schemeClr>
              </a:solidFill>
              <a:round/>
            </a:ln>
            <a:effectLst/>
          </c:spPr>
          <c:marker>
            <c:symbol val="none"/>
          </c:marker>
          <c:val>
            <c:numRef>
              <c:f>RES!$J$113:$AP$113</c:f>
              <c:numCache>
                <c:formatCode>0.000</c:formatCode>
                <c:ptCount val="33"/>
                <c:pt idx="0" formatCode="0.00">
                  <c:v>3.2942398359296465</c:v>
                </c:pt>
                <c:pt idx="1">
                  <c:v>3.5042075014274179</c:v>
                </c:pt>
                <c:pt idx="2">
                  <c:v>3.7141751669251892</c:v>
                </c:pt>
                <c:pt idx="3">
                  <c:v>3.9241428324229606</c:v>
                </c:pt>
                <c:pt idx="4">
                  <c:v>4.1341104979207319</c:v>
                </c:pt>
                <c:pt idx="5">
                  <c:v>4.3440781634185033</c:v>
                </c:pt>
                <c:pt idx="6">
                  <c:v>4.4680804564689405</c:v>
                </c:pt>
                <c:pt idx="7">
                  <c:v>4.6066028699466175</c:v>
                </c:pt>
                <c:pt idx="8">
                  <c:v>4.8738107042512553</c:v>
                </c:pt>
                <c:pt idx="9">
                  <c:v>4.7089557716646482</c:v>
                </c:pt>
                <c:pt idx="10">
                  <c:v>4.8426048569059112</c:v>
                </c:pt>
                <c:pt idx="11">
                  <c:v>4.9574944060571768</c:v>
                </c:pt>
                <c:pt idx="12">
                  <c:v>5.0745783240887681</c:v>
                </c:pt>
                <c:pt idx="13">
                  <c:v>5.2028112526294192</c:v>
                </c:pt>
                <c:pt idx="14">
                  <c:v>5.3278935258167204</c:v>
                </c:pt>
                <c:pt idx="15">
                  <c:v>5.4646228948245392</c:v>
                </c:pt>
                <c:pt idx="16">
                  <c:v>5.5998988919940391</c:v>
                </c:pt>
                <c:pt idx="17">
                  <c:v>5.7321452963510362</c:v>
                </c:pt>
                <c:pt idx="18">
                  <c:v>5.8773026786885669</c:v>
                </c:pt>
                <c:pt idx="19">
                  <c:v>5.9862286668951086</c:v>
                </c:pt>
                <c:pt idx="20">
                  <c:v>6.0982475452595279</c:v>
                </c:pt>
                <c:pt idx="21">
                  <c:v>6.2076457045381064</c:v>
                </c:pt>
                <c:pt idx="22">
                  <c:v>6.3160255247156849</c:v>
                </c:pt>
                <c:pt idx="23">
                  <c:v>6.4284547944209249</c:v>
                </c:pt>
                <c:pt idx="24">
                  <c:v>6.5323748676208568</c:v>
                </c:pt>
                <c:pt idx="25">
                  <c:v>6.6309375519682812</c:v>
                </c:pt>
                <c:pt idx="26">
                  <c:v>6.7400795440360648</c:v>
                </c:pt>
                <c:pt idx="27">
                  <c:v>6.8428586536886948</c:v>
                </c:pt>
                <c:pt idx="28">
                  <c:v>6.9463885392954499</c:v>
                </c:pt>
                <c:pt idx="29">
                  <c:v>7.6359551326189194</c:v>
                </c:pt>
                <c:pt idx="30">
                  <c:v>8.3297122694459453</c:v>
                </c:pt>
                <c:pt idx="31">
                  <c:v>8.3297122694459453</c:v>
                </c:pt>
                <c:pt idx="32">
                  <c:v>8.3297122694459453</c:v>
                </c:pt>
              </c:numCache>
            </c:numRef>
          </c:val>
          <c:smooth val="0"/>
          <c:extLst>
            <c:ext xmlns:c16="http://schemas.microsoft.com/office/drawing/2014/chart" uri="{C3380CC4-5D6E-409C-BE32-E72D297353CC}">
              <c16:uniqueId val="{00000006-1F05-40C6-AF95-1ACDB99D0921}"/>
            </c:ext>
          </c:extLst>
        </c:ser>
        <c:ser>
          <c:idx val="7"/>
          <c:order val="7"/>
          <c:spPr>
            <a:ln w="28575" cap="rnd">
              <a:solidFill>
                <a:schemeClr val="accent2">
                  <a:lumMod val="60000"/>
                </a:schemeClr>
              </a:solidFill>
              <a:round/>
            </a:ln>
            <a:effectLst/>
          </c:spPr>
          <c:marker>
            <c:symbol val="none"/>
          </c:marker>
          <c:val>
            <c:numRef>
              <c:f>RES!$J$114:$AP$114</c:f>
              <c:numCache>
                <c:formatCode>0.000</c:formatCode>
                <c:ptCount val="33"/>
                <c:pt idx="0" formatCode="0.00">
                  <c:v>5.8869200094724006</c:v>
                </c:pt>
                <c:pt idx="1">
                  <c:v>6.3439784942756239</c:v>
                </c:pt>
                <c:pt idx="2">
                  <c:v>6.8010369790788472</c:v>
                </c:pt>
                <c:pt idx="3">
                  <c:v>7.2580954638820696</c:v>
                </c:pt>
                <c:pt idx="4">
                  <c:v>7.7151539486852929</c:v>
                </c:pt>
                <c:pt idx="5">
                  <c:v>8.1722124334885162</c:v>
                </c:pt>
                <c:pt idx="6">
                  <c:v>8.4054893320446897</c:v>
                </c:pt>
                <c:pt idx="7">
                  <c:v>8.6660819243400979</c:v>
                </c:pt>
                <c:pt idx="8">
                  <c:v>9.1687614581060117</c:v>
                </c:pt>
                <c:pt idx="9">
                  <c:v>8.858631327126508</c:v>
                </c:pt>
                <c:pt idx="10">
                  <c:v>9.1100560655970337</c:v>
                </c:pt>
                <c:pt idx="11">
                  <c:v>9.3261897921856463</c:v>
                </c:pt>
                <c:pt idx="12">
                  <c:v>9.5464516324897257</c:v>
                </c:pt>
                <c:pt idx="13">
                  <c:v>9.7876873316599919</c:v>
                </c:pt>
                <c:pt idx="14">
                  <c:v>10.022995921813413</c:v>
                </c:pt>
                <c:pt idx="15">
                  <c:v>10.280215384123785</c:v>
                </c:pt>
                <c:pt idx="16">
                  <c:v>10.534700718971257</c:v>
                </c:pt>
                <c:pt idx="17">
                  <c:v>10.783486691348864</c:v>
                </c:pt>
                <c:pt idx="18">
                  <c:v>11.056561189579787</c:v>
                </c:pt>
                <c:pt idx="19">
                  <c:v>11.26147608329593</c:v>
                </c:pt>
                <c:pt idx="20">
                  <c:v>11.472209416380055</c:v>
                </c:pt>
                <c:pt idx="21">
                  <c:v>11.678012572728793</c:v>
                </c:pt>
                <c:pt idx="22">
                  <c:v>11.881899998478396</c:v>
                </c:pt>
                <c:pt idx="23">
                  <c:v>12.093405372279074</c:v>
                </c:pt>
                <c:pt idx="24">
                  <c:v>12.288902985891349</c:v>
                </c:pt>
                <c:pt idx="25">
                  <c:v>12.474322116072969</c:v>
                </c:pt>
                <c:pt idx="26">
                  <c:v>12.679643362845876</c:v>
                </c:pt>
                <c:pt idx="27">
                  <c:v>12.87299456100782</c:v>
                </c:pt>
                <c:pt idx="28">
                  <c:v>13.06775814181028</c:v>
                </c:pt>
                <c:pt idx="29">
                  <c:v>14.364991864520688</c:v>
                </c:pt>
                <c:pt idx="30">
                  <c:v>15.670108965576178</c:v>
                </c:pt>
                <c:pt idx="31">
                  <c:v>15.670108965576178</c:v>
                </c:pt>
                <c:pt idx="32">
                  <c:v>15.670108965576178</c:v>
                </c:pt>
              </c:numCache>
            </c:numRef>
          </c:val>
          <c:smooth val="0"/>
          <c:extLst>
            <c:ext xmlns:c16="http://schemas.microsoft.com/office/drawing/2014/chart" uri="{C3380CC4-5D6E-409C-BE32-E72D297353CC}">
              <c16:uniqueId val="{00000007-1F05-40C6-AF95-1ACDB99D0921}"/>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RES!$J$118:$AP$118</c:f>
              <c:numCache>
                <c:formatCode>0.000</c:formatCode>
                <c:ptCount val="33"/>
                <c:pt idx="0" formatCode="0.00">
                  <c:v>29.108468118847501</c:v>
                </c:pt>
                <c:pt idx="1">
                  <c:v>30.422708376481943</c:v>
                </c:pt>
                <c:pt idx="2">
                  <c:v>31.736948634116384</c:v>
                </c:pt>
                <c:pt idx="3">
                  <c:v>33.051188891750826</c:v>
                </c:pt>
                <c:pt idx="4">
                  <c:v>34.365429149385264</c:v>
                </c:pt>
                <c:pt idx="5">
                  <c:v>35.679669407019709</c:v>
                </c:pt>
                <c:pt idx="6">
                  <c:v>39.364620621212879</c:v>
                </c:pt>
                <c:pt idx="7">
                  <c:v>41.277195988374004</c:v>
                </c:pt>
                <c:pt idx="8">
                  <c:v>39.655468748375419</c:v>
                </c:pt>
                <c:pt idx="9">
                  <c:v>41.666787811297318</c:v>
                </c:pt>
                <c:pt idx="10">
                  <c:v>43.654103844471599</c:v>
                </c:pt>
                <c:pt idx="11">
                  <c:v>45.774760571551965</c:v>
                </c:pt>
                <c:pt idx="12">
                  <c:v>48.14304576571876</c:v>
                </c:pt>
                <c:pt idx="13">
                  <c:v>50.54994589288998</c:v>
                </c:pt>
                <c:pt idx="14">
                  <c:v>52.833912713153552</c:v>
                </c:pt>
                <c:pt idx="15">
                  <c:v>55.134508557249859</c:v>
                </c:pt>
                <c:pt idx="16">
                  <c:v>57.490509519498403</c:v>
                </c:pt>
                <c:pt idx="17">
                  <c:v>60.02420143619883</c:v>
                </c:pt>
                <c:pt idx="18">
                  <c:v>62.471129178687683</c:v>
                </c:pt>
                <c:pt idx="19">
                  <c:v>64.684667086584511</c:v>
                </c:pt>
                <c:pt idx="20">
                  <c:v>66.840208976427022</c:v>
                </c:pt>
                <c:pt idx="21">
                  <c:v>68.971212249123553</c:v>
                </c:pt>
                <c:pt idx="22">
                  <c:v>71.073048955500539</c:v>
                </c:pt>
                <c:pt idx="23">
                  <c:v>73.032967873996682</c:v>
                </c:pt>
                <c:pt idx="24">
                  <c:v>74.794959576793289</c:v>
                </c:pt>
                <c:pt idx="25">
                  <c:v>76.734057596838767</c:v>
                </c:pt>
                <c:pt idx="26">
                  <c:v>78.544860938913715</c:v>
                </c:pt>
                <c:pt idx="27">
                  <c:v>80.342859335203016</c:v>
                </c:pt>
                <c:pt idx="28">
                  <c:v>82.106978604647452</c:v>
                </c:pt>
                <c:pt idx="29">
                  <c:v>89.53829028566625</c:v>
                </c:pt>
                <c:pt idx="30">
                  <c:v>95.010873734232078</c:v>
                </c:pt>
                <c:pt idx="31">
                  <c:v>95.010873734232078</c:v>
                </c:pt>
                <c:pt idx="32">
                  <c:v>95.010873734232078</c:v>
                </c:pt>
              </c:numCache>
            </c:numRef>
          </c:val>
          <c:smooth val="0"/>
          <c:extLst>
            <c:ext xmlns:c16="http://schemas.microsoft.com/office/drawing/2014/chart" uri="{C3380CC4-5D6E-409C-BE32-E72D297353CC}">
              <c16:uniqueId val="{00000000-3CEC-4FAA-9167-1A0E1A28D70F}"/>
            </c:ext>
          </c:extLst>
        </c:ser>
        <c:ser>
          <c:idx val="1"/>
          <c:order val="1"/>
          <c:spPr>
            <a:ln w="28575" cap="rnd">
              <a:solidFill>
                <a:schemeClr val="accent2"/>
              </a:solidFill>
              <a:round/>
            </a:ln>
            <a:effectLst/>
          </c:spPr>
          <c:marker>
            <c:symbol val="none"/>
          </c:marker>
          <c:val>
            <c:numRef>
              <c:f>RES!$J$119:$AP$119</c:f>
              <c:numCache>
                <c:formatCode>0.000</c:formatCode>
                <c:ptCount val="33"/>
                <c:pt idx="0" formatCode="0.00">
                  <c:v>3.8865695277538777</c:v>
                </c:pt>
                <c:pt idx="1">
                  <c:v>4.3087649762630136</c:v>
                </c:pt>
                <c:pt idx="2">
                  <c:v>4.7309604247721504</c:v>
                </c:pt>
                <c:pt idx="3">
                  <c:v>5.1531558732812863</c:v>
                </c:pt>
                <c:pt idx="4">
                  <c:v>5.5753513217904231</c:v>
                </c:pt>
                <c:pt idx="5">
                  <c:v>5.9975467702995591</c:v>
                </c:pt>
                <c:pt idx="6">
                  <c:v>6.3691532021394446</c:v>
                </c:pt>
                <c:pt idx="7">
                  <c:v>6.6786058357950306</c:v>
                </c:pt>
                <c:pt idx="8">
                  <c:v>6.4162121157329199</c:v>
                </c:pt>
                <c:pt idx="9">
                  <c:v>6.7416413729687896</c:v>
                </c:pt>
                <c:pt idx="10">
                  <c:v>7.0631869658541468</c:v>
                </c:pt>
                <c:pt idx="11">
                  <c:v>7.4063069393423175</c:v>
                </c:pt>
                <c:pt idx="12">
                  <c:v>7.7894929319917274</c:v>
                </c:pt>
                <c:pt idx="13">
                  <c:v>8.1789267791946489</c:v>
                </c:pt>
                <c:pt idx="14">
                  <c:v>8.54847014979741</c:v>
                </c:pt>
                <c:pt idx="15">
                  <c:v>8.9207040785389591</c:v>
                </c:pt>
                <c:pt idx="16">
                  <c:v>9.3019024956999417</c:v>
                </c:pt>
                <c:pt idx="17">
                  <c:v>9.7118511178337759</c:v>
                </c:pt>
                <c:pt idx="18">
                  <c:v>10.107761390066358</c:v>
                </c:pt>
                <c:pt idx="19">
                  <c:v>10.465909438533533</c:v>
                </c:pt>
                <c:pt idx="20">
                  <c:v>10.814673793768748</c:v>
                </c:pt>
                <c:pt idx="21">
                  <c:v>11.159467827189475</c:v>
                </c:pt>
                <c:pt idx="22">
                  <c:v>11.49954274160593</c:v>
                </c:pt>
                <c:pt idx="23">
                  <c:v>11.816655510856057</c:v>
                </c:pt>
                <c:pt idx="24">
                  <c:v>12.101743869867514</c:v>
                </c:pt>
                <c:pt idx="25">
                  <c:v>12.415487840182308</c:v>
                </c:pt>
                <c:pt idx="26">
                  <c:v>12.708473869835707</c:v>
                </c:pt>
                <c:pt idx="27">
                  <c:v>12.999388073057991</c:v>
                </c:pt>
                <c:pt idx="28">
                  <c:v>13.28482067006067</c:v>
                </c:pt>
                <c:pt idx="29">
                  <c:v>14.487198893001073</c:v>
                </c:pt>
                <c:pt idx="30">
                  <c:v>15.372656998410203</c:v>
                </c:pt>
                <c:pt idx="31">
                  <c:v>15.372656998410203</c:v>
                </c:pt>
                <c:pt idx="32">
                  <c:v>15.372656998410203</c:v>
                </c:pt>
              </c:numCache>
            </c:numRef>
          </c:val>
          <c:smooth val="0"/>
          <c:extLst>
            <c:ext xmlns:c16="http://schemas.microsoft.com/office/drawing/2014/chart" uri="{C3380CC4-5D6E-409C-BE32-E72D297353CC}">
              <c16:uniqueId val="{00000001-3CEC-4FAA-9167-1A0E1A28D70F}"/>
            </c:ext>
          </c:extLst>
        </c:ser>
        <c:ser>
          <c:idx val="2"/>
          <c:order val="2"/>
          <c:spPr>
            <a:ln w="28575" cap="rnd">
              <a:solidFill>
                <a:schemeClr val="accent3"/>
              </a:solidFill>
              <a:round/>
            </a:ln>
            <a:effectLst/>
          </c:spPr>
          <c:marker>
            <c:symbol val="none"/>
          </c:marker>
          <c:val>
            <c:numRef>
              <c:f>RES!$J$120:$AP$120</c:f>
              <c:numCache>
                <c:formatCode>0.000</c:formatCode>
                <c:ptCount val="33"/>
                <c:pt idx="0" formatCode="0.00">
                  <c:v>7.0745539875426244</c:v>
                </c:pt>
                <c:pt idx="1">
                  <c:v>7.3628366061935591</c:v>
                </c:pt>
                <c:pt idx="2">
                  <c:v>7.6511192248444946</c:v>
                </c:pt>
                <c:pt idx="3">
                  <c:v>7.9394018434954292</c:v>
                </c:pt>
                <c:pt idx="4">
                  <c:v>8.2276844621463638</c:v>
                </c:pt>
                <c:pt idx="5">
                  <c:v>8.5159670807972994</c:v>
                </c:pt>
                <c:pt idx="6">
                  <c:v>9.0436141774789558</c:v>
                </c:pt>
                <c:pt idx="7">
                  <c:v>9.4830085735889131</c:v>
                </c:pt>
                <c:pt idx="8">
                  <c:v>9.1104335245167629</c:v>
                </c:pt>
                <c:pt idx="9">
                  <c:v>9.5725132627645664</c:v>
                </c:pt>
                <c:pt idx="10">
                  <c:v>10.029078553350935</c:v>
                </c:pt>
                <c:pt idx="11">
                  <c:v>10.516277488332038</c:v>
                </c:pt>
                <c:pt idx="12">
                  <c:v>11.060366500757034</c:v>
                </c:pt>
                <c:pt idx="13">
                  <c:v>11.613326894388559</c:v>
                </c:pt>
                <c:pt idx="14">
                  <c:v>12.138044633075374</c:v>
                </c:pt>
                <c:pt idx="15">
                  <c:v>12.666582717883099</c:v>
                </c:pt>
                <c:pt idx="16">
                  <c:v>13.20784955516244</c:v>
                </c:pt>
                <c:pt idx="17">
                  <c:v>13.789939050187016</c:v>
                </c:pt>
                <c:pt idx="18">
                  <c:v>14.352095374165756</c:v>
                </c:pt>
                <c:pt idx="19">
                  <c:v>14.86063279915126</c:v>
                </c:pt>
                <c:pt idx="20">
                  <c:v>15.355846239227565</c:v>
                </c:pt>
                <c:pt idx="21">
                  <c:v>15.845422185980805</c:v>
                </c:pt>
                <c:pt idx="22">
                  <c:v>16.328297415986029</c:v>
                </c:pt>
                <c:pt idx="23">
                  <c:v>16.778568503025781</c:v>
                </c:pt>
                <c:pt idx="24">
                  <c:v>17.183367860736972</c:v>
                </c:pt>
                <c:pt idx="25">
                  <c:v>17.628855561846802</c:v>
                </c:pt>
                <c:pt idx="26">
                  <c:v>18.044868888498563</c:v>
                </c:pt>
                <c:pt idx="27">
                  <c:v>18.457940411382843</c:v>
                </c:pt>
                <c:pt idx="28">
                  <c:v>18.863228555511792</c:v>
                </c:pt>
                <c:pt idx="29">
                  <c:v>20.570495502713374</c:v>
                </c:pt>
                <c:pt idx="30">
                  <c:v>21.827764910670435</c:v>
                </c:pt>
                <c:pt idx="31">
                  <c:v>21.827764910670435</c:v>
                </c:pt>
                <c:pt idx="32">
                  <c:v>21.827764910670435</c:v>
                </c:pt>
              </c:numCache>
            </c:numRef>
          </c:val>
          <c:smooth val="0"/>
          <c:extLst>
            <c:ext xmlns:c16="http://schemas.microsoft.com/office/drawing/2014/chart" uri="{C3380CC4-5D6E-409C-BE32-E72D297353CC}">
              <c16:uniqueId val="{00000002-3CEC-4FAA-9167-1A0E1A28D70F}"/>
            </c:ext>
          </c:extLst>
        </c:ser>
        <c:ser>
          <c:idx val="3"/>
          <c:order val="3"/>
          <c:spPr>
            <a:ln w="28575" cap="rnd">
              <a:solidFill>
                <a:schemeClr val="accent4"/>
              </a:solidFill>
              <a:round/>
            </a:ln>
            <a:effectLst/>
          </c:spPr>
          <c:marker>
            <c:symbol val="none"/>
          </c:marker>
          <c:val>
            <c:numRef>
              <c:f>RES!$J$121:$AP$121</c:f>
              <c:numCache>
                <c:formatCode>0.000</c:formatCode>
                <c:ptCount val="33"/>
                <c:pt idx="0" formatCode="0.00">
                  <c:v>31.69115874919234</c:v>
                </c:pt>
                <c:pt idx="1">
                  <c:v>32.726385767543825</c:v>
                </c:pt>
                <c:pt idx="2">
                  <c:v>33.761612785895309</c:v>
                </c:pt>
                <c:pt idx="3">
                  <c:v>34.796839804246794</c:v>
                </c:pt>
                <c:pt idx="4">
                  <c:v>35.832066822598279</c:v>
                </c:pt>
                <c:pt idx="5">
                  <c:v>36.867293840949763</c:v>
                </c:pt>
                <c:pt idx="6">
                  <c:v>39.151581740741108</c:v>
                </c:pt>
                <c:pt idx="7">
                  <c:v>41.053806368872927</c:v>
                </c:pt>
                <c:pt idx="8">
                  <c:v>39.440855815914325</c:v>
                </c:pt>
                <c:pt idx="9">
                  <c:v>41.441289745061923</c:v>
                </c:pt>
                <c:pt idx="10">
                  <c:v>43.417850547367223</c:v>
                </c:pt>
                <c:pt idx="11">
                  <c:v>45.527030412029696</c:v>
                </c:pt>
                <c:pt idx="12">
                  <c:v>47.882498593903705</c:v>
                </c:pt>
                <c:pt idx="13">
                  <c:v>50.27637272716445</c:v>
                </c:pt>
                <c:pt idx="14">
                  <c:v>52.547978860934798</c:v>
                </c:pt>
                <c:pt idx="15">
                  <c:v>54.83612402329431</c:v>
                </c:pt>
                <c:pt idx="16">
                  <c:v>57.179374454749798</c:v>
                </c:pt>
                <c:pt idx="17">
                  <c:v>59.699354188254354</c:v>
                </c:pt>
                <c:pt idx="18">
                  <c:v>62.13303930986617</c:v>
                </c:pt>
                <c:pt idx="19">
                  <c:v>64.334597688166667</c:v>
                </c:pt>
                <c:pt idx="20">
                  <c:v>66.478473919258377</c:v>
                </c:pt>
                <c:pt idx="21">
                  <c:v>68.597944334675134</c:v>
                </c:pt>
                <c:pt idx="22">
                  <c:v>70.688406031416704</c:v>
                </c:pt>
                <c:pt idx="23">
                  <c:v>72.6377179905259</c:v>
                </c:pt>
                <c:pt idx="24">
                  <c:v>74.390173903726648</c:v>
                </c:pt>
                <c:pt idx="25">
                  <c:v>76.318777645793674</c:v>
                </c:pt>
                <c:pt idx="26">
                  <c:v>78.119781032714414</c:v>
                </c:pt>
                <c:pt idx="27">
                  <c:v>79.908048773420333</c:v>
                </c:pt>
                <c:pt idx="28">
                  <c:v>81.66262073901045</c:v>
                </c:pt>
                <c:pt idx="29">
                  <c:v>89.053714623033443</c:v>
                </c:pt>
                <c:pt idx="30">
                  <c:v>94.496680790071537</c:v>
                </c:pt>
                <c:pt idx="31">
                  <c:v>94.496680790071537</c:v>
                </c:pt>
                <c:pt idx="32">
                  <c:v>94.496680790071537</c:v>
                </c:pt>
              </c:numCache>
            </c:numRef>
          </c:val>
          <c:smooth val="0"/>
          <c:extLst>
            <c:ext xmlns:c16="http://schemas.microsoft.com/office/drawing/2014/chart" uri="{C3380CC4-5D6E-409C-BE32-E72D297353CC}">
              <c16:uniqueId val="{00000003-3CEC-4FAA-9167-1A0E1A28D70F}"/>
            </c:ext>
          </c:extLst>
        </c:ser>
        <c:ser>
          <c:idx val="4"/>
          <c:order val="4"/>
          <c:spPr>
            <a:ln w="28575" cap="rnd">
              <a:solidFill>
                <a:schemeClr val="accent5"/>
              </a:solidFill>
              <a:round/>
            </a:ln>
            <a:effectLst/>
          </c:spPr>
          <c:marker>
            <c:symbol val="none"/>
          </c:marker>
          <c:val>
            <c:numRef>
              <c:f>RES!$J$122:$AP$122</c:f>
              <c:numCache>
                <c:formatCode>0.000</c:formatCode>
                <c:ptCount val="33"/>
                <c:pt idx="0" formatCode="0.00">
                  <c:v>0.56043977372187515</c:v>
                </c:pt>
                <c:pt idx="1">
                  <c:v>1.915909412357097</c:v>
                </c:pt>
                <c:pt idx="2">
                  <c:v>3.2713790509923188</c:v>
                </c:pt>
                <c:pt idx="3">
                  <c:v>4.6268486896275416</c:v>
                </c:pt>
                <c:pt idx="4">
                  <c:v>5.9823183282627621</c:v>
                </c:pt>
                <c:pt idx="5">
                  <c:v>7.3377879668979844</c:v>
                </c:pt>
                <c:pt idx="6">
                  <c:v>7.7924353933223749</c:v>
                </c:pt>
                <c:pt idx="7">
                  <c:v>8.171039829190649</c:v>
                </c:pt>
                <c:pt idx="8">
                  <c:v>7.850010322393624</c:v>
                </c:pt>
                <c:pt idx="9">
                  <c:v>8.2481615964524071</c:v>
                </c:pt>
                <c:pt idx="10">
                  <c:v>8.6415613434902117</c:v>
                </c:pt>
                <c:pt idx="11">
                  <c:v>9.0613565879611606</c:v>
                </c:pt>
                <c:pt idx="12">
                  <c:v>9.5301712006075689</c:v>
                </c:pt>
                <c:pt idx="13">
                  <c:v>10.006629844008136</c:v>
                </c:pt>
                <c:pt idx="14">
                  <c:v>10.458753187419834</c:v>
                </c:pt>
                <c:pt idx="15">
                  <c:v>10.914168334279035</c:v>
                </c:pt>
                <c:pt idx="16">
                  <c:v>11.380551218076823</c:v>
                </c:pt>
                <c:pt idx="17">
                  <c:v>11.882108968561829</c:v>
                </c:pt>
                <c:pt idx="18">
                  <c:v>12.366491290671581</c:v>
                </c:pt>
                <c:pt idx="19">
                  <c:v>12.804672857412273</c:v>
                </c:pt>
                <c:pt idx="20">
                  <c:v>13.231373804839826</c:v>
                </c:pt>
                <c:pt idx="21">
                  <c:v>13.6532172028808</c:v>
                </c:pt>
                <c:pt idx="22">
                  <c:v>14.069286924455358</c:v>
                </c:pt>
                <c:pt idx="23">
                  <c:v>14.457263267362151</c:v>
                </c:pt>
                <c:pt idx="24">
                  <c:v>14.806058868359603</c:v>
                </c:pt>
                <c:pt idx="25">
                  <c:v>15.189913604009744</c:v>
                </c:pt>
                <c:pt idx="26">
                  <c:v>15.548371727839022</c:v>
                </c:pt>
                <c:pt idx="27">
                  <c:v>15.904295044748407</c:v>
                </c:pt>
                <c:pt idx="28">
                  <c:v>16.253511808845786</c:v>
                </c:pt>
                <c:pt idx="29">
                  <c:v>17.724579362606875</c:v>
                </c:pt>
                <c:pt idx="30">
                  <c:v>18.807906276077343</c:v>
                </c:pt>
                <c:pt idx="31">
                  <c:v>18.807906276077343</c:v>
                </c:pt>
                <c:pt idx="32">
                  <c:v>18.807906276077343</c:v>
                </c:pt>
              </c:numCache>
            </c:numRef>
          </c:val>
          <c:smooth val="0"/>
          <c:extLst>
            <c:ext xmlns:c16="http://schemas.microsoft.com/office/drawing/2014/chart" uri="{C3380CC4-5D6E-409C-BE32-E72D297353CC}">
              <c16:uniqueId val="{00000004-3CEC-4FAA-9167-1A0E1A28D70F}"/>
            </c:ext>
          </c:extLst>
        </c:ser>
        <c:ser>
          <c:idx val="5"/>
          <c:order val="5"/>
          <c:spPr>
            <a:ln w="28575" cap="rnd">
              <a:solidFill>
                <a:schemeClr val="accent6"/>
              </a:solidFill>
              <a:round/>
            </a:ln>
            <a:effectLst/>
          </c:spPr>
          <c:marker>
            <c:symbol val="none"/>
          </c:marker>
          <c:val>
            <c:numRef>
              <c:f>RES!$J$123:$AP$123</c:f>
              <c:numCache>
                <c:formatCode>0.000</c:formatCode>
                <c:ptCount val="33"/>
                <c:pt idx="0" formatCode="0.00">
                  <c:v>5.2146900261774487</c:v>
                </c:pt>
                <c:pt idx="1">
                  <c:v>5.4517281230293149</c:v>
                </c:pt>
                <c:pt idx="2">
                  <c:v>5.688766219881181</c:v>
                </c:pt>
                <c:pt idx="3">
                  <c:v>5.9258043167330481</c:v>
                </c:pt>
                <c:pt idx="4">
                  <c:v>6.1628424135849142</c:v>
                </c:pt>
                <c:pt idx="5">
                  <c:v>6.3998805104367804</c:v>
                </c:pt>
                <c:pt idx="6">
                  <c:v>6.7964154357602977</c:v>
                </c:pt>
                <c:pt idx="7">
                  <c:v>7.1266270964418199</c:v>
                </c:pt>
                <c:pt idx="8">
                  <c:v>6.846631204887875</c:v>
                </c:pt>
                <c:pt idx="9">
                  <c:v>7.1938912498155005</c:v>
                </c:pt>
                <c:pt idx="10">
                  <c:v>7.5370071023361556</c:v>
                </c:pt>
                <c:pt idx="11">
                  <c:v>7.9031446107492576</c:v>
                </c:pt>
                <c:pt idx="12">
                  <c:v>8.3120358891588868</c:v>
                </c:pt>
                <c:pt idx="13">
                  <c:v>8.7275941472721303</c:v>
                </c:pt>
                <c:pt idx="14">
                  <c:v>9.1219276149148687</c:v>
                </c:pt>
                <c:pt idx="15">
                  <c:v>9.5191321315471527</c:v>
                </c:pt>
                <c:pt idx="16">
                  <c:v>9.925902501839083</c:v>
                </c:pt>
                <c:pt idx="17">
                  <c:v>10.363351728590791</c:v>
                </c:pt>
                <c:pt idx="18">
                  <c:v>10.78582087008887</c:v>
                </c:pt>
                <c:pt idx="19">
                  <c:v>11.167994582611925</c:v>
                </c:pt>
                <c:pt idx="20">
                  <c:v>11.540155115124691</c:v>
                </c:pt>
                <c:pt idx="21">
                  <c:v>11.908078984519374</c:v>
                </c:pt>
                <c:pt idx="22">
                  <c:v>12.270967162005588</c:v>
                </c:pt>
                <c:pt idx="23">
                  <c:v>12.609352823553861</c:v>
                </c:pt>
                <c:pt idx="24">
                  <c:v>12.913565779695377</c:v>
                </c:pt>
                <c:pt idx="25">
                  <c:v>13.248356652995131</c:v>
                </c:pt>
                <c:pt idx="26">
                  <c:v>13.560997079626667</c:v>
                </c:pt>
                <c:pt idx="27">
                  <c:v>13.87142669538747</c:v>
                </c:pt>
                <c:pt idx="28">
                  <c:v>14.176006982055172</c:v>
                </c:pt>
                <c:pt idx="29">
                  <c:v>15.459044405502485</c:v>
                </c:pt>
                <c:pt idx="30">
                  <c:v>16.4039017427856</c:v>
                </c:pt>
                <c:pt idx="31">
                  <c:v>16.4039017427856</c:v>
                </c:pt>
                <c:pt idx="32">
                  <c:v>16.4039017427856</c:v>
                </c:pt>
              </c:numCache>
            </c:numRef>
          </c:val>
          <c:smooth val="0"/>
          <c:extLst>
            <c:ext xmlns:c16="http://schemas.microsoft.com/office/drawing/2014/chart" uri="{C3380CC4-5D6E-409C-BE32-E72D297353CC}">
              <c16:uniqueId val="{00000005-3CEC-4FAA-9167-1A0E1A28D70F}"/>
            </c:ext>
          </c:extLst>
        </c:ser>
        <c:ser>
          <c:idx val="6"/>
          <c:order val="6"/>
          <c:spPr>
            <a:ln w="28575" cap="rnd">
              <a:solidFill>
                <a:schemeClr val="accent1">
                  <a:lumMod val="60000"/>
                </a:schemeClr>
              </a:solidFill>
              <a:round/>
            </a:ln>
            <a:effectLst/>
          </c:spPr>
          <c:marker>
            <c:symbol val="none"/>
          </c:marker>
          <c:val>
            <c:numRef>
              <c:f>RES!$J$124:$AP$124</c:f>
              <c:numCache>
                <c:formatCode>0.000</c:formatCode>
                <c:ptCount val="33"/>
                <c:pt idx="0" formatCode="0.00">
                  <c:v>11.67171257782252</c:v>
                </c:pt>
                <c:pt idx="1">
                  <c:v>12.202260035592907</c:v>
                </c:pt>
                <c:pt idx="2">
                  <c:v>12.732807493363294</c:v>
                </c:pt>
                <c:pt idx="3">
                  <c:v>13.263354951133682</c:v>
                </c:pt>
                <c:pt idx="4">
                  <c:v>13.793902408904069</c:v>
                </c:pt>
                <c:pt idx="5">
                  <c:v>14.324449866674456</c:v>
                </c:pt>
                <c:pt idx="6">
                  <c:v>15.21198904008858</c:v>
                </c:pt>
                <c:pt idx="7">
                  <c:v>15.951081023307649</c:v>
                </c:pt>
                <c:pt idx="8">
                  <c:v>15.324383836555709</c:v>
                </c:pt>
                <c:pt idx="9">
                  <c:v>16.101634145550214</c:v>
                </c:pt>
                <c:pt idx="10">
                  <c:v>16.869608769432364</c:v>
                </c:pt>
                <c:pt idx="11">
                  <c:v>17.689111317178313</c:v>
                </c:pt>
                <c:pt idx="12">
                  <c:v>18.604306938244591</c:v>
                </c:pt>
                <c:pt idx="13">
                  <c:v>19.534424840495777</c:v>
                </c:pt>
                <c:pt idx="14">
                  <c:v>20.417036629698508</c:v>
                </c:pt>
                <c:pt idx="15">
                  <c:v>21.306074507208429</c:v>
                </c:pt>
                <c:pt idx="16">
                  <c:v>22.216523033082186</c:v>
                </c:pt>
                <c:pt idx="17">
                  <c:v>23.19563811305931</c:v>
                </c:pt>
                <c:pt idx="18">
                  <c:v>24.141224210758686</c:v>
                </c:pt>
                <c:pt idx="19">
                  <c:v>24.996619585167597</c:v>
                </c:pt>
                <c:pt idx="20">
                  <c:v>25.829603088787753</c:v>
                </c:pt>
                <c:pt idx="21">
                  <c:v>26.65310393592112</c:v>
                </c:pt>
                <c:pt idx="22">
                  <c:v>27.465333710700985</c:v>
                </c:pt>
                <c:pt idx="23">
                  <c:v>28.222721045752788</c:v>
                </c:pt>
                <c:pt idx="24">
                  <c:v>28.903621764435826</c:v>
                </c:pt>
                <c:pt idx="25">
                  <c:v>29.652963111134685</c:v>
                </c:pt>
                <c:pt idx="26">
                  <c:v>30.352726506759939</c:v>
                </c:pt>
                <c:pt idx="27">
                  <c:v>31.047541583517233</c:v>
                </c:pt>
                <c:pt idx="28">
                  <c:v>31.729264475004637</c:v>
                </c:pt>
                <c:pt idx="29">
                  <c:v>34.601006411321492</c:v>
                </c:pt>
                <c:pt idx="30">
                  <c:v>36.715821139033928</c:v>
                </c:pt>
                <c:pt idx="31">
                  <c:v>36.715821139033928</c:v>
                </c:pt>
                <c:pt idx="32">
                  <c:v>36.715821139033928</c:v>
                </c:pt>
              </c:numCache>
            </c:numRef>
          </c:val>
          <c:smooth val="0"/>
          <c:extLst>
            <c:ext xmlns:c16="http://schemas.microsoft.com/office/drawing/2014/chart" uri="{C3380CC4-5D6E-409C-BE32-E72D297353CC}">
              <c16:uniqueId val="{00000006-3CEC-4FAA-9167-1A0E1A28D70F}"/>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26.515913112989015</c:v>
                </c:pt>
                <c:pt idx="1">
                  <c:v>26.304726788315417</c:v>
                </c:pt>
                <c:pt idx="2">
                  <c:v>25.838579504931307</c:v>
                </c:pt>
                <c:pt idx="3">
                  <c:v>25.512634009282493</c:v>
                </c:pt>
                <c:pt idx="4">
                  <c:v>25.395508619117319</c:v>
                </c:pt>
                <c:pt idx="5">
                  <c:v>25.186180047358391</c:v>
                </c:pt>
                <c:pt idx="6">
                  <c:v>24.907121667691992</c:v>
                </c:pt>
                <c:pt idx="7">
                  <c:v>24.739686226660826</c:v>
                </c:pt>
                <c:pt idx="8">
                  <c:v>25.4523243135</c:v>
                </c:pt>
                <c:pt idx="9">
                  <c:v>26.09813724281733</c:v>
                </c:pt>
                <c:pt idx="10">
                  <c:v>25.620688160621981</c:v>
                </c:pt>
                <c:pt idx="11">
                  <c:v>25.17543381709098</c:v>
                </c:pt>
                <c:pt idx="12">
                  <c:v>24.638919570602077</c:v>
                </c:pt>
                <c:pt idx="13">
                  <c:v>24.057823393740012</c:v>
                </c:pt>
                <c:pt idx="14">
                  <c:v>23.442962593018784</c:v>
                </c:pt>
              </c:numCache>
            </c:numRef>
          </c:val>
          <c:smooth val="0"/>
          <c:extLst>
            <c:ext xmlns:c16="http://schemas.microsoft.com/office/drawing/2014/chart" uri="{C3380CC4-5D6E-409C-BE32-E72D297353CC}">
              <c16:uniqueId val="{00000000-D5F4-44C7-A03B-D6817BDCF180}"/>
            </c:ext>
          </c:extLst>
        </c:ser>
        <c:ser>
          <c:idx val="1"/>
          <c:order val="1"/>
          <c:spPr>
            <a:ln w="28575" cap="rnd">
              <a:solidFill>
                <a:schemeClr val="accent2"/>
              </a:solidFill>
              <a:round/>
            </a:ln>
            <a:effectLst/>
          </c:spPr>
          <c:marker>
            <c:symbol val="none"/>
          </c:marker>
          <c:val>
            <c:numRef>
              <c:f>RES!$J$23:$X$23</c:f>
              <c:numCache>
                <c:formatCode>0.0</c:formatCode>
                <c:ptCount val="15"/>
                <c:pt idx="0">
                  <c:v>15.909547867793409</c:v>
                </c:pt>
                <c:pt idx="1">
                  <c:v>15.841569524412268</c:v>
                </c:pt>
                <c:pt idx="2">
                  <c:v>16.242717535513812</c:v>
                </c:pt>
                <c:pt idx="3">
                  <c:v>16.599254000030616</c:v>
                </c:pt>
                <c:pt idx="4">
                  <c:v>16.927928881991186</c:v>
                </c:pt>
                <c:pt idx="5">
                  <c:v>17.161193864405195</c:v>
                </c:pt>
                <c:pt idx="6">
                  <c:v>17.476051907825767</c:v>
                </c:pt>
                <c:pt idx="7">
                  <c:v>17.840962738901769</c:v>
                </c:pt>
                <c:pt idx="8">
                  <c:v>18.6923198273</c:v>
                </c:pt>
                <c:pt idx="9">
                  <c:v>17.960279354882772</c:v>
                </c:pt>
                <c:pt idx="10">
                  <c:v>18.368542446224094</c:v>
                </c:pt>
                <c:pt idx="11">
                  <c:v>18.701575461151478</c:v>
                </c:pt>
                <c:pt idx="12">
                  <c:v>19.039221566185681</c:v>
                </c:pt>
                <c:pt idx="13">
                  <c:v>19.414821113480009</c:v>
                </c:pt>
                <c:pt idx="14">
                  <c:v>19.774688173637205</c:v>
                </c:pt>
              </c:numCache>
            </c:numRef>
          </c:val>
          <c:smooth val="0"/>
          <c:extLst>
            <c:ext xmlns:c16="http://schemas.microsoft.com/office/drawing/2014/chart" uri="{C3380CC4-5D6E-409C-BE32-E72D297353CC}">
              <c16:uniqueId val="{00000001-D5F4-44C7-A03B-D6817BDCF180}"/>
            </c:ext>
          </c:extLst>
        </c:ser>
        <c:ser>
          <c:idx val="2"/>
          <c:order val="2"/>
          <c:spPr>
            <a:ln w="28575" cap="rnd">
              <a:solidFill>
                <a:schemeClr val="accent3"/>
              </a:solidFill>
              <a:round/>
            </a:ln>
            <a:effectLst/>
          </c:spPr>
          <c:marker>
            <c:symbol val="none"/>
          </c:marker>
          <c:val>
            <c:numRef>
              <c:f>RES!$J$24:$X$24</c:f>
              <c:numCache>
                <c:formatCode>0.0</c:formatCode>
                <c:ptCount val="15"/>
                <c:pt idx="0">
                  <c:v>9.8999719012876621</c:v>
                </c:pt>
                <c:pt idx="1">
                  <c:v>10.958090145695653</c:v>
                </c:pt>
                <c:pt idx="2">
                  <c:v>11.831068650984156</c:v>
                </c:pt>
                <c:pt idx="3">
                  <c:v>12.638603448008004</c:v>
                </c:pt>
                <c:pt idx="4">
                  <c:v>13.296502968716323</c:v>
                </c:pt>
                <c:pt idx="5">
                  <c:v>14.17457412988451</c:v>
                </c:pt>
                <c:pt idx="6">
                  <c:v>15.052827041781892</c:v>
                </c:pt>
                <c:pt idx="7">
                  <c:v>15.784185956256854</c:v>
                </c:pt>
                <c:pt idx="8">
                  <c:v>15.164045859200005</c:v>
                </c:pt>
                <c:pt idx="9">
                  <c:v>15.933163851504164</c:v>
                </c:pt>
                <c:pt idx="10">
                  <c:v>16.693103209553307</c:v>
                </c:pt>
                <c:pt idx="11">
                  <c:v>17.504031358331908</c:v>
                </c:pt>
                <c:pt idx="12">
                  <c:v>18.409651350365944</c:v>
                </c:pt>
                <c:pt idx="13">
                  <c:v>19.330037492780008</c:v>
                </c:pt>
                <c:pt idx="14">
                  <c:v>20.203414575349154</c:v>
                </c:pt>
              </c:numCache>
            </c:numRef>
          </c:val>
          <c:smooth val="0"/>
          <c:extLst>
            <c:ext xmlns:c16="http://schemas.microsoft.com/office/drawing/2014/chart" uri="{C3380CC4-5D6E-409C-BE32-E72D297353CC}">
              <c16:uniqueId val="{00000002-D5F4-44C7-A03B-D6817BDCF180}"/>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2.1494880893612773</c:v>
                </c:pt>
                <c:pt idx="7">
                  <c:v>4.5188583701846028</c:v>
                </c:pt>
                <c:pt idx="8">
                  <c:v>5.6331058248512846</c:v>
                </c:pt>
                <c:pt idx="9">
                  <c:v>8.8325677351902101</c:v>
                </c:pt>
                <c:pt idx="10">
                  <c:v>11.799101426456577</c:v>
                </c:pt>
                <c:pt idx="11">
                  <c:v>14.880195668176455</c:v>
                </c:pt>
                <c:pt idx="12">
                  <c:v>18.217561200424658</c:v>
                </c:pt>
                <c:pt idx="13">
                  <c:v>21.707413856326156</c:v>
                </c:pt>
                <c:pt idx="14">
                  <c:v>25.425091052312894</c:v>
                </c:pt>
                <c:pt idx="15">
                  <c:v>29.28702730430404</c:v>
                </c:pt>
                <c:pt idx="16">
                  <c:v>33.306191843825374</c:v>
                </c:pt>
                <c:pt idx="17">
                  <c:v>37.619347132590306</c:v>
                </c:pt>
                <c:pt idx="18">
                  <c:v>42.045419582377228</c:v>
                </c:pt>
                <c:pt idx="19">
                  <c:v>42.045419582377228</c:v>
                </c:pt>
                <c:pt idx="20">
                  <c:v>42.045419582377228</c:v>
                </c:pt>
                <c:pt idx="21">
                  <c:v>42.045419582377228</c:v>
                </c:pt>
                <c:pt idx="22">
                  <c:v>42.045419582377228</c:v>
                </c:pt>
                <c:pt idx="23">
                  <c:v>42.045419582377228</c:v>
                </c:pt>
                <c:pt idx="24">
                  <c:v>42.045419582377228</c:v>
                </c:pt>
                <c:pt idx="25">
                  <c:v>42.045419582377228</c:v>
                </c:pt>
                <c:pt idx="26">
                  <c:v>42.045419582377228</c:v>
                </c:pt>
                <c:pt idx="27">
                  <c:v>42.045419582377228</c:v>
                </c:pt>
                <c:pt idx="28">
                  <c:v>42.045419582377228</c:v>
                </c:pt>
                <c:pt idx="29">
                  <c:v>42.045419582377228</c:v>
                </c:pt>
                <c:pt idx="30">
                  <c:v>42.045419582377228</c:v>
                </c:pt>
                <c:pt idx="31">
                  <c:v>42.045419582377228</c:v>
                </c:pt>
                <c:pt idx="32">
                  <c:v>42.045419582377228</c:v>
                </c:pt>
                <c:pt idx="33">
                  <c:v>42.045419582377228</c:v>
                </c:pt>
                <c:pt idx="34">
                  <c:v>42.045419582377228</c:v>
                </c:pt>
                <c:pt idx="35">
                  <c:v>42.045419582377228</c:v>
                </c:pt>
                <c:pt idx="36">
                  <c:v>42.045419582377228</c:v>
                </c:pt>
                <c:pt idx="37">
                  <c:v>42.045419582377228</c:v>
                </c:pt>
                <c:pt idx="38">
                  <c:v>42.045419582377228</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4.4154849994170746</c:v>
                </c:pt>
                <c:pt idx="20">
                  <c:v>8.961150310774542</c:v>
                </c:pt>
                <c:pt idx="21">
                  <c:v>13.604830941906606</c:v>
                </c:pt>
                <c:pt idx="22">
                  <c:v>18.358025863273248</c:v>
                </c:pt>
                <c:pt idx="23">
                  <c:v>22.998659137336809</c:v>
                </c:pt>
                <c:pt idx="24">
                  <c:v>27.700601896728109</c:v>
                </c:pt>
                <c:pt idx="25">
                  <c:v>32.708663163752327</c:v>
                </c:pt>
                <c:pt idx="26">
                  <c:v>37.884456959020731</c:v>
                </c:pt>
                <c:pt idx="27">
                  <c:v>43.189470768343419</c:v>
                </c:pt>
                <c:pt idx="28">
                  <c:v>48.575592857946681</c:v>
                </c:pt>
                <c:pt idx="29">
                  <c:v>48.575592857946681</c:v>
                </c:pt>
                <c:pt idx="30">
                  <c:v>48.575592857946681</c:v>
                </c:pt>
                <c:pt idx="31">
                  <c:v>48.575592857946681</c:v>
                </c:pt>
                <c:pt idx="32">
                  <c:v>48.575592857946681</c:v>
                </c:pt>
                <c:pt idx="33">
                  <c:v>48.575592857946681</c:v>
                </c:pt>
                <c:pt idx="34">
                  <c:v>48.575592857946681</c:v>
                </c:pt>
                <c:pt idx="35">
                  <c:v>48.575592857946681</c:v>
                </c:pt>
                <c:pt idx="36">
                  <c:v>48.575592857946681</c:v>
                </c:pt>
                <c:pt idx="37">
                  <c:v>48.575592857946681</c:v>
                </c:pt>
                <c:pt idx="38">
                  <c:v>48.575592857946681</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6.0052784951063813</c:v>
                </c:pt>
                <c:pt idx="30">
                  <c:v>11.850218468280588</c:v>
                </c:pt>
                <c:pt idx="31">
                  <c:v>17.548698827097326</c:v>
                </c:pt>
                <c:pt idx="32">
                  <c:v>23.112729368678885</c:v>
                </c:pt>
                <c:pt idx="33">
                  <c:v>28.552783426515276</c:v>
                </c:pt>
                <c:pt idx="34">
                  <c:v>34.989571518076048</c:v>
                </c:pt>
                <c:pt idx="35">
                  <c:v>41.257996908643037</c:v>
                </c:pt>
                <c:pt idx="36">
                  <c:v>47.372149265549893</c:v>
                </c:pt>
                <c:pt idx="37">
                  <c:v>53.344280542029651</c:v>
                </c:pt>
                <c:pt idx="38">
                  <c:v>59.693275989105672</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1.8563029696297695</c:v>
                </c:pt>
                <c:pt idx="7">
                  <c:v>3.902496716975357</c:v>
                </c:pt>
                <c:pt idx="8">
                  <c:v>4.864763439567338</c:v>
                </c:pt>
                <c:pt idx="9">
                  <c:v>7.6278262705618154</c:v>
                </c:pt>
                <c:pt idx="10">
                  <c:v>10.189731743711409</c:v>
                </c:pt>
                <c:pt idx="11">
                  <c:v>12.850571977682341</c:v>
                </c:pt>
                <c:pt idx="12">
                  <c:v>15.732728700910927</c:v>
                </c:pt>
                <c:pt idx="13">
                  <c:v>18.746573662780566</c:v>
                </c:pt>
                <c:pt idx="14">
                  <c:v>21.957168433317648</c:v>
                </c:pt>
                <c:pt idx="15">
                  <c:v>25.292345663921555</c:v>
                </c:pt>
                <c:pt idx="16">
                  <c:v>28.763305613441954</c:v>
                </c:pt>
                <c:pt idx="17">
                  <c:v>32.488156665483764</c:v>
                </c:pt>
                <c:pt idx="18">
                  <c:v>36.310523243368543</c:v>
                </c:pt>
                <c:pt idx="19">
                  <c:v>40.085614241903507</c:v>
                </c:pt>
                <c:pt idx="20">
                  <c:v>43.972005023782216</c:v>
                </c:pt>
                <c:pt idx="21">
                  <c:v>47.942195603746171</c:v>
                </c:pt>
                <c:pt idx="22">
                  <c:v>52.006017214351175</c:v>
                </c:pt>
                <c:pt idx="23">
                  <c:v>55.973602406630619</c:v>
                </c:pt>
                <c:pt idx="24">
                  <c:v>59.993605144483453</c:v>
                </c:pt>
                <c:pt idx="25">
                  <c:v>64.275328898895623</c:v>
                </c:pt>
                <c:pt idx="26">
                  <c:v>68.700458317152155</c:v>
                </c:pt>
                <c:pt idx="27">
                  <c:v>73.236066496394457</c:v>
                </c:pt>
                <c:pt idx="28">
                  <c:v>77.841019524239854</c:v>
                </c:pt>
                <c:pt idx="29">
                  <c:v>101.76445457080226</c:v>
                </c:pt>
                <c:pt idx="30">
                  <c:v>127.85604571309578</c:v>
                </c:pt>
                <c:pt idx="31" formatCode="0.00">
                  <c:v>127.85604571309578</c:v>
                </c:pt>
                <c:pt idx="32" formatCode="0.00">
                  <c:v>127.85604571309578</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0.17702881677566448</c:v>
                </c:pt>
                <c:pt idx="7">
                  <c:v>0.37216682167720194</c:v>
                </c:pt>
                <c:pt idx="8">
                  <c:v>0.46393467536814875</c:v>
                </c:pt>
                <c:pt idx="9">
                  <c:v>0.72743785973536834</c:v>
                </c:pt>
                <c:pt idx="10">
                  <c:v>0.9717574034859372</c:v>
                </c:pt>
                <c:pt idx="11">
                  <c:v>1.2255119930952529</c:v>
                </c:pt>
                <c:pt idx="12">
                  <c:v>1.500372725865047</c:v>
                </c:pt>
                <c:pt idx="13">
                  <c:v>1.7877920837360803</c:v>
                </c:pt>
                <c:pt idx="14">
                  <c:v>2.0939747503983401</c:v>
                </c:pt>
                <c:pt idx="15">
                  <c:v>2.4120383900792617</c:v>
                </c:pt>
                <c:pt idx="16">
                  <c:v>2.7430511304520615</c:v>
                </c:pt>
                <c:pt idx="17">
                  <c:v>3.0982765355700987</c:v>
                </c:pt>
                <c:pt idx="18">
                  <c:v>3.4628016393039727</c:v>
                </c:pt>
                <c:pt idx="19">
                  <c:v>3.8228182441496763</c:v>
                </c:pt>
                <c:pt idx="20">
                  <c:v>4.1934491017736644</c:v>
                </c:pt>
                <c:pt idx="21">
                  <c:v>4.57207163928169</c:v>
                </c:pt>
                <c:pt idx="22">
                  <c:v>4.959623425322448</c:v>
                </c:pt>
                <c:pt idx="23">
                  <c:v>5.3379974965474499</c:v>
                </c:pt>
                <c:pt idx="24">
                  <c:v>5.7213704371504353</c:v>
                </c:pt>
                <c:pt idx="25">
                  <c:v>6.1297027527287593</c:v>
                </c:pt>
                <c:pt idx="26">
                  <c:v>6.5517111413429188</c:v>
                </c:pt>
                <c:pt idx="27">
                  <c:v>6.9842554848395153</c:v>
                </c:pt>
                <c:pt idx="28">
                  <c:v>7.4234129926193866</c:v>
                </c:pt>
                <c:pt idx="29">
                  <c:v>9.7049033898184405</c:v>
                </c:pt>
                <c:pt idx="30">
                  <c:v>12.193162894481013</c:v>
                </c:pt>
                <c:pt idx="31" formatCode="0.00">
                  <c:v>12.193162894481013</c:v>
                </c:pt>
                <c:pt idx="32" formatCode="0.00">
                  <c:v>12.193162894481013</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0.13240848743086706</c:v>
                </c:pt>
                <c:pt idx="7">
                  <c:v>0.27836172001690523</c:v>
                </c:pt>
                <c:pt idx="8">
                  <c:v>0.34699937417573767</c:v>
                </c:pt>
                <c:pt idx="9">
                  <c:v>0.54408625929848031</c:v>
                </c:pt>
                <c:pt idx="10">
                  <c:v>0.72682476383702166</c:v>
                </c:pt>
                <c:pt idx="11">
                  <c:v>0.91662019940945594</c:v>
                </c:pt>
                <c:pt idx="12">
                  <c:v>1.1222019489971937</c:v>
                </c:pt>
                <c:pt idx="13">
                  <c:v>1.337176906900692</c:v>
                </c:pt>
                <c:pt idx="14">
                  <c:v>1.5661858587126112</c:v>
                </c:pt>
                <c:pt idx="15">
                  <c:v>1.8040811697922501</c:v>
                </c:pt>
                <c:pt idx="16">
                  <c:v>2.0516617449290644</c:v>
                </c:pt>
                <c:pt idx="17">
                  <c:v>2.317352153108768</c:v>
                </c:pt>
                <c:pt idx="18">
                  <c:v>2.5899982595172308</c:v>
                </c:pt>
                <c:pt idx="19">
                  <c:v>2.8592722396852364</c:v>
                </c:pt>
                <c:pt idx="20">
                  <c:v>3.1364851372632954</c:v>
                </c:pt>
                <c:pt idx="21">
                  <c:v>3.419675402056197</c:v>
                </c:pt>
                <c:pt idx="22">
                  <c:v>3.7095442873903606</c:v>
                </c:pt>
                <c:pt idx="23">
                  <c:v>3.9925487121301453</c:v>
                </c:pt>
                <c:pt idx="24">
                  <c:v>4.2792920351197106</c:v>
                </c:pt>
                <c:pt idx="25">
                  <c:v>4.5847036921573556</c:v>
                </c:pt>
                <c:pt idx="26">
                  <c:v>4.9003443513295162</c:v>
                </c:pt>
                <c:pt idx="27">
                  <c:v>5.2238653650960991</c:v>
                </c:pt>
                <c:pt idx="28">
                  <c:v>5.5523326870165128</c:v>
                </c:pt>
                <c:pt idx="29">
                  <c:v>7.2587706448772922</c:v>
                </c:pt>
                <c:pt idx="30">
                  <c:v>9.1198613042887384</c:v>
                </c:pt>
                <c:pt idx="31" formatCode="0.00">
                  <c:v>9.1198613042887384</c:v>
                </c:pt>
                <c:pt idx="32" formatCode="0.00">
                  <c:v>9.1198613042887384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1.6154122080425941</c:v>
                </c:pt>
                <c:pt idx="7">
                  <c:v>3.3960732388988562</c:v>
                </c:pt>
                <c:pt idx="8">
                  <c:v>4.2334674770701453</c:v>
                </c:pt>
                <c:pt idx="9">
                  <c:v>6.6379701373591766</c:v>
                </c:pt>
                <c:pt idx="10">
                  <c:v>8.8674194486439628</c:v>
                </c:pt>
                <c:pt idx="11">
                  <c:v>11.182964846098583</c:v>
                </c:pt>
                <c:pt idx="12">
                  <c:v>13.691106691674626</c:v>
                </c:pt>
                <c:pt idx="13">
                  <c:v>16.313847711974187</c:v>
                </c:pt>
                <c:pt idx="14">
                  <c:v>19.107806495780753</c:v>
                </c:pt>
                <c:pt idx="15">
                  <c:v>22.010180786211258</c:v>
                </c:pt>
                <c:pt idx="16">
                  <c:v>25.03071739462947</c:v>
                </c:pt>
                <c:pt idx="17">
                  <c:v>28.272197886258876</c:v>
                </c:pt>
                <c:pt idx="18">
                  <c:v>31.598539401922448</c:v>
                </c:pt>
                <c:pt idx="19">
                  <c:v>34.88374024751576</c:v>
                </c:pt>
                <c:pt idx="20">
                  <c:v>38.26579760398446</c:v>
                </c:pt>
                <c:pt idx="21">
                  <c:v>41.720780134346207</c:v>
                </c:pt>
                <c:pt idx="22">
                  <c:v>45.257243280977889</c:v>
                </c:pt>
                <c:pt idx="23">
                  <c:v>48.709958522464326</c:v>
                </c:pt>
                <c:pt idx="24">
                  <c:v>52.208289131926918</c:v>
                </c:pt>
                <c:pt idx="25">
                  <c:v>55.934377457758181</c:v>
                </c:pt>
                <c:pt idx="26">
                  <c:v>59.785261823819255</c:v>
                </c:pt>
                <c:pt idx="27">
                  <c:v>63.73228822172841</c:v>
                </c:pt>
                <c:pt idx="28">
                  <c:v>67.739660649801294</c:v>
                </c:pt>
                <c:pt idx="29">
                  <c:v>88.558573114418408</c:v>
                </c:pt>
                <c:pt idx="30">
                  <c:v>111.26428201436339</c:v>
                </c:pt>
                <c:pt idx="31" formatCode="0.00">
                  <c:v>111.26428201436339</c:v>
                </c:pt>
                <c:pt idx="32" formatCode="0.00">
                  <c:v>111.26428201436339</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0.39297187021735175</c:v>
                </c:pt>
                <c:pt idx="7">
                  <c:v>0.82614285409064703</c:v>
                </c:pt>
                <c:pt idx="8">
                  <c:v>1.0298508477810902</c:v>
                </c:pt>
                <c:pt idx="9">
                  <c:v>1.6147801324875135</c:v>
                </c:pt>
                <c:pt idx="10">
                  <c:v>2.1571252138534383</c:v>
                </c:pt>
                <c:pt idx="11">
                  <c:v>2.720414386041575</c:v>
                </c:pt>
                <c:pt idx="12">
                  <c:v>3.3305553685841742</c:v>
                </c:pt>
                <c:pt idx="13">
                  <c:v>3.9685742214265365</c:v>
                </c:pt>
                <c:pt idx="14">
                  <c:v>4.6482442171814</c:v>
                </c:pt>
                <c:pt idx="15">
                  <c:v>5.3542878185005014</c:v>
                </c:pt>
                <c:pt idx="16">
                  <c:v>6.089076075120377</c:v>
                </c:pt>
                <c:pt idx="17">
                  <c:v>6.8776120566653933</c:v>
                </c:pt>
                <c:pt idx="18">
                  <c:v>7.6867916826977032</c:v>
                </c:pt>
                <c:pt idx="19">
                  <c:v>8.4859632587852278</c:v>
                </c:pt>
                <c:pt idx="20">
                  <c:v>9.3086965512148314</c:v>
                </c:pt>
                <c:pt idx="21">
                  <c:v>10.149169923747827</c:v>
                </c:pt>
                <c:pt idx="22">
                  <c:v>11.009464608762336</c:v>
                </c:pt>
                <c:pt idx="23">
                  <c:v>11.849386431204762</c:v>
                </c:pt>
                <c:pt idx="24">
                  <c:v>12.70040483715386</c:v>
                </c:pt>
                <c:pt idx="25">
                  <c:v>13.606828529327881</c:v>
                </c:pt>
                <c:pt idx="26">
                  <c:v>14.543610623574551</c:v>
                </c:pt>
                <c:pt idx="27">
                  <c:v>15.503780627033333</c:v>
                </c:pt>
                <c:pt idx="28">
                  <c:v>16.478630655946652</c:v>
                </c:pt>
                <c:pt idx="29">
                  <c:v>21.54312560428259</c:v>
                </c:pt>
                <c:pt idx="30">
                  <c:v>27.066610474954611</c:v>
                </c:pt>
                <c:pt idx="31" formatCode="0.00">
                  <c:v>27.066610474954611</c:v>
                </c:pt>
                <c:pt idx="32" formatCode="0.00">
                  <c:v>27.066610474954611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0.20485221696423084</c:v>
                </c:pt>
                <c:pt idx="7">
                  <c:v>0.43065982075516357</c:v>
                </c:pt>
                <c:pt idx="8">
                  <c:v>0.53685071451491806</c:v>
                </c:pt>
                <c:pt idx="9">
                  <c:v>0.84176836847609915</c:v>
                </c:pt>
                <c:pt idx="10">
                  <c:v>1.1244873127506763</c:v>
                </c:pt>
                <c:pt idx="11">
                  <c:v>1.4181241973726308</c:v>
                </c:pt>
                <c:pt idx="12">
                  <c:v>1.736184451572135</c:v>
                </c:pt>
                <c:pt idx="13">
                  <c:v>2.0687771544478997</c:v>
                </c:pt>
                <c:pt idx="14">
                  <c:v>2.4230821721516973</c:v>
                </c:pt>
                <c:pt idx="15">
                  <c:v>2.7911354807094582</c:v>
                </c:pt>
                <c:pt idx="16">
                  <c:v>3.1741730840997717</c:v>
                </c:pt>
                <c:pt idx="17">
                  <c:v>3.585228826807815</c:v>
                </c:pt>
                <c:pt idx="18">
                  <c:v>4.0070458902615513</c:v>
                </c:pt>
                <c:pt idx="19">
                  <c:v>4.4236458596328427</c:v>
                </c:pt>
                <c:pt idx="20">
                  <c:v>4.8525283107641837</c:v>
                </c:pt>
                <c:pt idx="21">
                  <c:v>5.2906584842230622</c:v>
                </c:pt>
                <c:pt idx="22">
                  <c:v>5.7391213051631276</c:v>
                </c:pt>
                <c:pt idx="23">
                  <c:v>6.176963961200574</c:v>
                </c:pt>
                <c:pt idx="24">
                  <c:v>6.6205911527336863</c:v>
                </c:pt>
                <c:pt idx="25">
                  <c:v>7.0931005533379867</c:v>
                </c:pt>
                <c:pt idx="26">
                  <c:v>7.5814354784629963</c:v>
                </c:pt>
                <c:pt idx="27">
                  <c:v>8.0819622814687548</c:v>
                </c:pt>
                <c:pt idx="28">
                  <c:v>8.590141631609221</c:v>
                </c:pt>
                <c:pt idx="29">
                  <c:v>11.230211052855431</c:v>
                </c:pt>
                <c:pt idx="30">
                  <c:v>14.109547226459211</c:v>
                </c:pt>
                <c:pt idx="31" formatCode="0.00">
                  <c:v>14.109547226459211</c:v>
                </c:pt>
                <c:pt idx="32" formatCode="0.00">
                  <c:v>14.109547226459211</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0.26234508327730677</c:v>
                </c:pt>
                <c:pt idx="7">
                  <c:v>0.55152679436186447</c:v>
                </c:pt>
                <c:pt idx="8">
                  <c:v>0.68752072832821642</c:v>
                </c:pt>
                <c:pt idx="9">
                  <c:v>1.0780151467270893</c:v>
                </c:pt>
                <c:pt idx="10">
                  <c:v>1.440080669272725</c:v>
                </c:pt>
                <c:pt idx="11">
                  <c:v>1.8161283103040471</c:v>
                </c:pt>
                <c:pt idx="12">
                  <c:v>2.2234538697327739</c:v>
                </c:pt>
                <c:pt idx="13">
                  <c:v>2.6493904869996618</c:v>
                </c:pt>
                <c:pt idx="14">
                  <c:v>3.1031330959522432</c:v>
                </c:pt>
                <c:pt idx="15">
                  <c:v>3.5744825268492195</c:v>
                </c:pt>
                <c:pt idx="16">
                  <c:v>4.0650216747722219</c:v>
                </c:pt>
                <c:pt idx="17">
                  <c:v>4.5914424021162974</c:v>
                </c:pt>
                <c:pt idx="18">
                  <c:v>5.1316446722185631</c:v>
                </c:pt>
                <c:pt idx="19">
                  <c:v>5.6651656429831538</c:v>
                </c:pt>
                <c:pt idx="20">
                  <c:v>6.214416239464974</c:v>
                </c:pt>
                <c:pt idx="21">
                  <c:v>6.7755099808250696</c:v>
                </c:pt>
                <c:pt idx="22">
                  <c:v>7.3498362822428396</c:v>
                </c:pt>
                <c:pt idx="23">
                  <c:v>7.9105618128850477</c:v>
                </c:pt>
                <c:pt idx="24">
                  <c:v>8.4786953397345712</c:v>
                </c:pt>
                <c:pt idx="25">
                  <c:v>9.0838170215394101</c:v>
                </c:pt>
                <c:pt idx="26">
                  <c:v>9.7092057456531826</c:v>
                </c:pt>
                <c:pt idx="27">
                  <c:v>10.350208063143347</c:v>
                </c:pt>
                <c:pt idx="28">
                  <c:v>11.001010655900679</c:v>
                </c:pt>
                <c:pt idx="29">
                  <c:v>14.382029628693363</c:v>
                </c:pt>
                <c:pt idx="30">
                  <c:v>18.06946684290395</c:v>
                </c:pt>
                <c:pt idx="31" formatCode="0.00">
                  <c:v>18.06946684290395</c:v>
                </c:pt>
                <c:pt idx="32" formatCode="0.00">
                  <c:v>18.06946684290395</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139.28093183333556</c:v>
                </c:pt>
                <c:pt idx="6">
                  <c:v>137.88812251500221</c:v>
                </c:pt>
                <c:pt idx="7">
                  <c:v>136.49531319666883</c:v>
                </c:pt>
                <c:pt idx="8">
                  <c:v>135.10250387833548</c:v>
                </c:pt>
                <c:pt idx="9">
                  <c:v>133.70969456000213</c:v>
                </c:pt>
                <c:pt idx="10">
                  <c:v>132.31688524166879</c:v>
                </c:pt>
                <c:pt idx="11">
                  <c:v>130.92407592333541</c:v>
                </c:pt>
                <c:pt idx="12">
                  <c:v>129.53126660500206</c:v>
                </c:pt>
                <c:pt idx="13">
                  <c:v>128.13845728666871</c:v>
                </c:pt>
                <c:pt idx="14">
                  <c:v>126.74564796833535</c:v>
                </c:pt>
                <c:pt idx="15">
                  <c:v>125.35283865000198</c:v>
                </c:pt>
                <c:pt idx="16">
                  <c:v>123.96002933166864</c:v>
                </c:pt>
                <c:pt idx="17">
                  <c:v>122.56722001333527</c:v>
                </c:pt>
                <c:pt idx="18">
                  <c:v>121.17441069500192</c:v>
                </c:pt>
                <c:pt idx="19">
                  <c:v>119.78160137666856</c:v>
                </c:pt>
                <c:pt idx="20">
                  <c:v>118.3887920583352</c:v>
                </c:pt>
                <c:pt idx="21">
                  <c:v>116.99598274000185</c:v>
                </c:pt>
                <c:pt idx="22">
                  <c:v>115.60317342166849</c:v>
                </c:pt>
                <c:pt idx="23">
                  <c:v>114.21036410333514</c:v>
                </c:pt>
                <c:pt idx="24">
                  <c:v>112.81755478500178</c:v>
                </c:pt>
                <c:pt idx="25">
                  <c:v>111.42474546666843</c:v>
                </c:pt>
                <c:pt idx="26">
                  <c:v>110.03193614833506</c:v>
                </c:pt>
                <c:pt idx="27">
                  <c:v>108.63912683000171</c:v>
                </c:pt>
                <c:pt idx="28">
                  <c:v>107.24631751166835</c:v>
                </c:pt>
                <c:pt idx="29">
                  <c:v>105.85350819333499</c:v>
                </c:pt>
                <c:pt idx="30">
                  <c:v>104.46069887500164</c:v>
                </c:pt>
                <c:pt idx="31">
                  <c:v>103.06788955666828</c:v>
                </c:pt>
                <c:pt idx="32">
                  <c:v>101.67508023833493</c:v>
                </c:pt>
                <c:pt idx="33">
                  <c:v>100.28227092000157</c:v>
                </c:pt>
                <c:pt idx="34">
                  <c:v>98.889461601668216</c:v>
                </c:pt>
                <c:pt idx="35">
                  <c:v>97.496652283334853</c:v>
                </c:pt>
                <c:pt idx="36">
                  <c:v>96.10384296500149</c:v>
                </c:pt>
                <c:pt idx="37">
                  <c:v>94.711033646668142</c:v>
                </c:pt>
                <c:pt idx="38">
                  <c:v>93.318224328334779</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2.6868601117016055</c:v>
                </c:pt>
                <c:pt idx="7">
                  <c:v>5.6485729627307535</c:v>
                </c:pt>
                <c:pt idx="8">
                  <c:v>7.0413822810641022</c:v>
                </c:pt>
                <c:pt idx="9">
                  <c:v>11.040709668987773</c:v>
                </c:pt>
                <c:pt idx="10">
                  <c:v>14.748876783070727</c:v>
                </c:pt>
                <c:pt idx="11">
                  <c:v>18.600244585220565</c:v>
                </c:pt>
                <c:pt idx="12">
                  <c:v>22.771951500530832</c:v>
                </c:pt>
                <c:pt idx="13">
                  <c:v>27.134267320407702</c:v>
                </c:pt>
                <c:pt idx="14">
                  <c:v>31.781363815391117</c:v>
                </c:pt>
                <c:pt idx="15">
                  <c:v>36.608784130380059</c:v>
                </c:pt>
                <c:pt idx="16">
                  <c:v>41.632739804781721</c:v>
                </c:pt>
                <c:pt idx="17">
                  <c:v>47.024183915737879</c:v>
                </c:pt>
                <c:pt idx="18">
                  <c:v>52.55677447797153</c:v>
                </c:pt>
                <c:pt idx="19">
                  <c:v>58.076130727242884</c:v>
                </c:pt>
                <c:pt idx="20">
                  <c:v>63.758212366439707</c:v>
                </c:pt>
                <c:pt idx="21">
                  <c:v>69.562813155354789</c:v>
                </c:pt>
                <c:pt idx="22">
                  <c:v>75.504306807063102</c:v>
                </c:pt>
                <c:pt idx="23">
                  <c:v>81.30509839964256</c:v>
                </c:pt>
                <c:pt idx="24">
                  <c:v>87.182526848881665</c:v>
                </c:pt>
                <c:pt idx="25">
                  <c:v>93.442603432661954</c:v>
                </c:pt>
                <c:pt idx="26">
                  <c:v>99.912345676747464</c:v>
                </c:pt>
                <c:pt idx="27">
                  <c:v>106.54361293840083</c:v>
                </c:pt>
                <c:pt idx="28">
                  <c:v>113.27626555040489</c:v>
                </c:pt>
                <c:pt idx="29">
                  <c:v>120.78286366928788</c:v>
                </c:pt>
                <c:pt idx="30">
                  <c:v>128.08903863575563</c:v>
                </c:pt>
                <c:pt idx="31">
                  <c:v>135.21213908427654</c:v>
                </c:pt>
                <c:pt idx="32">
                  <c:v>142.16717726125347</c:v>
                </c:pt>
                <c:pt idx="33">
                  <c:v>148.96724483354896</c:v>
                </c:pt>
                <c:pt idx="34">
                  <c:v>157.01322994799995</c:v>
                </c:pt>
                <c:pt idx="35">
                  <c:v>164.84876168620866</c:v>
                </c:pt>
                <c:pt idx="36">
                  <c:v>172.49145213234226</c:v>
                </c:pt>
                <c:pt idx="37">
                  <c:v>179.95661622794196</c:v>
                </c:pt>
                <c:pt idx="38">
                  <c:v>187.89286053678694</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135.88051692233486</c:v>
                </c:pt>
                <c:pt idx="2">
                  <c:v>132.39616572108426</c:v>
                </c:pt>
                <c:pt idx="3">
                  <c:v>128.60855827859754</c:v>
                </c:pt>
                <c:pt idx="4">
                  <c:v>124.66075526087604</c:v>
                </c:pt>
                <c:pt idx="5">
                  <c:v>120.28334032399778</c:v>
                </c:pt>
                <c:pt idx="6">
                  <c:v>119.54458266316526</c:v>
                </c:pt>
                <c:pt idx="7">
                  <c:v>118.85329769676166</c:v>
                </c:pt>
                <c:pt idx="8">
                  <c:v>117.89103097416967</c:v>
                </c:pt>
                <c:pt idx="9">
                  <c:v>116.75392933093214</c:v>
                </c:pt>
                <c:pt idx="10">
                  <c:v>115.54654286385139</c:v>
                </c:pt>
                <c:pt idx="11">
                  <c:v>114.34203957582858</c:v>
                </c:pt>
                <c:pt idx="12">
                  <c:v>113.16610032899654</c:v>
                </c:pt>
                <c:pt idx="13">
                  <c:v>111.99496925935928</c:v>
                </c:pt>
                <c:pt idx="14">
                  <c:v>110.84000279607284</c:v>
                </c:pt>
                <c:pt idx="15">
                  <c:v>109.68262736457589</c:v>
                </c:pt>
                <c:pt idx="16">
                  <c:v>108.5227470955121</c:v>
                </c:pt>
                <c:pt idx="17">
                  <c:v>107.38069956222522</c:v>
                </c:pt>
                <c:pt idx="18">
                  <c:v>106.22240388591575</c:v>
                </c:pt>
                <c:pt idx="19">
                  <c:v>105.79469150862093</c:v>
                </c:pt>
                <c:pt idx="20">
                  <c:v>105.38805863574723</c:v>
                </c:pt>
                <c:pt idx="21">
                  <c:v>104.99729693675334</c:v>
                </c:pt>
                <c:pt idx="22">
                  <c:v>104.62426838750206</c:v>
                </c:pt>
                <c:pt idx="23">
                  <c:v>104.23301324387096</c:v>
                </c:pt>
                <c:pt idx="24">
                  <c:v>103.85168566568933</c:v>
                </c:pt>
                <c:pt idx="25">
                  <c:v>103.5199264618561</c:v>
                </c:pt>
                <c:pt idx="26">
                  <c:v>103.21532742162972</c:v>
                </c:pt>
                <c:pt idx="27">
                  <c:v>102.93165238916582</c:v>
                </c:pt>
                <c:pt idx="28">
                  <c:v>102.66111085075552</c:v>
                </c:pt>
                <c:pt idx="29">
                  <c:v>101.57107423363448</c:v>
                </c:pt>
                <c:pt idx="30">
                  <c:v>100.900053559566</c:v>
                </c:pt>
                <c:pt idx="31" formatCode="0.00">
                  <c:v>100.900053559566</c:v>
                </c:pt>
                <c:pt idx="32" formatCode="0.00">
                  <c:v>100.900053559566</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8.5451368677826967</c:v>
                </c:pt>
                <c:pt idx="2">
                  <c:v>9.2768728776048626</c:v>
                </c:pt>
                <c:pt idx="3">
                  <c:v>10.009107345760587</c:v>
                </c:pt>
                <c:pt idx="4">
                  <c:v>10.749546443501771</c:v>
                </c:pt>
                <c:pt idx="5">
                  <c:v>11.470981711368383</c:v>
                </c:pt>
                <c:pt idx="6">
                  <c:v>11.400529098448615</c:v>
                </c:pt>
                <c:pt idx="7">
                  <c:v>11.334603782560315</c:v>
                </c:pt>
                <c:pt idx="8">
                  <c:v>11.242835928869367</c:v>
                </c:pt>
                <c:pt idx="9">
                  <c:v>11.134394709009573</c:v>
                </c:pt>
                <c:pt idx="10">
                  <c:v>11.019250682869874</c:v>
                </c:pt>
                <c:pt idx="11">
                  <c:v>10.904381614959259</c:v>
                </c:pt>
                <c:pt idx="12">
                  <c:v>10.792236595060778</c:v>
                </c:pt>
                <c:pt idx="13">
                  <c:v>10.680550113414705</c:v>
                </c:pt>
                <c:pt idx="14">
                  <c:v>10.570405191084514</c:v>
                </c:pt>
                <c:pt idx="15">
                  <c:v>10.460030534277285</c:v>
                </c:pt>
                <c:pt idx="16">
                  <c:v>10.349417000283555</c:v>
                </c:pt>
                <c:pt idx="17">
                  <c:v>10.240504109000693</c:v>
                </c:pt>
                <c:pt idx="18">
                  <c:v>10.13004169181546</c:v>
                </c:pt>
                <c:pt idx="19">
                  <c:v>10.089252328596421</c:v>
                </c:pt>
                <c:pt idx="20">
                  <c:v>10.050473240524781</c:v>
                </c:pt>
                <c:pt idx="21">
                  <c:v>10.013207728188757</c:v>
                </c:pt>
                <c:pt idx="22">
                  <c:v>9.9776333614081736</c:v>
                </c:pt>
                <c:pt idx="23">
                  <c:v>9.9403207910639999</c:v>
                </c:pt>
                <c:pt idx="24">
                  <c:v>9.9039549762838366</c:v>
                </c:pt>
                <c:pt idx="25">
                  <c:v>9.872316315855068</c:v>
                </c:pt>
                <c:pt idx="26">
                  <c:v>9.8432678207739919</c:v>
                </c:pt>
                <c:pt idx="27">
                  <c:v>9.8162147716933781</c:v>
                </c:pt>
                <c:pt idx="28">
                  <c:v>9.7904142158482319</c:v>
                </c:pt>
                <c:pt idx="29">
                  <c:v>9.6864614151857555</c:v>
                </c:pt>
                <c:pt idx="30">
                  <c:v>9.6224686306533656</c:v>
                </c:pt>
                <c:pt idx="31" formatCode="0.00">
                  <c:v>9.6224686306533656</c:v>
                </c:pt>
                <c:pt idx="32" formatCode="0.00">
                  <c:v>9.6224686306533656</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9.6376414085782098</c:v>
                </c:pt>
                <c:pt idx="2">
                  <c:v>9.4022691154404061</c:v>
                </c:pt>
                <c:pt idx="3">
                  <c:v>9.1456297689080213</c:v>
                </c:pt>
                <c:pt idx="4">
                  <c:v>8.8778543138235051</c:v>
                </c:pt>
                <c:pt idx="5">
                  <c:v>8.5797067698540808</c:v>
                </c:pt>
                <c:pt idx="6">
                  <c:v>8.5270118240132575</c:v>
                </c:pt>
                <c:pt idx="7">
                  <c:v>8.4777030644612239</c:v>
                </c:pt>
                <c:pt idx="8">
                  <c:v>8.4090654103023912</c:v>
                </c:pt>
                <c:pt idx="9">
                  <c:v>8.3279569322686218</c:v>
                </c:pt>
                <c:pt idx="10">
                  <c:v>8.241835098459056</c:v>
                </c:pt>
                <c:pt idx="11">
                  <c:v>8.1559189193213282</c:v>
                </c:pt>
                <c:pt idx="12">
                  <c:v>8.0720401885693782</c:v>
                </c:pt>
                <c:pt idx="13">
                  <c:v>7.9885044209436371</c:v>
                </c:pt>
                <c:pt idx="14">
                  <c:v>7.906121660726626</c:v>
                </c:pt>
                <c:pt idx="15">
                  <c:v>7.8235670708879201</c:v>
                </c:pt>
                <c:pt idx="16">
                  <c:v>7.7408338131491385</c:v>
                </c:pt>
                <c:pt idx="17">
                  <c:v>7.6593725490501923</c:v>
                </c:pt>
                <c:pt idx="18">
                  <c:v>7.5767523189438766</c:v>
                </c:pt>
                <c:pt idx="19">
                  <c:v>7.546243964510567</c:v>
                </c:pt>
                <c:pt idx="20">
                  <c:v>7.5172391929200693</c:v>
                </c:pt>
                <c:pt idx="21">
                  <c:v>7.489366498453597</c:v>
                </c:pt>
                <c:pt idx="22">
                  <c:v>7.4627586942411499</c:v>
                </c:pt>
                <c:pt idx="23">
                  <c:v>7.4348508027949203</c:v>
                </c:pt>
                <c:pt idx="24">
                  <c:v>7.4076510360172083</c:v>
                </c:pt>
                <c:pt idx="25">
                  <c:v>7.3839869385667862</c:v>
                </c:pt>
                <c:pt idx="26">
                  <c:v>7.3622601521266864</c:v>
                </c:pt>
                <c:pt idx="27">
                  <c:v>7.342025857087048</c:v>
                </c:pt>
                <c:pt idx="28">
                  <c:v>7.322728362834118</c:v>
                </c:pt>
                <c:pt idx="29">
                  <c:v>7.2449769924605398</c:v>
                </c:pt>
                <c:pt idx="30">
                  <c:v>7.1971136673773675</c:v>
                </c:pt>
                <c:pt idx="31" formatCode="0.00">
                  <c:v>7.1971136673773675</c:v>
                </c:pt>
                <c:pt idx="32" formatCode="0.00">
                  <c:v>7.1971136673773675</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118.2474248345661</c:v>
                </c:pt>
                <c:pt idx="2">
                  <c:v>115.21523474507296</c:v>
                </c:pt>
                <c:pt idx="3">
                  <c:v>111.919141703167</c:v>
                </c:pt>
                <c:pt idx="4">
                  <c:v>108.48364152129386</c:v>
                </c:pt>
                <c:pt idx="5">
                  <c:v>104.67427977141128</c:v>
                </c:pt>
                <c:pt idx="6">
                  <c:v>104.03139002570782</c:v>
                </c:pt>
                <c:pt idx="7">
                  <c:v>103.42981248570776</c:v>
                </c:pt>
                <c:pt idx="8">
                  <c:v>102.59241824753646</c:v>
                </c:pt>
                <c:pt idx="9">
                  <c:v>101.60287725863336</c:v>
                </c:pt>
                <c:pt idx="10">
                  <c:v>100.55217224406525</c:v>
                </c:pt>
                <c:pt idx="11">
                  <c:v>99.503976261009981</c:v>
                </c:pt>
                <c:pt idx="12">
                  <c:v>98.480637589291021</c:v>
                </c:pt>
                <c:pt idx="13">
                  <c:v>97.461483141950268</c:v>
                </c:pt>
                <c:pt idx="14">
                  <c:v>96.456395634578129</c:v>
                </c:pt>
                <c:pt idx="15">
                  <c:v>95.449211768626753</c:v>
                </c:pt>
                <c:pt idx="16">
                  <c:v>94.439848115619668</c:v>
                </c:pt>
                <c:pt idx="17">
                  <c:v>93.446003060356674</c:v>
                </c:pt>
                <c:pt idx="18">
                  <c:v>92.438018368931878</c:v>
                </c:pt>
                <c:pt idx="19">
                  <c:v>92.065809840950692</c:v>
                </c:pt>
                <c:pt idx="20">
                  <c:v>91.711945349120128</c:v>
                </c:pt>
                <c:pt idx="21">
                  <c:v>91.371892443254168</c:v>
                </c:pt>
                <c:pt idx="22">
                  <c:v>91.047271472287832</c:v>
                </c:pt>
                <c:pt idx="23">
                  <c:v>90.706789155650043</c:v>
                </c:pt>
                <c:pt idx="24">
                  <c:v>90.374946113250147</c:v>
                </c:pt>
                <c:pt idx="25">
                  <c:v>90.086239001980701</c:v>
                </c:pt>
                <c:pt idx="26">
                  <c:v>89.821167504391127</c:v>
                </c:pt>
                <c:pt idx="27">
                  <c:v>89.574304724954601</c:v>
                </c:pt>
                <c:pt idx="28">
                  <c:v>89.338871117897583</c:v>
                </c:pt>
                <c:pt idx="29">
                  <c:v>88.390287569134529</c:v>
                </c:pt>
                <c:pt idx="30">
                  <c:v>87.806344642535976</c:v>
                </c:pt>
                <c:pt idx="31" formatCode="0.00">
                  <c:v>87.806344642535976</c:v>
                </c:pt>
                <c:pt idx="32" formatCode="0.00">
                  <c:v>87.806344642535976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28.765358745140752</c:v>
                </c:pt>
                <c:pt idx="2">
                  <c:v>28.027735614406538</c:v>
                </c:pt>
                <c:pt idx="3">
                  <c:v>27.225914357491767</c:v>
                </c:pt>
                <c:pt idx="4">
                  <c:v>26.390180341813739</c:v>
                </c:pt>
                <c:pt idx="5">
                  <c:v>25.463499211305454</c:v>
                </c:pt>
                <c:pt idx="6">
                  <c:v>25.307107186746741</c:v>
                </c:pt>
                <c:pt idx="7">
                  <c:v>25.160764940602007</c:v>
                </c:pt>
                <c:pt idx="8">
                  <c:v>24.957056946911564</c:v>
                </c:pt>
                <c:pt idx="9">
                  <c:v>24.716337103932801</c:v>
                </c:pt>
                <c:pt idx="10">
                  <c:v>24.460738246522979</c:v>
                </c:pt>
                <c:pt idx="11">
                  <c:v>24.205749746519835</c:v>
                </c:pt>
                <c:pt idx="12">
                  <c:v>23.956808139115232</c:v>
                </c:pt>
                <c:pt idx="13">
                  <c:v>23.708884403478052</c:v>
                </c:pt>
                <c:pt idx="14">
                  <c:v>23.464382649970371</c:v>
                </c:pt>
                <c:pt idx="15">
                  <c:v>23.219370927584517</c:v>
                </c:pt>
                <c:pt idx="16">
                  <c:v>22.973828941163461</c:v>
                </c:pt>
                <c:pt idx="17">
                  <c:v>22.732062073160023</c:v>
                </c:pt>
                <c:pt idx="18">
                  <c:v>22.486855538649777</c:v>
                </c:pt>
                <c:pt idx="19">
                  <c:v>22.396310549189252</c:v>
                </c:pt>
                <c:pt idx="20">
                  <c:v>22.310228006005637</c:v>
                </c:pt>
                <c:pt idx="21">
                  <c:v>22.227505326477971</c:v>
                </c:pt>
                <c:pt idx="22">
                  <c:v>22.148536683405133</c:v>
                </c:pt>
                <c:pt idx="23">
                  <c:v>22.065709543633044</c:v>
                </c:pt>
                <c:pt idx="24">
                  <c:v>21.984984029525091</c:v>
                </c:pt>
                <c:pt idx="25">
                  <c:v>21.914751940838528</c:v>
                </c:pt>
                <c:pt idx="26">
                  <c:v>21.850269549514209</c:v>
                </c:pt>
                <c:pt idx="27">
                  <c:v>21.790216686449757</c:v>
                </c:pt>
                <c:pt idx="28">
                  <c:v>21.732944131236543</c:v>
                </c:pt>
                <c:pt idx="29">
                  <c:v>21.502187764930191</c:v>
                </c:pt>
                <c:pt idx="30">
                  <c:v>21.360135387943586</c:v>
                </c:pt>
                <c:pt idx="31" formatCode="0.00">
                  <c:v>21.360135387943586</c:v>
                </c:pt>
                <c:pt idx="32" formatCode="0.00">
                  <c:v>21.360135387943586</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10.370298222877517</c:v>
                </c:pt>
                <c:pt idx="2">
                  <c:v>11.100800089110525</c:v>
                </c:pt>
                <c:pt idx="3">
                  <c:v>11.828664869540164</c:v>
                </c:pt>
                <c:pt idx="4">
                  <c:v>12.563458496281971</c:v>
                </c:pt>
                <c:pt idx="5">
                  <c:v>13.273861719969343</c:v>
                </c:pt>
                <c:pt idx="6">
                  <c:v>13.192336157010708</c:v>
                </c:pt>
                <c:pt idx="7">
                  <c:v>13.116049440758747</c:v>
                </c:pt>
                <c:pt idx="8">
                  <c:v>13.009858546998991</c:v>
                </c:pt>
                <c:pt idx="9">
                  <c:v>12.884373754730767</c:v>
                </c:pt>
                <c:pt idx="10">
                  <c:v>12.751132684409455</c:v>
                </c:pt>
                <c:pt idx="11">
                  <c:v>12.618209787162034</c:v>
                </c:pt>
                <c:pt idx="12">
                  <c:v>12.488439073183789</c:v>
                </c:pt>
                <c:pt idx="13">
                  <c:v>12.359198965347979</c:v>
                </c:pt>
                <c:pt idx="14">
                  <c:v>12.231742701799174</c:v>
                </c:pt>
                <c:pt idx="15">
                  <c:v>12.104020596689699</c:v>
                </c:pt>
                <c:pt idx="16">
                  <c:v>11.976022070361761</c:v>
                </c:pt>
                <c:pt idx="17">
                  <c:v>11.84999147465625</c:v>
                </c:pt>
                <c:pt idx="18">
                  <c:v>11.7221678159787</c:v>
                </c:pt>
                <c:pt idx="19">
                  <c:v>11.674967638989616</c:v>
                </c:pt>
                <c:pt idx="20">
                  <c:v>11.6300936896066</c:v>
                </c:pt>
                <c:pt idx="21">
                  <c:v>11.586971202785616</c:v>
                </c:pt>
                <c:pt idx="22">
                  <c:v>11.545805656775467</c:v>
                </c:pt>
                <c:pt idx="23">
                  <c:v>11.502628715897398</c:v>
                </c:pt>
                <c:pt idx="24">
                  <c:v>11.46054733098441</c:v>
                </c:pt>
                <c:pt idx="25">
                  <c:v>11.423936061425822</c:v>
                </c:pt>
                <c:pt idx="26">
                  <c:v>11.390322050299183</c:v>
                </c:pt>
                <c:pt idx="27">
                  <c:v>11.35901710695299</c:v>
                </c:pt>
                <c:pt idx="28">
                  <c:v>11.329161509655036</c:v>
                </c:pt>
                <c:pt idx="29">
                  <c:v>11.208870575878223</c:v>
                </c:pt>
                <c:pt idx="30">
                  <c:v>11.134820124545282</c:v>
                </c:pt>
                <c:pt idx="31" formatCode="0.00">
                  <c:v>11.134820124545282</c:v>
                </c:pt>
                <c:pt idx="32" formatCode="0.00">
                  <c:v>11.134820124545282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10.02148368271801</c:v>
                </c:pt>
                <c:pt idx="2">
                  <c:v>9.7645052026600503</c:v>
                </c:pt>
                <c:pt idx="3">
                  <c:v>9.4851609151849186</c:v>
                </c:pt>
                <c:pt idx="4">
                  <c:v>9.1940018555877732</c:v>
                </c:pt>
                <c:pt idx="5">
                  <c:v>8.8711579824850144</c:v>
                </c:pt>
                <c:pt idx="6">
                  <c:v>8.9535793798308223</c:v>
                </c:pt>
                <c:pt idx="7">
                  <c:v>9.0535068495470483</c:v>
                </c:pt>
                <c:pt idx="8">
                  <c:v>9.0535068495470483</c:v>
                </c:pt>
                <c:pt idx="9">
                  <c:v>9.0351321842884627</c:v>
                </c:pt>
                <c:pt idx="10">
                  <c:v>8.9923139363058517</c:v>
                </c:pt>
                <c:pt idx="11">
                  <c:v>8.9521704146826426</c:v>
                </c:pt>
                <c:pt idx="12">
                  <c:v>8.9245341768538147</c:v>
                </c:pt>
                <c:pt idx="13">
                  <c:v>8.9007444666415232</c:v>
                </c:pt>
                <c:pt idx="14">
                  <c:v>8.8853511375312202</c:v>
                </c:pt>
                <c:pt idx="15">
                  <c:v>8.8715441986930816</c:v>
                </c:pt>
                <c:pt idx="16">
                  <c:v>8.8595018786959567</c:v>
                </c:pt>
                <c:pt idx="17">
                  <c:v>8.8574016261732655</c:v>
                </c:pt>
                <c:pt idx="18">
                  <c:v>8.852306025626028</c:v>
                </c:pt>
                <c:pt idx="19">
                  <c:v>9.0625702693506138</c:v>
                </c:pt>
                <c:pt idx="20">
                  <c:v>9.281126029352631</c:v>
                </c:pt>
                <c:pt idx="21">
                  <c:v>9.5059246351985074</c:v>
                </c:pt>
                <c:pt idx="22">
                  <c:v>9.7376984856613067</c:v>
                </c:pt>
                <c:pt idx="23">
                  <c:v>9.9623029975588739</c:v>
                </c:pt>
                <c:pt idx="24">
                  <c:v>10.190812467033965</c:v>
                </c:pt>
                <c:pt idx="25">
                  <c:v>10.438819405450632</c:v>
                </c:pt>
                <c:pt idx="26">
                  <c:v>10.697509656631434</c:v>
                </c:pt>
                <c:pt idx="27">
                  <c:v>10.964430260266699</c:v>
                </c:pt>
                <c:pt idx="28">
                  <c:v>11.236516857255006</c:v>
                </c:pt>
                <c:pt idx="29">
                  <c:v>12.700270178855428</c:v>
                </c:pt>
                <c:pt idx="30">
                  <c:v>14.32884129896334</c:v>
                </c:pt>
                <c:pt idx="31" formatCode="0.00">
                  <c:v>14.32884129896334</c:v>
                </c:pt>
                <c:pt idx="32" formatCode="0.00">
                  <c:v>14.32884129896334</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3.4629190197396977</c:v>
                </c:pt>
                <c:pt idx="2">
                  <c:v>3.3741202256258949</c:v>
                </c:pt>
                <c:pt idx="3">
                  <c:v>3.2775929371744406</c:v>
                </c:pt>
                <c:pt idx="4">
                  <c:v>3.176983059718149</c:v>
                </c:pt>
                <c:pt idx="5">
                  <c:v>3.0654245097100388</c:v>
                </c:pt>
                <c:pt idx="6">
                  <c:v>3.0939051851807302</c:v>
                </c:pt>
                <c:pt idx="7">
                  <c:v>3.1284350758067578</c:v>
                </c:pt>
                <c:pt idx="8">
                  <c:v>3.1284350758067578</c:v>
                </c:pt>
                <c:pt idx="9">
                  <c:v>3.1220857187834037</c:v>
                </c:pt>
                <c:pt idx="10">
                  <c:v>3.1072898931326955</c:v>
                </c:pt>
                <c:pt idx="11">
                  <c:v>3.0934183179299066</c:v>
                </c:pt>
                <c:pt idx="12">
                  <c:v>3.0838686288178505</c:v>
                </c:pt>
                <c:pt idx="13">
                  <c:v>3.0756481055324305</c:v>
                </c:pt>
                <c:pt idx="14">
                  <c:v>3.0703289478267601</c:v>
                </c:pt>
                <c:pt idx="15">
                  <c:v>3.0655579665408825</c:v>
                </c:pt>
                <c:pt idx="16">
                  <c:v>3.0613967484737667</c:v>
                </c:pt>
                <c:pt idx="17">
                  <c:v>3.0606710071926009</c:v>
                </c:pt>
                <c:pt idx="18">
                  <c:v>3.0589102247964317</c:v>
                </c:pt>
                <c:pt idx="19">
                  <c:v>3.1315669362992105</c:v>
                </c:pt>
                <c:pt idx="20">
                  <c:v>3.2070887773904468</c:v>
                </c:pt>
                <c:pt idx="21">
                  <c:v>3.284767830955849</c:v>
                </c:pt>
                <c:pt idx="22">
                  <c:v>3.3648571770503835</c:v>
                </c:pt>
                <c:pt idx="23">
                  <c:v>3.4424691615423333</c:v>
                </c:pt>
                <c:pt idx="24">
                  <c:v>3.5214305023067278</c:v>
                </c:pt>
                <c:pt idx="25">
                  <c:v>3.6071291843842666</c:v>
                </c:pt>
                <c:pt idx="26">
                  <c:v>3.6965194802124262</c:v>
                </c:pt>
                <c:pt idx="27">
                  <c:v>3.7887537704984999</c:v>
                </c:pt>
                <c:pt idx="28">
                  <c:v>3.8827731673820072</c:v>
                </c:pt>
                <c:pt idx="29">
                  <c:v>4.3885724460176121</c:v>
                </c:pt>
                <c:pt idx="30">
                  <c:v>4.9513244381748169</c:v>
                </c:pt>
                <c:pt idx="31" formatCode="0.00">
                  <c:v>4.9513244381748169</c:v>
                </c:pt>
                <c:pt idx="32" formatCode="0.00">
                  <c:v>4.9513244381748169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18.414019966220415</c:v>
                </c:pt>
                <c:pt idx="2">
                  <c:v>18.11193788323466</c:v>
                </c:pt>
                <c:pt idx="3">
                  <c:v>17.772260523902151</c:v>
                </c:pt>
                <c:pt idx="4">
                  <c:v>17.414144069480905</c:v>
                </c:pt>
                <c:pt idx="5">
                  <c:v>16.999241745794041</c:v>
                </c:pt>
                <c:pt idx="6">
                  <c:v>16.894835599155428</c:v>
                </c:pt>
                <c:pt idx="7">
                  <c:v>16.797138609468625</c:v>
                </c:pt>
                <c:pt idx="8">
                  <c:v>16.661144675502275</c:v>
                </c:pt>
                <c:pt idx="9">
                  <c:v>16.5004419075972</c:v>
                </c:pt>
                <c:pt idx="10">
                  <c:v>16.329806020871569</c:v>
                </c:pt>
                <c:pt idx="11">
                  <c:v>16.159577604188513</c:v>
                </c:pt>
                <c:pt idx="12">
                  <c:v>15.993386047806567</c:v>
                </c:pt>
                <c:pt idx="13">
                  <c:v>15.827874015008433</c:v>
                </c:pt>
                <c:pt idx="14">
                  <c:v>15.664646471902252</c:v>
                </c:pt>
                <c:pt idx="15">
                  <c:v>15.501078477384777</c:v>
                </c:pt>
                <c:pt idx="16">
                  <c:v>15.337156482560875</c:v>
                </c:pt>
                <c:pt idx="17">
                  <c:v>15.175754728575345</c:v>
                </c:pt>
                <c:pt idx="18">
                  <c:v>15.012056678939754</c:v>
                </c:pt>
                <c:pt idx="19">
                  <c:v>14.951609520757096</c:v>
                </c:pt>
                <c:pt idx="20">
                  <c:v>14.894141458354214</c:v>
                </c:pt>
                <c:pt idx="21">
                  <c:v>14.838916415814644</c:v>
                </c:pt>
                <c:pt idx="22">
                  <c:v>14.786197539952664</c:v>
                </c:pt>
                <c:pt idx="23">
                  <c:v>14.730902760534704</c:v>
                </c:pt>
                <c:pt idx="24">
                  <c:v>14.677011010701465</c:v>
                </c:pt>
                <c:pt idx="25">
                  <c:v>14.630124593246128</c:v>
                </c:pt>
                <c:pt idx="26">
                  <c:v>14.58707663077354</c:v>
                </c:pt>
                <c:pt idx="27">
                  <c:v>14.546985788258603</c:v>
                </c:pt>
                <c:pt idx="28">
                  <c:v>14.508751058483657</c:v>
                </c:pt>
                <c:pt idx="29">
                  <c:v>14.354699833132784</c:v>
                </c:pt>
                <c:pt idx="30">
                  <c:v>14.259866728031197</c:v>
                </c:pt>
                <c:pt idx="31" formatCode="0.00">
                  <c:v>14.259866728031197</c:v>
                </c:pt>
                <c:pt idx="32" formatCode="0.00">
                  <c:v>14.259866728031197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FTRA!$N$76:$X$76</c:f>
              <c:numCache>
                <c:formatCode>0</c:formatCode>
                <c:ptCount val="11"/>
                <c:pt idx="0">
                  <c:v>18.105321144065741</c:v>
                </c:pt>
                <c:pt idx="1">
                  <c:v>17.844036324411295</c:v>
                </c:pt>
                <c:pt idx="2">
                  <c:v>24.604989710445018</c:v>
                </c:pt>
                <c:pt idx="3">
                  <c:v>35.469886384244894</c:v>
                </c:pt>
                <c:pt idx="4">
                  <c:v>53.05074365970129</c:v>
                </c:pt>
                <c:pt idx="6">
                  <c:v>18.105321144065741</c:v>
                </c:pt>
                <c:pt idx="7">
                  <c:v>17.844036324411295</c:v>
                </c:pt>
                <c:pt idx="8">
                  <c:v>24.604989710445018</c:v>
                </c:pt>
                <c:pt idx="9">
                  <c:v>35.469886384244894</c:v>
                </c:pt>
                <c:pt idx="10">
                  <c:v>53.05074365970129</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FTRA!$N$77:$X$77</c:f>
              <c:numCache>
                <c:formatCode>0</c:formatCode>
                <c:ptCount val="11"/>
                <c:pt idx="0">
                  <c:v>5.1854410334485532</c:v>
                </c:pt>
                <c:pt idx="1">
                  <c:v>5.1106079490490837</c:v>
                </c:pt>
                <c:pt idx="2">
                  <c:v>7.0469737740023231</c:v>
                </c:pt>
                <c:pt idx="3">
                  <c:v>10.158726423303797</c:v>
                </c:pt>
                <c:pt idx="4">
                  <c:v>15.19395877261976</c:v>
                </c:pt>
                <c:pt idx="6">
                  <c:v>5.1854410334485532</c:v>
                </c:pt>
                <c:pt idx="7">
                  <c:v>4.8550775515966293</c:v>
                </c:pt>
                <c:pt idx="8">
                  <c:v>6.3598938310370956</c:v>
                </c:pt>
                <c:pt idx="9">
                  <c:v>8.7098380671800921</c:v>
                </c:pt>
                <c:pt idx="10">
                  <c:v>12.375574382541121</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FTRA!$N$78:$X$78</c:f>
              <c:numCache>
                <c:formatCode>0</c:formatCode>
                <c:ptCount val="11"/>
                <c:pt idx="0">
                  <c:v>1.7286467781628396</c:v>
                </c:pt>
                <c:pt idx="1">
                  <c:v>1.7037000148282078</c:v>
                </c:pt>
                <c:pt idx="2">
                  <c:v>2.349217440069074</c:v>
                </c:pt>
                <c:pt idx="3">
                  <c:v>3.3865681990415109</c:v>
                </c:pt>
                <c:pt idx="4">
                  <c:v>5.0651405946777794</c:v>
                </c:pt>
                <c:pt idx="6">
                  <c:v>1.7286467781628396</c:v>
                </c:pt>
                <c:pt idx="7">
                  <c:v>1.7037000148282078</c:v>
                </c:pt>
                <c:pt idx="8">
                  <c:v>2.1612800448635485</c:v>
                </c:pt>
                <c:pt idx="9">
                  <c:v>2.8975477510999172</c:v>
                </c:pt>
                <c:pt idx="10">
                  <c:v>4.0303728923098676</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FTRA!$N$79:$X$79</c:f>
              <c:numCache>
                <c:formatCode>0</c:formatCode>
                <c:ptCount val="11"/>
                <c:pt idx="0">
                  <c:v>14.330951648884017</c:v>
                </c:pt>
                <c:pt idx="1">
                  <c:v>14.124136200140512</c:v>
                </c:pt>
                <c:pt idx="2">
                  <c:v>19.475651111399912</c:v>
                </c:pt>
                <c:pt idx="3">
                  <c:v>28.075570862250668</c:v>
                </c:pt>
                <c:pt idx="4">
                  <c:v>41.991392269432751</c:v>
                </c:pt>
                <c:pt idx="6">
                  <c:v>14.330951648884017</c:v>
                </c:pt>
                <c:pt idx="7">
                  <c:v>14.124136200140512</c:v>
                </c:pt>
                <c:pt idx="8">
                  <c:v>17.91759902248792</c:v>
                </c:pt>
                <c:pt idx="9">
                  <c:v>24.021458429741671</c:v>
                </c:pt>
                <c:pt idx="10">
                  <c:v>33.412886759925797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FTRA!$N$80:$X$80</c:f>
              <c:numCache>
                <c:formatCode>0</c:formatCode>
                <c:ptCount val="11"/>
                <c:pt idx="0">
                  <c:v>4.766965513065303</c:v>
                </c:pt>
                <c:pt idx="1">
                  <c:v>4.6981716090815304</c:v>
                </c:pt>
                <c:pt idx="2">
                  <c:v>6.4782688175327818</c:v>
                </c:pt>
                <c:pt idx="3">
                  <c:v>9.3388967696637284</c:v>
                </c:pt>
                <c:pt idx="4">
                  <c:v>13.967775741506371</c:v>
                </c:pt>
                <c:pt idx="6">
                  <c:v>4.766965513065303</c:v>
                </c:pt>
                <c:pt idx="7">
                  <c:v>4.6981716090815304</c:v>
                </c:pt>
                <c:pt idx="8">
                  <c:v>5.96000731213016</c:v>
                </c:pt>
                <c:pt idx="9">
                  <c:v>7.9903600761242881</c:v>
                </c:pt>
                <c:pt idx="10">
                  <c:v>11.114270899722554</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FTRA!$N$81:$X$81</c:f>
              <c:numCache>
                <c:formatCode>0</c:formatCode>
                <c:ptCount val="11"/>
                <c:pt idx="0">
                  <c:v>3.140394573345664</c:v>
                </c:pt>
                <c:pt idx="1">
                  <c:v>3.0950743372000948</c:v>
                </c:pt>
                <c:pt idx="2">
                  <c:v>4.2677716428815451</c:v>
                </c:pt>
                <c:pt idx="3">
                  <c:v>6.1523039460020437</c:v>
                </c:pt>
                <c:pt idx="4">
                  <c:v>9.2017294901992521</c:v>
                </c:pt>
                <c:pt idx="6">
                  <c:v>3.140394573345664</c:v>
                </c:pt>
                <c:pt idx="7">
                  <c:v>3.0950743372000948</c:v>
                </c:pt>
                <c:pt idx="8">
                  <c:v>3.9263499114510219</c:v>
                </c:pt>
                <c:pt idx="9">
                  <c:v>5.2639112561993491</c:v>
                </c:pt>
                <c:pt idx="10">
                  <c:v>7.321889769187468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FTRA!$N$82:$X$82</c:f>
              <c:numCache>
                <c:formatCode>0</c:formatCode>
                <c:ptCount val="11"/>
                <c:pt idx="0">
                  <c:v>103.77415584685295</c:v>
                </c:pt>
                <c:pt idx="1">
                  <c:v>102.27655128190302</c:v>
                </c:pt>
                <c:pt idx="2">
                  <c:v>141.02826547535904</c:v>
                </c:pt>
                <c:pt idx="3">
                  <c:v>203.30252571715619</c:v>
                </c:pt>
                <c:pt idx="4">
                  <c:v>304.07061529188735</c:v>
                </c:pt>
                <c:pt idx="6">
                  <c:v>103.77415584685295</c:v>
                </c:pt>
                <c:pt idx="7">
                  <c:v>102.27655128190302</c:v>
                </c:pt>
                <c:pt idx="8">
                  <c:v>129.74600423733031</c:v>
                </c:pt>
                <c:pt idx="9">
                  <c:v>173.94564100359884</c:v>
                </c:pt>
                <c:pt idx="10">
                  <c:v>241.95142115267711</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FTRA!$N$83:$X$83</c:f>
              <c:numCache>
                <c:formatCode>0</c:formatCode>
                <c:ptCount val="11"/>
                <c:pt idx="0">
                  <c:v>29.559861446788599</c:v>
                </c:pt>
                <c:pt idx="1">
                  <c:v>29.133271771539118</c:v>
                </c:pt>
                <c:pt idx="2">
                  <c:v>40.171620318306402</c:v>
                </c:pt>
                <c:pt idx="3">
                  <c:v>57.910319221002453</c:v>
                </c:pt>
                <c:pt idx="4">
                  <c:v>86.613908681970997</c:v>
                </c:pt>
                <c:pt idx="6">
                  <c:v>29.559861446788599</c:v>
                </c:pt>
                <c:pt idx="7">
                  <c:v>29.133271771539118</c:v>
                </c:pt>
                <c:pt idx="8">
                  <c:v>36.957890692841893</c:v>
                </c:pt>
                <c:pt idx="9">
                  <c:v>49.548069125489704</c:v>
                </c:pt>
                <c:pt idx="10">
                  <c:v>68.919380049513791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FTRA!$N$84:$X$84</c:f>
              <c:numCache>
                <c:formatCode>0</c:formatCode>
                <c:ptCount val="11"/>
                <c:pt idx="0">
                  <c:v>1.1361499891342581</c:v>
                </c:pt>
                <c:pt idx="1">
                  <c:v>1.1197537737537513</c:v>
                </c:pt>
                <c:pt idx="2">
                  <c:v>1.544018941709479</c:v>
                </c:pt>
                <c:pt idx="3">
                  <c:v>2.2258158642638475</c:v>
                </c:pt>
                <c:pt idx="4">
                  <c:v>3.3290545554498157</c:v>
                </c:pt>
                <c:pt idx="6">
                  <c:v>1.1361499891342581</c:v>
                </c:pt>
                <c:pt idx="7">
                  <c:v>1.1197537737537513</c:v>
                </c:pt>
                <c:pt idx="8">
                  <c:v>1.4204974263727206</c:v>
                </c:pt>
                <c:pt idx="9">
                  <c:v>1.9044080534641481</c:v>
                </c:pt>
                <c:pt idx="10">
                  <c:v>2.6489553422078624</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FTRA!$N$85:$X$85</c:f>
              <c:numCache>
                <c:formatCode>0</c:formatCode>
                <c:ptCount val="11"/>
                <c:pt idx="0">
                  <c:v>0.9242833336014491</c:v>
                </c:pt>
                <c:pt idx="1">
                  <c:v>0.9109446470237289</c:v>
                </c:pt>
                <c:pt idx="2">
                  <c:v>1.2560938152844343</c:v>
                </c:pt>
                <c:pt idx="3">
                  <c:v>1.8107508046296092</c:v>
                </c:pt>
                <c:pt idx="4">
                  <c:v>2.7082600639699872</c:v>
                </c:pt>
                <c:pt idx="6">
                  <c:v>0.9242833336014491</c:v>
                </c:pt>
                <c:pt idx="7">
                  <c:v>0.9109446470237289</c:v>
                </c:pt>
                <c:pt idx="8">
                  <c:v>1.1556063100616794</c:v>
                </c:pt>
                <c:pt idx="9">
                  <c:v>1.5492783884410937</c:v>
                </c:pt>
                <c:pt idx="10">
                  <c:v>2.1549841989814307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FTRA!$N$86:$X$86</c:f>
              <c:numCache>
                <c:formatCode>0</c:formatCode>
                <c:ptCount val="11"/>
                <c:pt idx="0">
                  <c:v>23.222941169522429</c:v>
                </c:pt>
                <c:pt idx="1">
                  <c:v>22.887802016394883</c:v>
                </c:pt>
                <c:pt idx="2">
                  <c:v>31.559795265473838</c:v>
                </c:pt>
                <c:pt idx="3">
                  <c:v>45.49574560078694</c:v>
                </c:pt>
                <c:pt idx="4">
                  <c:v>68.045978815043583</c:v>
                </c:pt>
                <c:pt idx="6">
                  <c:v>23.222941169522429</c:v>
                </c:pt>
                <c:pt idx="7">
                  <c:v>22.887802016394883</c:v>
                </c:pt>
                <c:pt idx="8">
                  <c:v>48.88546787047725</c:v>
                </c:pt>
                <c:pt idx="9">
                  <c:v>90.577822900637926</c:v>
                </c:pt>
                <c:pt idx="10">
                  <c:v>163.43969443961191</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FTRA!$N$87:$X$87</c:f>
              <c:numCache>
                <c:formatCode>0</c:formatCode>
                <c:ptCount val="11"/>
                <c:pt idx="0">
                  <c:v>26.495264697955154</c:v>
                </c:pt>
                <c:pt idx="1">
                  <c:v>26.112901391432359</c:v>
                </c:pt>
                <c:pt idx="2">
                  <c:v>36.006857325608813</c:v>
                </c:pt>
                <c:pt idx="3">
                  <c:v>51.906509753625137</c:v>
                </c:pt>
                <c:pt idx="4">
                  <c:v>77.634275829890683</c:v>
                </c:pt>
                <c:pt idx="6">
                  <c:v>26.495264697955154</c:v>
                </c:pt>
                <c:pt idx="7">
                  <c:v>26.368431788884816</c:v>
                </c:pt>
                <c:pt idx="8">
                  <c:v>36.693937268574047</c:v>
                </c:pt>
                <c:pt idx="9">
                  <c:v>53.355398109748847</c:v>
                </c:pt>
                <c:pt idx="10">
                  <c:v>80.452660219969331</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FTRA!$N$88:$X$88</c:f>
              <c:numCache>
                <c:formatCode>0</c:formatCode>
                <c:ptCount val="11"/>
                <c:pt idx="0">
                  <c:v>82</c:v>
                </c:pt>
                <c:pt idx="1">
                  <c:v>76.999270969216482</c:v>
                </c:pt>
                <c:pt idx="2">
                  <c:v>98.360314094933585</c:v>
                </c:pt>
                <c:pt idx="3">
                  <c:v>131.72532183616377</c:v>
                </c:pt>
                <c:pt idx="4">
                  <c:v>191.19083656096981</c:v>
                </c:pt>
                <c:pt idx="6">
                  <c:v>82</c:v>
                </c:pt>
                <c:pt idx="7">
                  <c:v>76.999270969216482</c:v>
                </c:pt>
                <c:pt idx="8">
                  <c:v>98.360314094933585</c:v>
                </c:pt>
                <c:pt idx="9">
                  <c:v>131.72532183616377</c:v>
                </c:pt>
                <c:pt idx="10">
                  <c:v>191.19083656096981</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FTRA!$AA$73</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FTRA!$Z$76</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(FTRA!$AA$76:$AF$76,FTRA!$AG$76:$AK$76)</c15:sqref>
                  </c15:fullRef>
                </c:ext>
              </c:extLst>
              <c:f>(FTRA!$AB$76:$AF$76,FTRA!$AH$76:$AK$76)</c:f>
              <c:numCache>
                <c:formatCode>0.00</c:formatCode>
                <c:ptCount val="9"/>
                <c:pt idx="0">
                  <c:v>157.06160363546999</c:v>
                </c:pt>
                <c:pt idx="1">
                  <c:v>216.57090756254266</c:v>
                </c:pt>
                <c:pt idx="2">
                  <c:v>312.20275138401001</c:v>
                </c:pt>
                <c:pt idx="3">
                  <c:v>466.9478766890943</c:v>
                </c:pt>
                <c:pt idx="5">
                  <c:v>157.06160363546999</c:v>
                </c:pt>
                <c:pt idx="6">
                  <c:v>199.24523495753925</c:v>
                </c:pt>
                <c:pt idx="7">
                  <c:v>267.12067408415902</c:v>
                </c:pt>
                <c:pt idx="8">
                  <c:v>371.55416106452589</c:v>
                </c:pt>
              </c:numCache>
            </c:numRef>
          </c:val>
          <c:extLst>
            <c:ext xmlns:c16="http://schemas.microsoft.com/office/drawing/2014/chart" uri="{C3380CC4-5D6E-409C-BE32-E72D297353CC}">
              <c16:uniqueId val="{00000000-CB39-4B29-8840-1732B392D50F}"/>
            </c:ext>
          </c:extLst>
        </c:ser>
        <c:ser>
          <c:idx val="1"/>
          <c:order val="1"/>
          <c:tx>
            <c:strRef>
              <c:f>FTRA!$Z$80</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(FTRA!$AA$77:$AF$77,FTRA!$AG$77:$AK$77)</c15:sqref>
                  </c15:fullRef>
                </c:ext>
              </c:extLst>
              <c:f>(FTRA!$AB$77:$AF$77,FTRA!$AH$77:$AK$77)</c:f>
              <c:numCache>
                <c:formatCode>0.00</c:formatCode>
                <c:ptCount val="9"/>
                <c:pt idx="0">
                  <c:v>22.887802016394883</c:v>
                </c:pt>
                <c:pt idx="1">
                  <c:v>31.559795265473838</c:v>
                </c:pt>
                <c:pt idx="2">
                  <c:v>45.49574560078694</c:v>
                </c:pt>
                <c:pt idx="3">
                  <c:v>68.045978815043583</c:v>
                </c:pt>
                <c:pt idx="5">
                  <c:v>22.887802016394883</c:v>
                </c:pt>
                <c:pt idx="6">
                  <c:v>48.88546787047725</c:v>
                </c:pt>
                <c:pt idx="7">
                  <c:v>90.577822900637926</c:v>
                </c:pt>
                <c:pt idx="8">
                  <c:v>163.43969443961191</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FTRA!$Z$79</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(FTRA!$AA$79:$AF$79,FTRA!$AG$79:$AK$79)</c15:sqref>
                  </c15:fullRef>
                </c:ext>
              </c:extLst>
              <c:f>(FTRA!$AB$79:$AF$79,FTRA!$AH$79:$AK$79)</c:f>
              <c:numCache>
                <c:formatCode>0.00</c:formatCode>
                <c:ptCount val="9"/>
                <c:pt idx="0">
                  <c:v>179.94940565186488</c:v>
                </c:pt>
                <c:pt idx="1">
                  <c:v>248.1307028280165</c:v>
                </c:pt>
                <c:pt idx="2">
                  <c:v>357.69849698479698</c:v>
                </c:pt>
                <c:pt idx="3">
                  <c:v>534.99385550413785</c:v>
                </c:pt>
                <c:pt idx="5">
                  <c:v>179.94940565186488</c:v>
                </c:pt>
                <c:pt idx="6">
                  <c:v>248.1307028280165</c:v>
                </c:pt>
                <c:pt idx="7">
                  <c:v>357.69849698479698</c:v>
                </c:pt>
                <c:pt idx="8">
                  <c:v>534.99385550413785</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FTRA!$D$132</c:f>
              <c:strCache>
                <c:ptCount val="1"/>
                <c:pt idx="0">
                  <c:v>TFLCV</c:v>
                </c:pt>
              </c:strCache>
            </c:strRef>
          </c:tx>
          <c:spPr>
            <a:ln w="28575" cap="rnd">
              <a:solidFill>
                <a:schemeClr val="accent1"/>
              </a:solidFill>
              <a:round/>
            </a:ln>
            <a:effectLst/>
          </c:spPr>
          <c:marker>
            <c:symbol val="none"/>
          </c:marker>
          <c:val>
            <c:numRef>
              <c:f>FTRA!$J$132:$AP$132</c:f>
              <c:numCache>
                <c:formatCode>0.00</c:formatCode>
                <c:ptCount val="33"/>
                <c:pt idx="0">
                  <c:v>43.11250375056882</c:v>
                </c:pt>
                <c:pt idx="1">
                  <c:v>43.541669167045889</c:v>
                </c:pt>
                <c:pt idx="2">
                  <c:v>43.970834583522958</c:v>
                </c:pt>
                <c:pt idx="3">
                  <c:v>44.4</c:v>
                </c:pt>
                <c:pt idx="4">
                  <c:v>44.871410582810697</c:v>
                </c:pt>
                <c:pt idx="5">
                  <c:v>45.342821165621402</c:v>
                </c:pt>
                <c:pt idx="6">
                  <c:v>45.179311841840047</c:v>
                </c:pt>
                <c:pt idx="7">
                  <c:v>45.015802518058692</c:v>
                </c:pt>
                <c:pt idx="8">
                  <c:v>44.85229319427733</c:v>
                </c:pt>
                <c:pt idx="9">
                  <c:v>46.551708382803803</c:v>
                </c:pt>
                <c:pt idx="10">
                  <c:v>48.251123571330275</c:v>
                </c:pt>
                <c:pt idx="11">
                  <c:v>49.950538759856748</c:v>
                </c:pt>
                <c:pt idx="12">
                  <c:v>51.649953948383221</c:v>
                </c:pt>
                <c:pt idx="13">
                  <c:v>53.349369136909694</c:v>
                </c:pt>
                <c:pt idx="14">
                  <c:v>55.048784325436166</c:v>
                </c:pt>
                <c:pt idx="15">
                  <c:v>56.748199513962639</c:v>
                </c:pt>
                <c:pt idx="16">
                  <c:v>58.447614702489112</c:v>
                </c:pt>
                <c:pt idx="17">
                  <c:v>60.147029891015585</c:v>
                </c:pt>
                <c:pt idx="18">
                  <c:v>61.846445079542072</c:v>
                </c:pt>
                <c:pt idx="19">
                  <c:v>64.577416493628107</c:v>
                </c:pt>
                <c:pt idx="20">
                  <c:v>67.308387907714135</c:v>
                </c:pt>
                <c:pt idx="21">
                  <c:v>70.039359321800163</c:v>
                </c:pt>
                <c:pt idx="22">
                  <c:v>72.770330735886191</c:v>
                </c:pt>
                <c:pt idx="23">
                  <c:v>75.501302149972219</c:v>
                </c:pt>
                <c:pt idx="24">
                  <c:v>78.232273564058247</c:v>
                </c:pt>
                <c:pt idx="25">
                  <c:v>80.963244978144274</c:v>
                </c:pt>
                <c:pt idx="26">
                  <c:v>83.694216392230302</c:v>
                </c:pt>
                <c:pt idx="27">
                  <c:v>86.42518780631633</c:v>
                </c:pt>
                <c:pt idx="28">
                  <c:v>89.156159220402401</c:v>
                </c:pt>
                <c:pt idx="29">
                  <c:v>111.25154590280788</c:v>
                </c:pt>
                <c:pt idx="30">
                  <c:v>133.34693258521338</c:v>
                </c:pt>
                <c:pt idx="31">
                  <c:v>133.34693258521338</c:v>
                </c:pt>
                <c:pt idx="32">
                  <c:v>133.34693258521338</c:v>
                </c:pt>
              </c:numCache>
            </c:numRef>
          </c:val>
          <c:smooth val="0"/>
          <c:extLst>
            <c:ext xmlns:c16="http://schemas.microsoft.com/office/drawing/2014/chart" uri="{C3380CC4-5D6E-409C-BE32-E72D297353CC}">
              <c16:uniqueId val="{00000000-0508-41EF-997E-2D4DC5CCF4A0}"/>
            </c:ext>
          </c:extLst>
        </c:ser>
        <c:ser>
          <c:idx val="1"/>
          <c:order val="1"/>
          <c:tx>
            <c:strRef>
              <c:f>FTRA!$D$133</c:f>
              <c:strCache>
                <c:ptCount val="1"/>
                <c:pt idx="0">
                  <c:v>TFHCV1</c:v>
                </c:pt>
              </c:strCache>
            </c:strRef>
          </c:tx>
          <c:spPr>
            <a:ln w="28575" cap="rnd">
              <a:solidFill>
                <a:schemeClr val="accent2"/>
              </a:solidFill>
              <a:round/>
            </a:ln>
            <a:effectLst/>
          </c:spPr>
          <c:marker>
            <c:symbol val="none"/>
          </c:marker>
          <c:val>
            <c:numRef>
              <c:f>FTRA!$J$133:$AP$133</c:f>
              <c:numCache>
                <c:formatCode>0.00</c:formatCode>
                <c:ptCount val="33"/>
                <c:pt idx="0">
                  <c:v>3.310563752317667</c:v>
                </c:pt>
                <c:pt idx="1">
                  <c:v>3.3405637523176668</c:v>
                </c:pt>
                <c:pt idx="2">
                  <c:v>3.3705637523176666</c:v>
                </c:pt>
                <c:pt idx="3">
                  <c:v>3.4</c:v>
                </c:pt>
                <c:pt idx="4">
                  <c:v>3.4249999999999998</c:v>
                </c:pt>
                <c:pt idx="5">
                  <c:v>3.45</c:v>
                </c:pt>
                <c:pt idx="6">
                  <c:v>3.3904650521296027</c:v>
                </c:pt>
                <c:pt idx="7">
                  <c:v>3.3309301042592052</c:v>
                </c:pt>
                <c:pt idx="8">
                  <c:v>3.2713951563888077</c:v>
                </c:pt>
                <c:pt idx="9">
                  <c:v>3.3727910380302379</c:v>
                </c:pt>
                <c:pt idx="10">
                  <c:v>3.4741869196716682</c:v>
                </c:pt>
                <c:pt idx="11">
                  <c:v>3.5755828013130984</c:v>
                </c:pt>
                <c:pt idx="12">
                  <c:v>3.6769786829545286</c:v>
                </c:pt>
                <c:pt idx="13">
                  <c:v>3.7783745645959588</c:v>
                </c:pt>
                <c:pt idx="14">
                  <c:v>3.879770446237389</c:v>
                </c:pt>
                <c:pt idx="15">
                  <c:v>3.9811663278788192</c:v>
                </c:pt>
                <c:pt idx="16">
                  <c:v>4.0825622095202494</c:v>
                </c:pt>
                <c:pt idx="17">
                  <c:v>4.1839580911616796</c:v>
                </c:pt>
                <c:pt idx="18">
                  <c:v>4.2853539728031098</c:v>
                </c:pt>
                <c:pt idx="19">
                  <c:v>4.4436953403755775</c:v>
                </c:pt>
                <c:pt idx="20">
                  <c:v>4.6020367079480451</c:v>
                </c:pt>
                <c:pt idx="21">
                  <c:v>4.7603780755205127</c:v>
                </c:pt>
                <c:pt idx="22">
                  <c:v>4.9187194430929804</c:v>
                </c:pt>
                <c:pt idx="23">
                  <c:v>5.077060810665448</c:v>
                </c:pt>
                <c:pt idx="24">
                  <c:v>5.2354021782379156</c:v>
                </c:pt>
                <c:pt idx="25">
                  <c:v>5.3937435458103833</c:v>
                </c:pt>
                <c:pt idx="26">
                  <c:v>5.5520849133828509</c:v>
                </c:pt>
                <c:pt idx="27">
                  <c:v>5.7104262809553186</c:v>
                </c:pt>
                <c:pt idx="28">
                  <c:v>5.8687676485277898</c:v>
                </c:pt>
                <c:pt idx="29">
                  <c:v>7.103770786915037</c:v>
                </c:pt>
                <c:pt idx="30">
                  <c:v>8.3387739253022843</c:v>
                </c:pt>
                <c:pt idx="31">
                  <c:v>8.3387739253022843</c:v>
                </c:pt>
                <c:pt idx="32">
                  <c:v>8.3387739253022843</c:v>
                </c:pt>
              </c:numCache>
            </c:numRef>
          </c:val>
          <c:smooth val="0"/>
          <c:extLst>
            <c:ext xmlns:c16="http://schemas.microsoft.com/office/drawing/2014/chart" uri="{C3380CC4-5D6E-409C-BE32-E72D297353CC}">
              <c16:uniqueId val="{00000001-0508-41EF-997E-2D4DC5CCF4A0}"/>
            </c:ext>
          </c:extLst>
        </c:ser>
        <c:ser>
          <c:idx val="2"/>
          <c:order val="2"/>
          <c:tx>
            <c:strRef>
              <c:f>FTRA!$D$134</c:f>
              <c:strCache>
                <c:ptCount val="1"/>
                <c:pt idx="0">
                  <c:v>TFHCV2</c:v>
                </c:pt>
              </c:strCache>
            </c:strRef>
          </c:tx>
          <c:spPr>
            <a:ln w="28575" cap="rnd">
              <a:solidFill>
                <a:schemeClr val="accent3"/>
              </a:solidFill>
              <a:round/>
            </a:ln>
            <a:effectLst/>
          </c:spPr>
          <c:marker>
            <c:symbol val="none"/>
          </c:marker>
          <c:val>
            <c:numRef>
              <c:f>FTRA!$J$134:$AP$134</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0.71774213313838819</c:v>
                </c:pt>
                <c:pt idx="7">
                  <c:v>0.69947482803025129</c:v>
                </c:pt>
                <c:pt idx="8">
                  <c:v>0.68120752292211428</c:v>
                </c:pt>
                <c:pt idx="9">
                  <c:v>0.69950340577038861</c:v>
                </c:pt>
                <c:pt idx="10">
                  <c:v>0.71779928861866293</c:v>
                </c:pt>
                <c:pt idx="11">
                  <c:v>0.73609517146693726</c:v>
                </c:pt>
                <c:pt idx="12">
                  <c:v>0.75439105431521158</c:v>
                </c:pt>
                <c:pt idx="13">
                  <c:v>0.77268693716348591</c:v>
                </c:pt>
                <c:pt idx="14">
                  <c:v>0.79098282001176023</c:v>
                </c:pt>
                <c:pt idx="15">
                  <c:v>0.80927870286003456</c:v>
                </c:pt>
                <c:pt idx="16">
                  <c:v>0.82757458570830889</c:v>
                </c:pt>
                <c:pt idx="17">
                  <c:v>0.84587046855658321</c:v>
                </c:pt>
                <c:pt idx="18">
                  <c:v>0.86416635140485754</c:v>
                </c:pt>
                <c:pt idx="19">
                  <c:v>0.89360528408124174</c:v>
                </c:pt>
                <c:pt idx="20">
                  <c:v>0.92304421675762593</c:v>
                </c:pt>
                <c:pt idx="21">
                  <c:v>0.95248314943401013</c:v>
                </c:pt>
                <c:pt idx="22">
                  <c:v>0.98192208211039433</c:v>
                </c:pt>
                <c:pt idx="23">
                  <c:v>1.0113610147867784</c:v>
                </c:pt>
                <c:pt idx="24">
                  <c:v>1.0407999474631626</c:v>
                </c:pt>
                <c:pt idx="25">
                  <c:v>1.0702388801395468</c:v>
                </c:pt>
                <c:pt idx="26">
                  <c:v>1.099677812815931</c:v>
                </c:pt>
                <c:pt idx="27">
                  <c:v>1.1291167454923152</c:v>
                </c:pt>
                <c:pt idx="28">
                  <c:v>1.1585556781686994</c:v>
                </c:pt>
                <c:pt idx="29">
                  <c:v>1.3850301166353032</c:v>
                </c:pt>
                <c:pt idx="30">
                  <c:v>1.6115045551019063</c:v>
                </c:pt>
                <c:pt idx="31">
                  <c:v>1.6115045551019063</c:v>
                </c:pt>
                <c:pt idx="32">
                  <c:v>1.6115045551019063</c:v>
                </c:pt>
              </c:numCache>
            </c:numRef>
          </c:val>
          <c:smooth val="0"/>
          <c:extLst>
            <c:ext xmlns:c16="http://schemas.microsoft.com/office/drawing/2014/chart" uri="{C3380CC4-5D6E-409C-BE32-E72D297353CC}">
              <c16:uniqueId val="{00000002-0508-41EF-997E-2D4DC5CCF4A0}"/>
            </c:ext>
          </c:extLst>
        </c:ser>
        <c:ser>
          <c:idx val="3"/>
          <c:order val="3"/>
          <c:tx>
            <c:strRef>
              <c:f>FTRA!$D$135</c:f>
              <c:strCache>
                <c:ptCount val="1"/>
                <c:pt idx="0">
                  <c:v>TFHCV3</c:v>
                </c:pt>
              </c:strCache>
            </c:strRef>
          </c:tx>
          <c:spPr>
            <a:ln w="28575" cap="rnd">
              <a:solidFill>
                <a:schemeClr val="accent4"/>
              </a:solidFill>
              <a:round/>
            </a:ln>
            <a:effectLst/>
          </c:spPr>
          <c:marker>
            <c:symbol val="none"/>
          </c:marker>
          <c:val>
            <c:numRef>
              <c:f>FTRA!$J$135:$AP$135</c:f>
              <c:numCache>
                <c:formatCode>0.00</c:formatCode>
                <c:ptCount val="33"/>
                <c:pt idx="0">
                  <c:v>2.7114063478211388</c:v>
                </c:pt>
                <c:pt idx="1">
                  <c:v>2.7742708985474289</c:v>
                </c:pt>
                <c:pt idx="2">
                  <c:v>2.8371354492737191</c:v>
                </c:pt>
                <c:pt idx="3">
                  <c:v>2.9</c:v>
                </c:pt>
                <c:pt idx="4">
                  <c:v>2.9652984627095749</c:v>
                </c:pt>
                <c:pt idx="5">
                  <c:v>3.0305969254191498</c:v>
                </c:pt>
                <c:pt idx="6">
                  <c:v>2.9606726726268029</c:v>
                </c:pt>
                <c:pt idx="7">
                  <c:v>2.890748419834456</c:v>
                </c:pt>
                <c:pt idx="8">
                  <c:v>2.8208241670421086</c:v>
                </c:pt>
                <c:pt idx="9">
                  <c:v>2.8965859088889969</c:v>
                </c:pt>
                <c:pt idx="10">
                  <c:v>2.9723476507358848</c:v>
                </c:pt>
                <c:pt idx="11">
                  <c:v>3.0481093925827727</c:v>
                </c:pt>
                <c:pt idx="12">
                  <c:v>3.1238711344296606</c:v>
                </c:pt>
                <c:pt idx="13">
                  <c:v>3.1996328762765485</c:v>
                </c:pt>
                <c:pt idx="14">
                  <c:v>3.2753946181234364</c:v>
                </c:pt>
                <c:pt idx="15">
                  <c:v>3.3511563599703242</c:v>
                </c:pt>
                <c:pt idx="16">
                  <c:v>3.4269181018172121</c:v>
                </c:pt>
                <c:pt idx="17">
                  <c:v>3.5026798436641</c:v>
                </c:pt>
                <c:pt idx="18">
                  <c:v>3.5784415855109897</c:v>
                </c:pt>
                <c:pt idx="19">
                  <c:v>3.700345777627442</c:v>
                </c:pt>
                <c:pt idx="20">
                  <c:v>3.8222499697438943</c:v>
                </c:pt>
                <c:pt idx="21">
                  <c:v>3.9441541618603466</c:v>
                </c:pt>
                <c:pt idx="22">
                  <c:v>4.0660583539767989</c:v>
                </c:pt>
                <c:pt idx="23">
                  <c:v>4.1879625460932512</c:v>
                </c:pt>
                <c:pt idx="24">
                  <c:v>4.3098667382097036</c:v>
                </c:pt>
                <c:pt idx="25">
                  <c:v>4.4317709303261559</c:v>
                </c:pt>
                <c:pt idx="26">
                  <c:v>4.5536751224426082</c:v>
                </c:pt>
                <c:pt idx="27">
                  <c:v>4.6755793145590605</c:v>
                </c:pt>
                <c:pt idx="28">
                  <c:v>4.7974835066755146</c:v>
                </c:pt>
                <c:pt idx="29">
                  <c:v>5.7352954769595375</c:v>
                </c:pt>
                <c:pt idx="30">
                  <c:v>6.6731074472435576</c:v>
                </c:pt>
                <c:pt idx="31">
                  <c:v>6.6731074472435576</c:v>
                </c:pt>
                <c:pt idx="32">
                  <c:v>6.6731074472435576</c:v>
                </c:pt>
              </c:numCache>
            </c:numRef>
          </c:val>
          <c:smooth val="0"/>
          <c:extLst>
            <c:ext xmlns:c16="http://schemas.microsoft.com/office/drawing/2014/chart" uri="{C3380CC4-5D6E-409C-BE32-E72D297353CC}">
              <c16:uniqueId val="{00000003-0508-41EF-997E-2D4DC5CCF4A0}"/>
            </c:ext>
          </c:extLst>
        </c:ser>
        <c:ser>
          <c:idx val="4"/>
          <c:order val="4"/>
          <c:tx>
            <c:strRef>
              <c:f>FTRA!$D$136</c:f>
              <c:strCache>
                <c:ptCount val="1"/>
                <c:pt idx="0">
                  <c:v>TFHCV4</c:v>
                </c:pt>
              </c:strCache>
            </c:strRef>
          </c:tx>
          <c:spPr>
            <a:ln w="28575" cap="rnd">
              <a:solidFill>
                <a:schemeClr val="accent5"/>
              </a:solidFill>
              <a:round/>
            </a:ln>
            <a:effectLst/>
          </c:spPr>
          <c:marker>
            <c:symbol val="none"/>
          </c:marker>
          <c:val>
            <c:numRef>
              <c:f>FTRA!$J$136:$AP$136</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0.56028851311836958</c:v>
                </c:pt>
                <c:pt idx="7">
                  <c:v>0.57677002623673912</c:v>
                </c:pt>
                <c:pt idx="8">
                  <c:v>0.59325153935510855</c:v>
                </c:pt>
                <c:pt idx="9">
                  <c:v>0.6091850989509271</c:v>
                </c:pt>
                <c:pt idx="10">
                  <c:v>0.62511865854674564</c:v>
                </c:pt>
                <c:pt idx="11">
                  <c:v>0.64105221814256419</c:v>
                </c:pt>
                <c:pt idx="12">
                  <c:v>0.65698577773838274</c:v>
                </c:pt>
                <c:pt idx="13">
                  <c:v>0.67291933733420128</c:v>
                </c:pt>
                <c:pt idx="14">
                  <c:v>0.68885289693001983</c:v>
                </c:pt>
                <c:pt idx="15">
                  <c:v>0.70478645652583838</c:v>
                </c:pt>
                <c:pt idx="16">
                  <c:v>0.72072001612165693</c:v>
                </c:pt>
                <c:pt idx="17">
                  <c:v>0.73665357571747547</c:v>
                </c:pt>
                <c:pt idx="18">
                  <c:v>0.75258713531329446</c:v>
                </c:pt>
                <c:pt idx="19">
                  <c:v>0.7782249792001612</c:v>
                </c:pt>
                <c:pt idx="20">
                  <c:v>0.80386282308702794</c:v>
                </c:pt>
                <c:pt idx="21">
                  <c:v>0.82950066697389468</c:v>
                </c:pt>
                <c:pt idx="22">
                  <c:v>0.85513851086076142</c:v>
                </c:pt>
                <c:pt idx="23">
                  <c:v>0.88077635474762817</c:v>
                </c:pt>
                <c:pt idx="24">
                  <c:v>0.90641419863449491</c:v>
                </c:pt>
                <c:pt idx="25">
                  <c:v>0.93205204252136165</c:v>
                </c:pt>
                <c:pt idx="26">
                  <c:v>0.95768988640822839</c:v>
                </c:pt>
                <c:pt idx="27">
                  <c:v>0.98332773029509513</c:v>
                </c:pt>
                <c:pt idx="28">
                  <c:v>1.0089655741819614</c:v>
                </c:pt>
                <c:pt idx="29">
                  <c:v>1.2061981424139745</c:v>
                </c:pt>
                <c:pt idx="30">
                  <c:v>1.4034307106459869</c:v>
                </c:pt>
                <c:pt idx="31">
                  <c:v>1.4034307106459869</c:v>
                </c:pt>
                <c:pt idx="32">
                  <c:v>1.4034307106459869</c:v>
                </c:pt>
              </c:numCache>
            </c:numRef>
          </c:val>
          <c:smooth val="0"/>
          <c:extLst>
            <c:ext xmlns:c16="http://schemas.microsoft.com/office/drawing/2014/chart" uri="{C3380CC4-5D6E-409C-BE32-E72D297353CC}">
              <c16:uniqueId val="{00000004-0508-41EF-997E-2D4DC5CCF4A0}"/>
            </c:ext>
          </c:extLst>
        </c:ser>
        <c:ser>
          <c:idx val="5"/>
          <c:order val="5"/>
          <c:tx>
            <c:strRef>
              <c:f>FTRA!$D$137</c:f>
              <c:strCache>
                <c:ptCount val="1"/>
                <c:pt idx="0">
                  <c:v>TFHCV5</c:v>
                </c:pt>
              </c:strCache>
            </c:strRef>
          </c:tx>
          <c:spPr>
            <a:ln w="28575" cap="rnd">
              <a:solidFill>
                <a:schemeClr val="accent6"/>
              </a:solidFill>
              <a:round/>
            </a:ln>
            <a:effectLst/>
          </c:spPr>
          <c:marker>
            <c:symbol val="none"/>
          </c:marker>
          <c:val>
            <c:numRef>
              <c:f>FTRA!$J$137:$AP$137</c:f>
              <c:numCache>
                <c:formatCode>0.00</c:formatCode>
                <c:ptCount val="33"/>
                <c:pt idx="0">
                  <c:v>0.27326501935541331</c:v>
                </c:pt>
                <c:pt idx="1">
                  <c:v>0.27740453823694228</c:v>
                </c:pt>
                <c:pt idx="2">
                  <c:v>0.28154405711847125</c:v>
                </c:pt>
                <c:pt idx="3">
                  <c:v>0.28568357599999999</c:v>
                </c:pt>
                <c:pt idx="4">
                  <c:v>0.2876204765</c:v>
                </c:pt>
                <c:pt idx="5">
                  <c:v>0.289557377</c:v>
                </c:pt>
                <c:pt idx="6">
                  <c:v>0.28780242801534867</c:v>
                </c:pt>
                <c:pt idx="7">
                  <c:v>0.28604747903069733</c:v>
                </c:pt>
                <c:pt idx="8">
                  <c:v>0.28429253004604604</c:v>
                </c:pt>
                <c:pt idx="9">
                  <c:v>0.29192806349119954</c:v>
                </c:pt>
                <c:pt idx="10">
                  <c:v>0.29956359693635304</c:v>
                </c:pt>
                <c:pt idx="11">
                  <c:v>0.30719913038150654</c:v>
                </c:pt>
                <c:pt idx="12">
                  <c:v>0.31483466382666003</c:v>
                </c:pt>
                <c:pt idx="13">
                  <c:v>0.32247019727181353</c:v>
                </c:pt>
                <c:pt idx="14">
                  <c:v>0.33010573071696703</c:v>
                </c:pt>
                <c:pt idx="15">
                  <c:v>0.33774126416212052</c:v>
                </c:pt>
                <c:pt idx="16">
                  <c:v>0.34537679760727402</c:v>
                </c:pt>
                <c:pt idx="17">
                  <c:v>0.35301233105242752</c:v>
                </c:pt>
                <c:pt idx="18">
                  <c:v>0.36064786449758096</c:v>
                </c:pt>
                <c:pt idx="19">
                  <c:v>0.37293379554033218</c:v>
                </c:pt>
                <c:pt idx="20">
                  <c:v>0.3852197265830834</c:v>
                </c:pt>
                <c:pt idx="21">
                  <c:v>0.39750565762583462</c:v>
                </c:pt>
                <c:pt idx="22">
                  <c:v>0.40979158866858584</c:v>
                </c:pt>
                <c:pt idx="23">
                  <c:v>0.42207751971133706</c:v>
                </c:pt>
                <c:pt idx="24">
                  <c:v>0.43436345075408828</c:v>
                </c:pt>
                <c:pt idx="25">
                  <c:v>0.4466493817968395</c:v>
                </c:pt>
                <c:pt idx="26">
                  <c:v>0.45893531283959071</c:v>
                </c:pt>
                <c:pt idx="27">
                  <c:v>0.47122124388234193</c:v>
                </c:pt>
                <c:pt idx="28">
                  <c:v>0.48350717492509332</c:v>
                </c:pt>
                <c:pt idx="29">
                  <c:v>0.5780231468366217</c:v>
                </c:pt>
                <c:pt idx="30">
                  <c:v>0.67253911874814976</c:v>
                </c:pt>
                <c:pt idx="31">
                  <c:v>0.67253911874814976</c:v>
                </c:pt>
                <c:pt idx="32">
                  <c:v>0.67253911874814976</c:v>
                </c:pt>
              </c:numCache>
            </c:numRef>
          </c:val>
          <c:smooth val="0"/>
          <c:extLst>
            <c:ext xmlns:c16="http://schemas.microsoft.com/office/drawing/2014/chart" uri="{C3380CC4-5D6E-409C-BE32-E72D297353CC}">
              <c16:uniqueId val="{00000005-0508-41EF-997E-2D4DC5CCF4A0}"/>
            </c:ext>
          </c:extLst>
        </c:ser>
        <c:ser>
          <c:idx val="6"/>
          <c:order val="6"/>
          <c:tx>
            <c:strRef>
              <c:f>FTRA!$D$138</c:f>
              <c:strCache>
                <c:ptCount val="1"/>
                <c:pt idx="0">
                  <c:v>TFHCV6</c:v>
                </c:pt>
              </c:strCache>
            </c:strRef>
          </c:tx>
          <c:spPr>
            <a:ln w="28575" cap="rnd">
              <a:solidFill>
                <a:schemeClr val="accent1">
                  <a:lumMod val="60000"/>
                </a:schemeClr>
              </a:solidFill>
              <a:round/>
            </a:ln>
            <a:effectLst/>
          </c:spPr>
          <c:marker>
            <c:symbol val="none"/>
          </c:marker>
          <c:val>
            <c:numRef>
              <c:f>FTRA!$J$138:$AP$138</c:f>
              <c:numCache>
                <c:formatCode>0.00</c:formatCode>
                <c:ptCount val="33"/>
                <c:pt idx="0">
                  <c:v>5.0361375113209643</c:v>
                </c:pt>
                <c:pt idx="1">
                  <c:v>5.3607583408806443</c:v>
                </c:pt>
                <c:pt idx="2">
                  <c:v>5.6853791704403243</c:v>
                </c:pt>
                <c:pt idx="3">
                  <c:v>6.01</c:v>
                </c:pt>
                <c:pt idx="4">
                  <c:v>6.3253919226144593</c:v>
                </c:pt>
                <c:pt idx="5">
                  <c:v>6.6407838452289196</c:v>
                </c:pt>
                <c:pt idx="6">
                  <c:v>6.1736455678261564</c:v>
                </c:pt>
                <c:pt idx="7">
                  <c:v>5.7065072904233931</c:v>
                </c:pt>
                <c:pt idx="8">
                  <c:v>5.239369013020629</c:v>
                </c:pt>
                <c:pt idx="9">
                  <c:v>5.3800880720966457</c:v>
                </c:pt>
                <c:pt idx="10">
                  <c:v>5.5208071311726625</c:v>
                </c:pt>
                <c:pt idx="11">
                  <c:v>5.6615261902486793</c:v>
                </c:pt>
                <c:pt idx="12">
                  <c:v>5.8022452493246961</c:v>
                </c:pt>
                <c:pt idx="13">
                  <c:v>5.9429643084007129</c:v>
                </c:pt>
                <c:pt idx="14">
                  <c:v>6.0836833674767297</c:v>
                </c:pt>
                <c:pt idx="15">
                  <c:v>6.2244024265527464</c:v>
                </c:pt>
                <c:pt idx="16">
                  <c:v>6.3651214856287632</c:v>
                </c:pt>
                <c:pt idx="17">
                  <c:v>6.50584054470478</c:v>
                </c:pt>
                <c:pt idx="18">
                  <c:v>6.6465596037807968</c:v>
                </c:pt>
                <c:pt idx="19">
                  <c:v>6.8729831626097013</c:v>
                </c:pt>
                <c:pt idx="20">
                  <c:v>7.0994067214386058</c:v>
                </c:pt>
                <c:pt idx="21">
                  <c:v>7.3258302802675104</c:v>
                </c:pt>
                <c:pt idx="22">
                  <c:v>7.5522538390964149</c:v>
                </c:pt>
                <c:pt idx="23">
                  <c:v>7.7786773979253194</c:v>
                </c:pt>
                <c:pt idx="24">
                  <c:v>8.0051009567542248</c:v>
                </c:pt>
                <c:pt idx="25">
                  <c:v>8.2315245155831303</c:v>
                </c:pt>
                <c:pt idx="26">
                  <c:v>8.4579480744120357</c:v>
                </c:pt>
                <c:pt idx="27">
                  <c:v>8.6843716332409411</c:v>
                </c:pt>
                <c:pt idx="28">
                  <c:v>8.9107951920698447</c:v>
                </c:pt>
                <c:pt idx="29">
                  <c:v>10.652677240073647</c:v>
                </c:pt>
                <c:pt idx="30">
                  <c:v>12.394559288077447</c:v>
                </c:pt>
                <c:pt idx="31">
                  <c:v>12.394559288077447</c:v>
                </c:pt>
                <c:pt idx="32">
                  <c:v>12.394559288077447</c:v>
                </c:pt>
              </c:numCache>
            </c:numRef>
          </c:val>
          <c:smooth val="0"/>
          <c:extLst>
            <c:ext xmlns:c16="http://schemas.microsoft.com/office/drawing/2014/chart" uri="{C3380CC4-5D6E-409C-BE32-E72D297353CC}">
              <c16:uniqueId val="{00000006-0508-41EF-997E-2D4DC5CCF4A0}"/>
            </c:ext>
          </c:extLst>
        </c:ser>
        <c:ser>
          <c:idx val="7"/>
          <c:order val="7"/>
          <c:tx>
            <c:strRef>
              <c:f>FTRA!$D$139</c:f>
              <c:strCache>
                <c:ptCount val="1"/>
                <c:pt idx="0">
                  <c:v>TFHCV7</c:v>
                </c:pt>
              </c:strCache>
            </c:strRef>
          </c:tx>
          <c:spPr>
            <a:ln w="28575" cap="rnd">
              <a:solidFill>
                <a:schemeClr val="accent2">
                  <a:lumMod val="60000"/>
                </a:schemeClr>
              </a:solidFill>
              <a:round/>
            </a:ln>
            <a:effectLst/>
          </c:spPr>
          <c:marker>
            <c:symbol val="none"/>
          </c:marker>
          <c:val>
            <c:numRef>
              <c:f>FTRA!$J$139:$AP$139</c:f>
              <c:numCache>
                <c:formatCode>0.00</c:formatCode>
                <c:ptCount val="33"/>
                <c:pt idx="0">
                  <c:v>1.5653068685251963</c:v>
                </c:pt>
                <c:pt idx="1">
                  <c:v>1.6102045790167996</c:v>
                </c:pt>
                <c:pt idx="2">
                  <c:v>1.6551022895084029</c:v>
                </c:pt>
                <c:pt idx="3">
                  <c:v>1.7</c:v>
                </c:pt>
                <c:pt idx="4">
                  <c:v>1.74</c:v>
                </c:pt>
                <c:pt idx="5">
                  <c:v>1.78</c:v>
                </c:pt>
                <c:pt idx="6">
                  <c:v>1.7294914197228428</c:v>
                </c:pt>
                <c:pt idx="7">
                  <c:v>1.6789828394456856</c:v>
                </c:pt>
                <c:pt idx="8">
                  <c:v>1.6284742591685284</c:v>
                </c:pt>
                <c:pt idx="9">
                  <c:v>1.6722118475900001</c:v>
                </c:pt>
                <c:pt idx="10">
                  <c:v>1.7159494360114718</c:v>
                </c:pt>
                <c:pt idx="11">
                  <c:v>1.7596870244329434</c:v>
                </c:pt>
                <c:pt idx="12">
                  <c:v>1.8034246128544151</c:v>
                </c:pt>
                <c:pt idx="13">
                  <c:v>1.8471622012758868</c:v>
                </c:pt>
                <c:pt idx="14">
                  <c:v>1.8908997896973585</c:v>
                </c:pt>
                <c:pt idx="15">
                  <c:v>1.9346373781188302</c:v>
                </c:pt>
                <c:pt idx="16">
                  <c:v>1.9783749665403019</c:v>
                </c:pt>
                <c:pt idx="17">
                  <c:v>2.0221125549617738</c:v>
                </c:pt>
                <c:pt idx="18">
                  <c:v>2.0658501433832459</c:v>
                </c:pt>
                <c:pt idx="19">
                  <c:v>2.1362259722866623</c:v>
                </c:pt>
                <c:pt idx="20">
                  <c:v>2.2066018011900788</c:v>
                </c:pt>
                <c:pt idx="21">
                  <c:v>2.2769776300934952</c:v>
                </c:pt>
                <c:pt idx="22">
                  <c:v>2.3473534589969116</c:v>
                </c:pt>
                <c:pt idx="23">
                  <c:v>2.417729287900328</c:v>
                </c:pt>
                <c:pt idx="24">
                  <c:v>2.4881051168037445</c:v>
                </c:pt>
                <c:pt idx="25">
                  <c:v>2.5584809457071609</c:v>
                </c:pt>
                <c:pt idx="26">
                  <c:v>2.6288567746105773</c:v>
                </c:pt>
                <c:pt idx="27">
                  <c:v>2.6992326035139937</c:v>
                </c:pt>
                <c:pt idx="28">
                  <c:v>2.7696084324174115</c:v>
                </c:pt>
                <c:pt idx="29">
                  <c:v>3.3110114278224962</c:v>
                </c:pt>
                <c:pt idx="30">
                  <c:v>3.852414423227581</c:v>
                </c:pt>
                <c:pt idx="31">
                  <c:v>3.852414423227581</c:v>
                </c:pt>
                <c:pt idx="32">
                  <c:v>3.852414423227581</c:v>
                </c:pt>
              </c:numCache>
            </c:numRef>
          </c:val>
          <c:smooth val="0"/>
          <c:extLst>
            <c:ext xmlns:c16="http://schemas.microsoft.com/office/drawing/2014/chart" uri="{C3380CC4-5D6E-409C-BE32-E72D297353CC}">
              <c16:uniqueId val="{00000007-0508-41EF-997E-2D4DC5CCF4A0}"/>
            </c:ext>
          </c:extLst>
        </c:ser>
        <c:ser>
          <c:idx val="8"/>
          <c:order val="8"/>
          <c:tx>
            <c:strRef>
              <c:f>FTRA!$D$140</c:f>
              <c:strCache>
                <c:ptCount val="1"/>
                <c:pt idx="0">
                  <c:v>TFHCV8</c:v>
                </c:pt>
              </c:strCache>
            </c:strRef>
          </c:tx>
          <c:spPr>
            <a:ln w="28575" cap="rnd">
              <a:solidFill>
                <a:schemeClr val="accent3">
                  <a:lumMod val="60000"/>
                </a:schemeClr>
              </a:solidFill>
              <a:round/>
            </a:ln>
            <a:effectLst/>
          </c:spPr>
          <c:marker>
            <c:symbol val="none"/>
          </c:marker>
          <c:val>
            <c:numRef>
              <c:f>FTRA!$J$140:$AP$140</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8.8312903821014643E-2</c:v>
                </c:pt>
                <c:pt idx="7">
                  <c:v>7.4579624190733287E-2</c:v>
                </c:pt>
                <c:pt idx="8">
                  <c:v>6.0846344560451945E-2</c:v>
                </c:pt>
                <c:pt idx="9">
                  <c:v>6.2480556682843677E-2</c:v>
                </c:pt>
                <c:pt idx="10">
                  <c:v>6.4114768805235409E-2</c:v>
                </c:pt>
                <c:pt idx="11">
                  <c:v>6.574898092762714E-2</c:v>
                </c:pt>
                <c:pt idx="12">
                  <c:v>6.7383193050018872E-2</c:v>
                </c:pt>
                <c:pt idx="13">
                  <c:v>6.9017405172410604E-2</c:v>
                </c:pt>
                <c:pt idx="14">
                  <c:v>7.0651617294802335E-2</c:v>
                </c:pt>
                <c:pt idx="15">
                  <c:v>7.2285829417194067E-2</c:v>
                </c:pt>
                <c:pt idx="16">
                  <c:v>7.3920041539585798E-2</c:v>
                </c:pt>
                <c:pt idx="17">
                  <c:v>7.555425366197753E-2</c:v>
                </c:pt>
                <c:pt idx="18">
                  <c:v>7.7188465784369248E-2</c:v>
                </c:pt>
                <c:pt idx="19">
                  <c:v>7.981798965315369E-2</c:v>
                </c:pt>
                <c:pt idx="20">
                  <c:v>8.2447513521938132E-2</c:v>
                </c:pt>
                <c:pt idx="21">
                  <c:v>8.5077037390722574E-2</c:v>
                </c:pt>
                <c:pt idx="22">
                  <c:v>8.7706561259507015E-2</c:v>
                </c:pt>
                <c:pt idx="23">
                  <c:v>9.0336085128291457E-2</c:v>
                </c:pt>
                <c:pt idx="24">
                  <c:v>9.2965608997075899E-2</c:v>
                </c:pt>
                <c:pt idx="25">
                  <c:v>9.5595132865860341E-2</c:v>
                </c:pt>
                <c:pt idx="26">
                  <c:v>9.8224656734644783E-2</c:v>
                </c:pt>
                <c:pt idx="27">
                  <c:v>0.10085418060342922</c:v>
                </c:pt>
                <c:pt idx="28">
                  <c:v>0.10348370447221361</c:v>
                </c:pt>
                <c:pt idx="29">
                  <c:v>0.12371269674458661</c:v>
                </c:pt>
                <c:pt idx="30">
                  <c:v>0.14394168901695967</c:v>
                </c:pt>
                <c:pt idx="31">
                  <c:v>0.14394168901695967</c:v>
                </c:pt>
                <c:pt idx="32">
                  <c:v>0.14394168901695967</c:v>
                </c:pt>
              </c:numCache>
            </c:numRef>
          </c:val>
          <c:smooth val="0"/>
          <c:extLst>
            <c:ext xmlns:c16="http://schemas.microsoft.com/office/drawing/2014/chart" uri="{C3380CC4-5D6E-409C-BE32-E72D297353CC}">
              <c16:uniqueId val="{00000008-0508-41EF-997E-2D4DC5CCF4A0}"/>
            </c:ext>
          </c:extLst>
        </c:ser>
        <c:ser>
          <c:idx val="9"/>
          <c:order val="9"/>
          <c:tx>
            <c:strRef>
              <c:f>FTRA!$D$141</c:f>
              <c:strCache>
                <c:ptCount val="1"/>
                <c:pt idx="0">
                  <c:v>TFHCV9</c:v>
                </c:pt>
              </c:strCache>
            </c:strRef>
          </c:tx>
          <c:spPr>
            <a:ln w="28575" cap="rnd">
              <a:solidFill>
                <a:schemeClr val="accent4">
                  <a:lumMod val="60000"/>
                </a:schemeClr>
              </a:solidFill>
              <a:round/>
            </a:ln>
            <a:effectLst/>
          </c:spPr>
          <c:marker>
            <c:symbol val="none"/>
          </c:marker>
          <c:val>
            <c:numRef>
              <c:f>FTRA!$J$141:$AP$141</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2.8974774163731166E-2</c:v>
                </c:pt>
                <c:pt idx="7">
                  <c:v>3.5278548327462335E-2</c:v>
                </c:pt>
                <c:pt idx="8">
                  <c:v>4.1582322491193507E-2</c:v>
                </c:pt>
                <c:pt idx="9">
                  <c:v>4.2699141192188712E-2</c:v>
                </c:pt>
                <c:pt idx="10">
                  <c:v>4.3815959893183917E-2</c:v>
                </c:pt>
                <c:pt idx="11">
                  <c:v>4.4932778594179122E-2</c:v>
                </c:pt>
                <c:pt idx="12">
                  <c:v>4.6049597295174327E-2</c:v>
                </c:pt>
                <c:pt idx="13">
                  <c:v>4.7166415996169532E-2</c:v>
                </c:pt>
                <c:pt idx="14">
                  <c:v>4.8283234697164737E-2</c:v>
                </c:pt>
                <c:pt idx="15">
                  <c:v>4.9400053398159942E-2</c:v>
                </c:pt>
                <c:pt idx="16">
                  <c:v>5.0516872099155147E-2</c:v>
                </c:pt>
                <c:pt idx="17">
                  <c:v>5.1633690800150352E-2</c:v>
                </c:pt>
                <c:pt idx="18">
                  <c:v>5.275050950114557E-2</c:v>
                </c:pt>
                <c:pt idx="19">
                  <c:v>5.4547523114698841E-2</c:v>
                </c:pt>
                <c:pt idx="20">
                  <c:v>5.6344536728252112E-2</c:v>
                </c:pt>
                <c:pt idx="21">
                  <c:v>5.8141550341805383E-2</c:v>
                </c:pt>
                <c:pt idx="22">
                  <c:v>5.9938563955358654E-2</c:v>
                </c:pt>
                <c:pt idx="23">
                  <c:v>6.1735577568911924E-2</c:v>
                </c:pt>
                <c:pt idx="24">
                  <c:v>6.3532591182465195E-2</c:v>
                </c:pt>
                <c:pt idx="25">
                  <c:v>6.5329604796018473E-2</c:v>
                </c:pt>
                <c:pt idx="26">
                  <c:v>6.7126618409571751E-2</c:v>
                </c:pt>
                <c:pt idx="27">
                  <c:v>6.8923632023125028E-2</c:v>
                </c:pt>
                <c:pt idx="28">
                  <c:v>7.0720645636678292E-2</c:v>
                </c:pt>
                <c:pt idx="29">
                  <c:v>8.4545115889052475E-2</c:v>
                </c:pt>
                <c:pt idx="30">
                  <c:v>9.8369586141426629E-2</c:v>
                </c:pt>
                <c:pt idx="31">
                  <c:v>9.8369586141426629E-2</c:v>
                </c:pt>
                <c:pt idx="32">
                  <c:v>9.8369586141426629E-2</c:v>
                </c:pt>
              </c:numCache>
            </c:numRef>
          </c:val>
          <c:smooth val="0"/>
          <c:extLst>
            <c:ext xmlns:c16="http://schemas.microsoft.com/office/drawing/2014/chart" uri="{C3380CC4-5D6E-409C-BE32-E72D297353CC}">
              <c16:uniqueId val="{00000009-0508-41EF-997E-2D4DC5CCF4A0}"/>
            </c:ext>
          </c:extLst>
        </c:ser>
        <c:ser>
          <c:idx val="10"/>
          <c:order val="10"/>
          <c:tx>
            <c:strRef>
              <c:f>FTRA!$D$142</c:f>
              <c:strCache>
                <c:ptCount val="1"/>
                <c:pt idx="0">
                  <c:v>TFRCO</c:v>
                </c:pt>
              </c:strCache>
            </c:strRef>
          </c:tx>
          <c:spPr>
            <a:ln w="12700" cap="rnd">
              <a:solidFill>
                <a:schemeClr val="accent5">
                  <a:lumMod val="60000"/>
                </a:schemeClr>
              </a:solidFill>
              <a:round/>
            </a:ln>
            <a:effectLst/>
          </c:spPr>
          <c:marker>
            <c:symbol val="none"/>
          </c:marker>
          <c:val>
            <c:numRef>
              <c:f>FTRA!$J$142:$AP$142</c:f>
              <c:numCache>
                <c:formatCode>0.00</c:formatCode>
                <c:ptCount val="33"/>
                <c:pt idx="0">
                  <c:v>22</c:v>
                </c:pt>
                <c:pt idx="1">
                  <c:v>22.407647056507475</c:v>
                </c:pt>
                <c:pt idx="2">
                  <c:v>22.81529411301495</c:v>
                </c:pt>
                <c:pt idx="3">
                  <c:v>23.222941169522429</c:v>
                </c:pt>
                <c:pt idx="4">
                  <c:v>23.45448568927641</c:v>
                </c:pt>
                <c:pt idx="5">
                  <c:v>23.686030209030392</c:v>
                </c:pt>
                <c:pt idx="6">
                  <c:v>23.419954144818554</c:v>
                </c:pt>
                <c:pt idx="7">
                  <c:v>23.153878080606717</c:v>
                </c:pt>
                <c:pt idx="8">
                  <c:v>22.887802016394883</c:v>
                </c:pt>
                <c:pt idx="9">
                  <c:v>25.487568601803119</c:v>
                </c:pt>
                <c:pt idx="10">
                  <c:v>28.087335187211355</c:v>
                </c:pt>
                <c:pt idx="11">
                  <c:v>30.687101772619592</c:v>
                </c:pt>
                <c:pt idx="12">
                  <c:v>33.286868358027832</c:v>
                </c:pt>
                <c:pt idx="13">
                  <c:v>35.886634943436071</c:v>
                </c:pt>
                <c:pt idx="14">
                  <c:v>38.486401528844311</c:v>
                </c:pt>
                <c:pt idx="15">
                  <c:v>41.086168114252551</c:v>
                </c:pt>
                <c:pt idx="16">
                  <c:v>43.685934699660791</c:v>
                </c:pt>
                <c:pt idx="17">
                  <c:v>46.285701285069031</c:v>
                </c:pt>
                <c:pt idx="18">
                  <c:v>48.88546787047725</c:v>
                </c:pt>
                <c:pt idx="19">
                  <c:v>53.054703373493318</c:v>
                </c:pt>
                <c:pt idx="20">
                  <c:v>57.223938876509386</c:v>
                </c:pt>
                <c:pt idx="21">
                  <c:v>61.393174379525455</c:v>
                </c:pt>
                <c:pt idx="22">
                  <c:v>65.562409882541516</c:v>
                </c:pt>
                <c:pt idx="23">
                  <c:v>69.731645385557584</c:v>
                </c:pt>
                <c:pt idx="24">
                  <c:v>73.900880888573653</c:v>
                </c:pt>
                <c:pt idx="25">
                  <c:v>78.070116391589721</c:v>
                </c:pt>
                <c:pt idx="26">
                  <c:v>82.23935189460579</c:v>
                </c:pt>
                <c:pt idx="27">
                  <c:v>86.408587397621858</c:v>
                </c:pt>
                <c:pt idx="28">
                  <c:v>90.577822900637926</c:v>
                </c:pt>
                <c:pt idx="29">
                  <c:v>127.00875867012493</c:v>
                </c:pt>
                <c:pt idx="30">
                  <c:v>163.43969443961191</c:v>
                </c:pt>
                <c:pt idx="31">
                  <c:v>163.43969443961191</c:v>
                </c:pt>
                <c:pt idx="32">
                  <c:v>163.43969443961191</c:v>
                </c:pt>
              </c:numCache>
            </c:numRef>
          </c:val>
          <c:smooth val="0"/>
          <c:extLst>
            <c:ext xmlns:c16="http://schemas.microsoft.com/office/drawing/2014/chart" uri="{C3380CC4-5D6E-409C-BE32-E72D297353CC}">
              <c16:uniqueId val="{0000000A-0508-41EF-997E-2D4DC5CCF4A0}"/>
            </c:ext>
          </c:extLst>
        </c:ser>
        <c:ser>
          <c:idx val="11"/>
          <c:order val="11"/>
          <c:tx>
            <c:strRef>
              <c:f>FTRA!$D$143</c:f>
              <c:strCache>
                <c:ptCount val="1"/>
                <c:pt idx="0">
                  <c:v>TFROT</c:v>
                </c:pt>
              </c:strCache>
            </c:strRef>
          </c:tx>
          <c:spPr>
            <a:ln w="28575" cap="rnd">
              <a:solidFill>
                <a:schemeClr val="accent6">
                  <a:lumMod val="60000"/>
                </a:schemeClr>
              </a:solidFill>
              <a:round/>
            </a:ln>
            <a:effectLst/>
          </c:spPr>
          <c:marker>
            <c:symbol val="none"/>
          </c:marker>
          <c:val>
            <c:numRef>
              <c:f>FTRA!$J$143:$AP$143</c:f>
              <c:numCache>
                <c:formatCode>0.00</c:formatCode>
                <c:ptCount val="33"/>
                <c:pt idx="0">
                  <c:v>25.1</c:v>
                </c:pt>
                <c:pt idx="1">
                  <c:v>25.565088232651718</c:v>
                </c:pt>
                <c:pt idx="2">
                  <c:v>26.030176465303434</c:v>
                </c:pt>
                <c:pt idx="3">
                  <c:v>26.495264697955154</c:v>
                </c:pt>
                <c:pt idx="4">
                  <c:v>26.891657045383518</c:v>
                </c:pt>
                <c:pt idx="5">
                  <c:v>27.288049392811885</c:v>
                </c:pt>
                <c:pt idx="6">
                  <c:v>26.981510191502863</c:v>
                </c:pt>
                <c:pt idx="7">
                  <c:v>26.674970990193842</c:v>
                </c:pt>
                <c:pt idx="8">
                  <c:v>26.368431788884816</c:v>
                </c:pt>
                <c:pt idx="9">
                  <c:v>27.40098233685374</c:v>
                </c:pt>
                <c:pt idx="10">
                  <c:v>28.433532884822664</c:v>
                </c:pt>
                <c:pt idx="11">
                  <c:v>29.466083432791589</c:v>
                </c:pt>
                <c:pt idx="12">
                  <c:v>30.498633980760513</c:v>
                </c:pt>
                <c:pt idx="13">
                  <c:v>31.531184528729437</c:v>
                </c:pt>
                <c:pt idx="14">
                  <c:v>32.563735076698357</c:v>
                </c:pt>
                <c:pt idx="15">
                  <c:v>33.596285624667281</c:v>
                </c:pt>
                <c:pt idx="16">
                  <c:v>34.628836172636206</c:v>
                </c:pt>
                <c:pt idx="17">
                  <c:v>35.66138672060513</c:v>
                </c:pt>
                <c:pt idx="18">
                  <c:v>36.693937268574047</c:v>
                </c:pt>
                <c:pt idx="19">
                  <c:v>38.360083352691525</c:v>
                </c:pt>
                <c:pt idx="20">
                  <c:v>40.026229436809004</c:v>
                </c:pt>
                <c:pt idx="21">
                  <c:v>41.692375520926483</c:v>
                </c:pt>
                <c:pt idx="22">
                  <c:v>43.358521605043961</c:v>
                </c:pt>
                <c:pt idx="23">
                  <c:v>45.02466768916144</c:v>
                </c:pt>
                <c:pt idx="24">
                  <c:v>46.690813773278919</c:v>
                </c:pt>
                <c:pt idx="25">
                  <c:v>48.356959857396397</c:v>
                </c:pt>
                <c:pt idx="26">
                  <c:v>50.023105941513876</c:v>
                </c:pt>
                <c:pt idx="27">
                  <c:v>51.689252025631355</c:v>
                </c:pt>
                <c:pt idx="28">
                  <c:v>53.355398109748847</c:v>
                </c:pt>
                <c:pt idx="29">
                  <c:v>66.904029164859097</c:v>
                </c:pt>
                <c:pt idx="30">
                  <c:v>80.452660219969331</c:v>
                </c:pt>
                <c:pt idx="31">
                  <c:v>80.452660219969331</c:v>
                </c:pt>
                <c:pt idx="32">
                  <c:v>80.452660219969331</c:v>
                </c:pt>
              </c:numCache>
            </c:numRef>
          </c:val>
          <c:smooth val="0"/>
          <c:extLst>
            <c:ext xmlns:c16="http://schemas.microsoft.com/office/drawing/2014/chart" uri="{C3380CC4-5D6E-409C-BE32-E72D297353CC}">
              <c16:uniqueId val="{0000000B-0508-41EF-997E-2D4DC5CCF4A0}"/>
            </c:ext>
          </c:extLst>
        </c:ser>
        <c:ser>
          <c:idx val="12"/>
          <c:order val="12"/>
          <c:tx>
            <c:strRef>
              <c:f>FTRA!$D$144</c:f>
              <c:strCache>
                <c:ptCount val="1"/>
                <c:pt idx="0">
                  <c:v>TFREX</c:v>
                </c:pt>
              </c:strCache>
            </c:strRef>
          </c:tx>
          <c:spPr>
            <a:ln w="28575" cap="rnd">
              <a:solidFill>
                <a:schemeClr val="accent1">
                  <a:lumMod val="80000"/>
                  <a:lumOff val="20000"/>
                </a:schemeClr>
              </a:solidFill>
              <a:round/>
            </a:ln>
            <a:effectLst/>
          </c:spPr>
          <c:marker>
            <c:symbol val="none"/>
          </c:marker>
          <c:val>
            <c:numRef>
              <c:f>FTRA!$J$144:$AP$144</c:f>
              <c:numCache>
                <c:formatCode>0.00</c:formatCode>
                <c:ptCount val="33"/>
                <c:pt idx="0">
                  <c:v>82</c:v>
                </c:pt>
                <c:pt idx="1">
                  <c:v>82</c:v>
                </c:pt>
                <c:pt idx="2">
                  <c:v>82</c:v>
                </c:pt>
                <c:pt idx="3">
                  <c:v>82</c:v>
                </c:pt>
                <c:pt idx="4">
                  <c:v>82</c:v>
                </c:pt>
                <c:pt idx="5">
                  <c:v>82</c:v>
                </c:pt>
                <c:pt idx="6">
                  <c:v>80.333090323072156</c:v>
                </c:pt>
                <c:pt idx="7">
                  <c:v>78.666180646144312</c:v>
                </c:pt>
                <c:pt idx="8">
                  <c:v>76.999270969216482</c:v>
                </c:pt>
                <c:pt idx="9">
                  <c:v>79.135375281788185</c:v>
                </c:pt>
                <c:pt idx="10">
                  <c:v>81.271479594359903</c:v>
                </c:pt>
                <c:pt idx="11">
                  <c:v>83.40758390693162</c:v>
                </c:pt>
                <c:pt idx="12">
                  <c:v>85.543688219503338</c:v>
                </c:pt>
                <c:pt idx="13">
                  <c:v>87.679792532075055</c:v>
                </c:pt>
                <c:pt idx="14">
                  <c:v>89.815896844646772</c:v>
                </c:pt>
                <c:pt idx="15">
                  <c:v>91.95200115721849</c:v>
                </c:pt>
                <c:pt idx="16">
                  <c:v>94.088105469790207</c:v>
                </c:pt>
                <c:pt idx="17">
                  <c:v>96.224209782361925</c:v>
                </c:pt>
                <c:pt idx="18">
                  <c:v>98.360314094933585</c:v>
                </c:pt>
                <c:pt idx="19">
                  <c:v>101.69681486905661</c:v>
                </c:pt>
                <c:pt idx="20">
                  <c:v>105.03331564317963</c:v>
                </c:pt>
                <c:pt idx="21">
                  <c:v>108.36981641730266</c:v>
                </c:pt>
                <c:pt idx="22">
                  <c:v>111.70631719142568</c:v>
                </c:pt>
                <c:pt idx="23">
                  <c:v>115.04281796554871</c:v>
                </c:pt>
                <c:pt idx="24">
                  <c:v>118.37931873967173</c:v>
                </c:pt>
                <c:pt idx="25">
                  <c:v>121.71581951379476</c:v>
                </c:pt>
                <c:pt idx="26">
                  <c:v>125.05232028791778</c:v>
                </c:pt>
                <c:pt idx="27">
                  <c:v>128.38882106204079</c:v>
                </c:pt>
                <c:pt idx="28">
                  <c:v>131.72532183616377</c:v>
                </c:pt>
                <c:pt idx="29">
                  <c:v>161.45807919856674</c:v>
                </c:pt>
                <c:pt idx="30">
                  <c:v>191.19083656096981</c:v>
                </c:pt>
                <c:pt idx="31">
                  <c:v>191.19083656096981</c:v>
                </c:pt>
                <c:pt idx="32">
                  <c:v>191.19083656096981</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FTRA!$K$111:$AQ$111</c:f>
              <c:numCache>
                <c:formatCode>0.00</c:formatCode>
                <c:ptCount val="33"/>
                <c:pt idx="0">
                  <c:v>43.11250375056882</c:v>
                </c:pt>
                <c:pt idx="1">
                  <c:v>43.541669167045889</c:v>
                </c:pt>
                <c:pt idx="2">
                  <c:v>43.970834583522958</c:v>
                </c:pt>
                <c:pt idx="3">
                  <c:v>44.4</c:v>
                </c:pt>
                <c:pt idx="4">
                  <c:v>44.871410582810697</c:v>
                </c:pt>
                <c:pt idx="5">
                  <c:v>45.342821165621402</c:v>
                </c:pt>
                <c:pt idx="6">
                  <c:v>45.179311841840047</c:v>
                </c:pt>
                <c:pt idx="7">
                  <c:v>45.015802518058692</c:v>
                </c:pt>
                <c:pt idx="8">
                  <c:v>44.85229319427733</c:v>
                </c:pt>
                <c:pt idx="9">
                  <c:v>46.551708382803803</c:v>
                </c:pt>
                <c:pt idx="10">
                  <c:v>48.251123571330275</c:v>
                </c:pt>
                <c:pt idx="11">
                  <c:v>49.950538759856748</c:v>
                </c:pt>
                <c:pt idx="12">
                  <c:v>51.649953948383221</c:v>
                </c:pt>
                <c:pt idx="13">
                  <c:v>53.349369136909694</c:v>
                </c:pt>
                <c:pt idx="14">
                  <c:v>55.048784325436166</c:v>
                </c:pt>
                <c:pt idx="15">
                  <c:v>56.748199513962639</c:v>
                </c:pt>
                <c:pt idx="16">
                  <c:v>58.447614702489112</c:v>
                </c:pt>
                <c:pt idx="17">
                  <c:v>60.147029891015585</c:v>
                </c:pt>
                <c:pt idx="18">
                  <c:v>61.846445079542072</c:v>
                </c:pt>
                <c:pt idx="19">
                  <c:v>64.577416493628107</c:v>
                </c:pt>
                <c:pt idx="20">
                  <c:v>67.308387907714135</c:v>
                </c:pt>
                <c:pt idx="21">
                  <c:v>70.039359321800163</c:v>
                </c:pt>
                <c:pt idx="22">
                  <c:v>72.770330735886191</c:v>
                </c:pt>
                <c:pt idx="23">
                  <c:v>75.501302149972219</c:v>
                </c:pt>
                <c:pt idx="24">
                  <c:v>78.232273564058247</c:v>
                </c:pt>
                <c:pt idx="25">
                  <c:v>80.963244978144274</c:v>
                </c:pt>
                <c:pt idx="26">
                  <c:v>83.694216392230302</c:v>
                </c:pt>
                <c:pt idx="27">
                  <c:v>86.42518780631633</c:v>
                </c:pt>
                <c:pt idx="28">
                  <c:v>89.156159220402401</c:v>
                </c:pt>
                <c:pt idx="29">
                  <c:v>93.575236556883496</c:v>
                </c:pt>
                <c:pt idx="30">
                  <c:v>97.994313893364591</c:v>
                </c:pt>
                <c:pt idx="31">
                  <c:v>102.41339122984569</c:v>
                </c:pt>
                <c:pt idx="32">
                  <c:v>106.83246856632678</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FTRA!$K$112:$AQ$112</c:f>
              <c:numCache>
                <c:formatCode>0.00</c:formatCode>
                <c:ptCount val="33"/>
                <c:pt idx="0">
                  <c:v>3.310563752317667</c:v>
                </c:pt>
                <c:pt idx="1">
                  <c:v>3.3405637523176668</c:v>
                </c:pt>
                <c:pt idx="2">
                  <c:v>3.3705637523176666</c:v>
                </c:pt>
                <c:pt idx="3">
                  <c:v>3.4</c:v>
                </c:pt>
                <c:pt idx="4">
                  <c:v>3.4249999999999998</c:v>
                </c:pt>
                <c:pt idx="5">
                  <c:v>3.45</c:v>
                </c:pt>
                <c:pt idx="6">
                  <c:v>3.3904650521296027</c:v>
                </c:pt>
                <c:pt idx="7">
                  <c:v>3.3309301042592052</c:v>
                </c:pt>
                <c:pt idx="8">
                  <c:v>3.2713951563888077</c:v>
                </c:pt>
                <c:pt idx="9">
                  <c:v>3.3727910380302379</c:v>
                </c:pt>
                <c:pt idx="10">
                  <c:v>3.4741869196716682</c:v>
                </c:pt>
                <c:pt idx="11">
                  <c:v>3.5755828013130984</c:v>
                </c:pt>
                <c:pt idx="12">
                  <c:v>3.6769786829545286</c:v>
                </c:pt>
                <c:pt idx="13">
                  <c:v>3.7783745645959588</c:v>
                </c:pt>
                <c:pt idx="14">
                  <c:v>3.879770446237389</c:v>
                </c:pt>
                <c:pt idx="15">
                  <c:v>3.9811663278788192</c:v>
                </c:pt>
                <c:pt idx="16">
                  <c:v>4.0825622095202494</c:v>
                </c:pt>
                <c:pt idx="17">
                  <c:v>4.1839580911616796</c:v>
                </c:pt>
                <c:pt idx="18">
                  <c:v>4.2853539728031098</c:v>
                </c:pt>
                <c:pt idx="19">
                  <c:v>4.4436953403755775</c:v>
                </c:pt>
                <c:pt idx="20">
                  <c:v>4.6020367079480451</c:v>
                </c:pt>
                <c:pt idx="21">
                  <c:v>4.7603780755205127</c:v>
                </c:pt>
                <c:pt idx="22">
                  <c:v>4.9187194430929804</c:v>
                </c:pt>
                <c:pt idx="23">
                  <c:v>5.077060810665448</c:v>
                </c:pt>
                <c:pt idx="24">
                  <c:v>5.2354021782379156</c:v>
                </c:pt>
                <c:pt idx="25">
                  <c:v>5.3937435458103833</c:v>
                </c:pt>
                <c:pt idx="26">
                  <c:v>5.5520849133828509</c:v>
                </c:pt>
                <c:pt idx="27">
                  <c:v>5.7104262809553186</c:v>
                </c:pt>
                <c:pt idx="28">
                  <c:v>5.8687676485277898</c:v>
                </c:pt>
                <c:pt idx="29">
                  <c:v>6.1157682762052392</c:v>
                </c:pt>
                <c:pt idx="30">
                  <c:v>6.3627689038826887</c:v>
                </c:pt>
                <c:pt idx="31">
                  <c:v>6.6097695315601381</c:v>
                </c:pt>
                <c:pt idx="32">
                  <c:v>6.8567701592375876</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FTRA!$K$113:$AQ$113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0.71774213313838819</c:v>
                </c:pt>
                <c:pt idx="7">
                  <c:v>0.69947482803025129</c:v>
                </c:pt>
                <c:pt idx="8">
                  <c:v>0.68120752292211428</c:v>
                </c:pt>
                <c:pt idx="9">
                  <c:v>0.69950340577038861</c:v>
                </c:pt>
                <c:pt idx="10">
                  <c:v>0.71779928861866293</c:v>
                </c:pt>
                <c:pt idx="11">
                  <c:v>0.73609517146693726</c:v>
                </c:pt>
                <c:pt idx="12">
                  <c:v>0.75439105431521158</c:v>
                </c:pt>
                <c:pt idx="13">
                  <c:v>0.77268693716348591</c:v>
                </c:pt>
                <c:pt idx="14">
                  <c:v>0.79098282001176023</c:v>
                </c:pt>
                <c:pt idx="15">
                  <c:v>0.80927870286003456</c:v>
                </c:pt>
                <c:pt idx="16">
                  <c:v>0.82757458570830889</c:v>
                </c:pt>
                <c:pt idx="17">
                  <c:v>0.84587046855658321</c:v>
                </c:pt>
                <c:pt idx="18">
                  <c:v>0.86416635140485754</c:v>
                </c:pt>
                <c:pt idx="19">
                  <c:v>0.89360528408124174</c:v>
                </c:pt>
                <c:pt idx="20">
                  <c:v>0.92304421675762593</c:v>
                </c:pt>
                <c:pt idx="21">
                  <c:v>0.95248314943401013</c:v>
                </c:pt>
                <c:pt idx="22">
                  <c:v>0.98192208211039433</c:v>
                </c:pt>
                <c:pt idx="23">
                  <c:v>1.0113610147867784</c:v>
                </c:pt>
                <c:pt idx="24">
                  <c:v>1.0407999474631626</c:v>
                </c:pt>
                <c:pt idx="25">
                  <c:v>1.0702388801395468</c:v>
                </c:pt>
                <c:pt idx="26">
                  <c:v>1.099677812815931</c:v>
                </c:pt>
                <c:pt idx="27">
                  <c:v>1.1291167454923152</c:v>
                </c:pt>
                <c:pt idx="28">
                  <c:v>1.1585556781686994</c:v>
                </c:pt>
                <c:pt idx="29">
                  <c:v>1.20385056586202</c:v>
                </c:pt>
                <c:pt idx="30">
                  <c:v>1.2491454535553408</c:v>
                </c:pt>
                <c:pt idx="31">
                  <c:v>1.2944403412486616</c:v>
                </c:pt>
                <c:pt idx="32">
                  <c:v>1.3397352289419824</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FTRA!$K$114:$AQ$114</c:f>
              <c:numCache>
                <c:formatCode>0.00</c:formatCode>
                <c:ptCount val="33"/>
                <c:pt idx="0">
                  <c:v>2.7114063478211388</c:v>
                </c:pt>
                <c:pt idx="1">
                  <c:v>2.7742708985474289</c:v>
                </c:pt>
                <c:pt idx="2">
                  <c:v>2.8371354492737191</c:v>
                </c:pt>
                <c:pt idx="3">
                  <c:v>2.9</c:v>
                </c:pt>
                <c:pt idx="4">
                  <c:v>2.9652984627095749</c:v>
                </c:pt>
                <c:pt idx="5">
                  <c:v>3.0305969254191498</c:v>
                </c:pt>
                <c:pt idx="6">
                  <c:v>2.9606726726268029</c:v>
                </c:pt>
                <c:pt idx="7">
                  <c:v>2.890748419834456</c:v>
                </c:pt>
                <c:pt idx="8">
                  <c:v>2.8208241670421086</c:v>
                </c:pt>
                <c:pt idx="9">
                  <c:v>2.8965859088889969</c:v>
                </c:pt>
                <c:pt idx="10">
                  <c:v>2.9723476507358848</c:v>
                </c:pt>
                <c:pt idx="11">
                  <c:v>3.0481093925827727</c:v>
                </c:pt>
                <c:pt idx="12">
                  <c:v>3.1238711344296606</c:v>
                </c:pt>
                <c:pt idx="13">
                  <c:v>3.1996328762765485</c:v>
                </c:pt>
                <c:pt idx="14">
                  <c:v>3.2753946181234364</c:v>
                </c:pt>
                <c:pt idx="15">
                  <c:v>3.3511563599703242</c:v>
                </c:pt>
                <c:pt idx="16">
                  <c:v>3.4269181018172121</c:v>
                </c:pt>
                <c:pt idx="17">
                  <c:v>3.5026798436641</c:v>
                </c:pt>
                <c:pt idx="18">
                  <c:v>3.5784415855109897</c:v>
                </c:pt>
                <c:pt idx="19">
                  <c:v>3.700345777627442</c:v>
                </c:pt>
                <c:pt idx="20">
                  <c:v>3.8222499697438943</c:v>
                </c:pt>
                <c:pt idx="21">
                  <c:v>3.9441541618603466</c:v>
                </c:pt>
                <c:pt idx="22">
                  <c:v>4.0660583539767989</c:v>
                </c:pt>
                <c:pt idx="23">
                  <c:v>4.1879625460932512</c:v>
                </c:pt>
                <c:pt idx="24">
                  <c:v>4.3098667382097036</c:v>
                </c:pt>
                <c:pt idx="25">
                  <c:v>4.4317709303261559</c:v>
                </c:pt>
                <c:pt idx="26">
                  <c:v>4.5536751224426082</c:v>
                </c:pt>
                <c:pt idx="27">
                  <c:v>4.6755793145590605</c:v>
                </c:pt>
                <c:pt idx="28">
                  <c:v>4.7974835066755146</c:v>
                </c:pt>
                <c:pt idx="29">
                  <c:v>4.9850459007323185</c:v>
                </c:pt>
                <c:pt idx="30">
                  <c:v>5.1726082947891232</c:v>
                </c:pt>
                <c:pt idx="31">
                  <c:v>5.360170688845928</c:v>
                </c:pt>
                <c:pt idx="32">
                  <c:v>5.5477330829027327</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FTRA!$K$115:$AQ$115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0.56028851311836958</c:v>
                </c:pt>
                <c:pt idx="7">
                  <c:v>0.57677002623673912</c:v>
                </c:pt>
                <c:pt idx="8">
                  <c:v>0.59325153935510855</c:v>
                </c:pt>
                <c:pt idx="9">
                  <c:v>0.6091850989509271</c:v>
                </c:pt>
                <c:pt idx="10">
                  <c:v>0.62511865854674564</c:v>
                </c:pt>
                <c:pt idx="11">
                  <c:v>0.64105221814256419</c:v>
                </c:pt>
                <c:pt idx="12">
                  <c:v>0.65698577773838274</c:v>
                </c:pt>
                <c:pt idx="13">
                  <c:v>0.67291933733420128</c:v>
                </c:pt>
                <c:pt idx="14">
                  <c:v>0.68885289693001983</c:v>
                </c:pt>
                <c:pt idx="15">
                  <c:v>0.70478645652583838</c:v>
                </c:pt>
                <c:pt idx="16">
                  <c:v>0.72072001612165693</c:v>
                </c:pt>
                <c:pt idx="17">
                  <c:v>0.73665357571747547</c:v>
                </c:pt>
                <c:pt idx="18">
                  <c:v>0.75258713531329446</c:v>
                </c:pt>
                <c:pt idx="19">
                  <c:v>0.7782249792001612</c:v>
                </c:pt>
                <c:pt idx="20">
                  <c:v>0.80386282308702794</c:v>
                </c:pt>
                <c:pt idx="21">
                  <c:v>0.82950066697389468</c:v>
                </c:pt>
                <c:pt idx="22">
                  <c:v>0.85513851086076142</c:v>
                </c:pt>
                <c:pt idx="23">
                  <c:v>0.88077635474762817</c:v>
                </c:pt>
                <c:pt idx="24">
                  <c:v>0.90641419863449491</c:v>
                </c:pt>
                <c:pt idx="25">
                  <c:v>0.93205204252136165</c:v>
                </c:pt>
                <c:pt idx="26">
                  <c:v>0.95768988640822839</c:v>
                </c:pt>
                <c:pt idx="27">
                  <c:v>0.98332773029509513</c:v>
                </c:pt>
                <c:pt idx="28">
                  <c:v>1.0089655741819614</c:v>
                </c:pt>
                <c:pt idx="29">
                  <c:v>1.048412087828364</c:v>
                </c:pt>
                <c:pt idx="30">
                  <c:v>1.0878586014747667</c:v>
                </c:pt>
                <c:pt idx="31">
                  <c:v>1.1273051151211693</c:v>
                </c:pt>
                <c:pt idx="32">
                  <c:v>1.1667516287675719</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FTRA!$K$116:$AQ$116</c:f>
              <c:numCache>
                <c:formatCode>0.00</c:formatCode>
                <c:ptCount val="33"/>
                <c:pt idx="0">
                  <c:v>0.27326501935541331</c:v>
                </c:pt>
                <c:pt idx="1">
                  <c:v>0.27740453823694228</c:v>
                </c:pt>
                <c:pt idx="2">
                  <c:v>0.28154405711847125</c:v>
                </c:pt>
                <c:pt idx="3">
                  <c:v>0.28568357599999999</c:v>
                </c:pt>
                <c:pt idx="4">
                  <c:v>0.2876204765</c:v>
                </c:pt>
                <c:pt idx="5">
                  <c:v>0.289557377</c:v>
                </c:pt>
                <c:pt idx="6">
                  <c:v>0.28780242801534867</c:v>
                </c:pt>
                <c:pt idx="7">
                  <c:v>0.28604747903069733</c:v>
                </c:pt>
                <c:pt idx="8">
                  <c:v>0.28429253004604604</c:v>
                </c:pt>
                <c:pt idx="9">
                  <c:v>0.29192806349119954</c:v>
                </c:pt>
                <c:pt idx="10">
                  <c:v>0.29956359693635304</c:v>
                </c:pt>
                <c:pt idx="11">
                  <c:v>0.30719913038150654</c:v>
                </c:pt>
                <c:pt idx="12">
                  <c:v>0.31483466382666003</c:v>
                </c:pt>
                <c:pt idx="13">
                  <c:v>0.32247019727181353</c:v>
                </c:pt>
                <c:pt idx="14">
                  <c:v>0.33010573071696703</c:v>
                </c:pt>
                <c:pt idx="15">
                  <c:v>0.33774126416212052</c:v>
                </c:pt>
                <c:pt idx="16">
                  <c:v>0.34537679760727402</c:v>
                </c:pt>
                <c:pt idx="17">
                  <c:v>0.35301233105242752</c:v>
                </c:pt>
                <c:pt idx="18">
                  <c:v>0.36064786449758096</c:v>
                </c:pt>
                <c:pt idx="19">
                  <c:v>0.37293379554033218</c:v>
                </c:pt>
                <c:pt idx="20">
                  <c:v>0.3852197265830834</c:v>
                </c:pt>
                <c:pt idx="21">
                  <c:v>0.39750565762583462</c:v>
                </c:pt>
                <c:pt idx="22">
                  <c:v>0.40979158866858584</c:v>
                </c:pt>
                <c:pt idx="23">
                  <c:v>0.42207751971133706</c:v>
                </c:pt>
                <c:pt idx="24">
                  <c:v>0.43436345075408828</c:v>
                </c:pt>
                <c:pt idx="25">
                  <c:v>0.4466493817968395</c:v>
                </c:pt>
                <c:pt idx="26">
                  <c:v>0.45893531283959071</c:v>
                </c:pt>
                <c:pt idx="27">
                  <c:v>0.47122124388234193</c:v>
                </c:pt>
                <c:pt idx="28">
                  <c:v>0.48350717492509332</c:v>
                </c:pt>
                <c:pt idx="29">
                  <c:v>0.50241036930739891</c:v>
                </c:pt>
                <c:pt idx="30">
                  <c:v>0.52131356368970461</c:v>
                </c:pt>
                <c:pt idx="31">
                  <c:v>0.54021675807201031</c:v>
                </c:pt>
                <c:pt idx="32">
                  <c:v>0.559119952454316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FTRA!$K$117:$AQ$117</c:f>
              <c:numCache>
                <c:formatCode>0.00</c:formatCode>
                <c:ptCount val="33"/>
                <c:pt idx="0">
                  <c:v>5.0361375113209643</c:v>
                </c:pt>
                <c:pt idx="1">
                  <c:v>5.3607583408806443</c:v>
                </c:pt>
                <c:pt idx="2">
                  <c:v>5.6853791704403243</c:v>
                </c:pt>
                <c:pt idx="3">
                  <c:v>6.01</c:v>
                </c:pt>
                <c:pt idx="4">
                  <c:v>6.3253919226144593</c:v>
                </c:pt>
                <c:pt idx="5">
                  <c:v>6.6407838452289196</c:v>
                </c:pt>
                <c:pt idx="6">
                  <c:v>6.1736455678261564</c:v>
                </c:pt>
                <c:pt idx="7">
                  <c:v>5.7065072904233931</c:v>
                </c:pt>
                <c:pt idx="8">
                  <c:v>5.239369013020629</c:v>
                </c:pt>
                <c:pt idx="9">
                  <c:v>5.3800880720966457</c:v>
                </c:pt>
                <c:pt idx="10">
                  <c:v>5.5208071311726625</c:v>
                </c:pt>
                <c:pt idx="11">
                  <c:v>5.6615261902486793</c:v>
                </c:pt>
                <c:pt idx="12">
                  <c:v>5.8022452493246961</c:v>
                </c:pt>
                <c:pt idx="13">
                  <c:v>5.9429643084007129</c:v>
                </c:pt>
                <c:pt idx="14">
                  <c:v>6.0836833674767297</c:v>
                </c:pt>
                <c:pt idx="15">
                  <c:v>6.2244024265527464</c:v>
                </c:pt>
                <c:pt idx="16">
                  <c:v>6.3651214856287632</c:v>
                </c:pt>
                <c:pt idx="17">
                  <c:v>6.50584054470478</c:v>
                </c:pt>
                <c:pt idx="18">
                  <c:v>6.6465596037807968</c:v>
                </c:pt>
                <c:pt idx="19">
                  <c:v>6.8729831626097013</c:v>
                </c:pt>
                <c:pt idx="20">
                  <c:v>7.0994067214386058</c:v>
                </c:pt>
                <c:pt idx="21">
                  <c:v>7.3258302802675104</c:v>
                </c:pt>
                <c:pt idx="22">
                  <c:v>7.5522538390964149</c:v>
                </c:pt>
                <c:pt idx="23">
                  <c:v>7.7786773979253194</c:v>
                </c:pt>
                <c:pt idx="24">
                  <c:v>8.0051009567542248</c:v>
                </c:pt>
                <c:pt idx="25">
                  <c:v>8.2315245155831303</c:v>
                </c:pt>
                <c:pt idx="26">
                  <c:v>8.4579480744120357</c:v>
                </c:pt>
                <c:pt idx="27">
                  <c:v>8.6843716332409411</c:v>
                </c:pt>
                <c:pt idx="28">
                  <c:v>8.9107951920698447</c:v>
                </c:pt>
                <c:pt idx="29">
                  <c:v>9.2591716016706052</c:v>
                </c:pt>
                <c:pt idx="30">
                  <c:v>9.6075480112713656</c:v>
                </c:pt>
                <c:pt idx="31">
                  <c:v>9.955924420872126</c:v>
                </c:pt>
                <c:pt idx="32">
                  <c:v>10.304300830472886</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FTRA!$K$118:$AQ$118</c:f>
              <c:numCache>
                <c:formatCode>0.00</c:formatCode>
                <c:ptCount val="33"/>
                <c:pt idx="0">
                  <c:v>1.5653068685251963</c:v>
                </c:pt>
                <c:pt idx="1">
                  <c:v>1.6102045790167996</c:v>
                </c:pt>
                <c:pt idx="2">
                  <c:v>1.6551022895084029</c:v>
                </c:pt>
                <c:pt idx="3">
                  <c:v>1.7</c:v>
                </c:pt>
                <c:pt idx="4">
                  <c:v>1.74</c:v>
                </c:pt>
                <c:pt idx="5">
                  <c:v>1.78</c:v>
                </c:pt>
                <c:pt idx="6">
                  <c:v>1.7294914197228428</c:v>
                </c:pt>
                <c:pt idx="7">
                  <c:v>1.6789828394456856</c:v>
                </c:pt>
                <c:pt idx="8">
                  <c:v>1.6284742591685284</c:v>
                </c:pt>
                <c:pt idx="9">
                  <c:v>1.6722118475900001</c:v>
                </c:pt>
                <c:pt idx="10">
                  <c:v>1.7159494360114718</c:v>
                </c:pt>
                <c:pt idx="11">
                  <c:v>1.7596870244329434</c:v>
                </c:pt>
                <c:pt idx="12">
                  <c:v>1.8034246128544151</c:v>
                </c:pt>
                <c:pt idx="13">
                  <c:v>1.8471622012758868</c:v>
                </c:pt>
                <c:pt idx="14">
                  <c:v>1.8908997896973585</c:v>
                </c:pt>
                <c:pt idx="15">
                  <c:v>1.9346373781188302</c:v>
                </c:pt>
                <c:pt idx="16">
                  <c:v>1.9783749665403019</c:v>
                </c:pt>
                <c:pt idx="17">
                  <c:v>2.0221125549617738</c:v>
                </c:pt>
                <c:pt idx="18">
                  <c:v>2.0658501433832459</c:v>
                </c:pt>
                <c:pt idx="19">
                  <c:v>2.1362259722866623</c:v>
                </c:pt>
                <c:pt idx="20">
                  <c:v>2.2066018011900788</c:v>
                </c:pt>
                <c:pt idx="21">
                  <c:v>2.2769776300934952</c:v>
                </c:pt>
                <c:pt idx="22">
                  <c:v>2.3473534589969116</c:v>
                </c:pt>
                <c:pt idx="23">
                  <c:v>2.417729287900328</c:v>
                </c:pt>
                <c:pt idx="24">
                  <c:v>2.4881051168037445</c:v>
                </c:pt>
                <c:pt idx="25">
                  <c:v>2.5584809457071609</c:v>
                </c:pt>
                <c:pt idx="26">
                  <c:v>2.6288567746105773</c:v>
                </c:pt>
                <c:pt idx="27">
                  <c:v>2.6992326035139937</c:v>
                </c:pt>
                <c:pt idx="28">
                  <c:v>2.7696084324174115</c:v>
                </c:pt>
                <c:pt idx="29">
                  <c:v>2.8778890314984285</c:v>
                </c:pt>
                <c:pt idx="30">
                  <c:v>2.9861696305794454</c:v>
                </c:pt>
                <c:pt idx="31">
                  <c:v>3.0944502296604623</c:v>
                </c:pt>
                <c:pt idx="32">
                  <c:v>3.2027308287414793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FTRA!$K$119:$AQ$119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8.8312903821014643E-2</c:v>
                </c:pt>
                <c:pt idx="7">
                  <c:v>7.4579624190733287E-2</c:v>
                </c:pt>
                <c:pt idx="8">
                  <c:v>6.0846344560451945E-2</c:v>
                </c:pt>
                <c:pt idx="9">
                  <c:v>6.2480556682843677E-2</c:v>
                </c:pt>
                <c:pt idx="10">
                  <c:v>6.4114768805235409E-2</c:v>
                </c:pt>
                <c:pt idx="11">
                  <c:v>6.574898092762714E-2</c:v>
                </c:pt>
                <c:pt idx="12">
                  <c:v>6.7383193050018872E-2</c:v>
                </c:pt>
                <c:pt idx="13">
                  <c:v>6.9017405172410604E-2</c:v>
                </c:pt>
                <c:pt idx="14">
                  <c:v>7.0651617294802335E-2</c:v>
                </c:pt>
                <c:pt idx="15">
                  <c:v>7.2285829417194067E-2</c:v>
                </c:pt>
                <c:pt idx="16">
                  <c:v>7.3920041539585798E-2</c:v>
                </c:pt>
                <c:pt idx="17">
                  <c:v>7.555425366197753E-2</c:v>
                </c:pt>
                <c:pt idx="18">
                  <c:v>7.7188465784369248E-2</c:v>
                </c:pt>
                <c:pt idx="19">
                  <c:v>7.981798965315369E-2</c:v>
                </c:pt>
                <c:pt idx="20">
                  <c:v>8.2447513521938132E-2</c:v>
                </c:pt>
                <c:pt idx="21">
                  <c:v>8.5077037390722574E-2</c:v>
                </c:pt>
                <c:pt idx="22">
                  <c:v>8.7706561259507015E-2</c:v>
                </c:pt>
                <c:pt idx="23">
                  <c:v>9.0336085128291457E-2</c:v>
                </c:pt>
                <c:pt idx="24">
                  <c:v>9.2965608997075899E-2</c:v>
                </c:pt>
                <c:pt idx="25">
                  <c:v>9.5595132865860341E-2</c:v>
                </c:pt>
                <c:pt idx="26">
                  <c:v>9.8224656734644783E-2</c:v>
                </c:pt>
                <c:pt idx="27">
                  <c:v>0.10085418060342922</c:v>
                </c:pt>
                <c:pt idx="28">
                  <c:v>0.10348370447221361</c:v>
                </c:pt>
                <c:pt idx="29">
                  <c:v>0.10752950292668821</c:v>
                </c:pt>
                <c:pt idx="30">
                  <c:v>0.11157530138116281</c:v>
                </c:pt>
                <c:pt idx="31">
                  <c:v>0.11562109983563741</c:v>
                </c:pt>
                <c:pt idx="32">
                  <c:v>0.11966689829011201</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FTRA!$K$120:$AQ$120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2.8974774163731166E-2</c:v>
                </c:pt>
                <c:pt idx="7">
                  <c:v>3.5278548327462335E-2</c:v>
                </c:pt>
                <c:pt idx="8">
                  <c:v>4.1582322491193507E-2</c:v>
                </c:pt>
                <c:pt idx="9">
                  <c:v>4.2699141192188712E-2</c:v>
                </c:pt>
                <c:pt idx="10">
                  <c:v>4.3815959893183917E-2</c:v>
                </c:pt>
                <c:pt idx="11">
                  <c:v>4.4932778594179122E-2</c:v>
                </c:pt>
                <c:pt idx="12">
                  <c:v>4.6049597295174327E-2</c:v>
                </c:pt>
                <c:pt idx="13">
                  <c:v>4.7166415996169532E-2</c:v>
                </c:pt>
                <c:pt idx="14">
                  <c:v>4.8283234697164737E-2</c:v>
                </c:pt>
                <c:pt idx="15">
                  <c:v>4.9400053398159942E-2</c:v>
                </c:pt>
                <c:pt idx="16">
                  <c:v>5.0516872099155147E-2</c:v>
                </c:pt>
                <c:pt idx="17">
                  <c:v>5.1633690800150352E-2</c:v>
                </c:pt>
                <c:pt idx="18">
                  <c:v>5.275050950114557E-2</c:v>
                </c:pt>
                <c:pt idx="19">
                  <c:v>5.4547523114698841E-2</c:v>
                </c:pt>
                <c:pt idx="20">
                  <c:v>5.6344536728252112E-2</c:v>
                </c:pt>
                <c:pt idx="21">
                  <c:v>5.8141550341805383E-2</c:v>
                </c:pt>
                <c:pt idx="22">
                  <c:v>5.9938563955358654E-2</c:v>
                </c:pt>
                <c:pt idx="23">
                  <c:v>6.1735577568911924E-2</c:v>
                </c:pt>
                <c:pt idx="24">
                  <c:v>6.3532591182465195E-2</c:v>
                </c:pt>
                <c:pt idx="25">
                  <c:v>6.5329604796018473E-2</c:v>
                </c:pt>
                <c:pt idx="26">
                  <c:v>6.7126618409571751E-2</c:v>
                </c:pt>
                <c:pt idx="27">
                  <c:v>6.8923632023125028E-2</c:v>
                </c:pt>
                <c:pt idx="28">
                  <c:v>7.0720645636678292E-2</c:v>
                </c:pt>
                <c:pt idx="29">
                  <c:v>7.3485539687153129E-2</c:v>
                </c:pt>
                <c:pt idx="30">
                  <c:v>7.6250433737627965E-2</c:v>
                </c:pt>
                <c:pt idx="31">
                  <c:v>7.9015327788102802E-2</c:v>
                </c:pt>
                <c:pt idx="32">
                  <c:v>8.1780221838577638E-2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FTRA!$K$121:$AQ$121</c:f>
              <c:numCache>
                <c:formatCode>0.00</c:formatCode>
                <c:ptCount val="33"/>
                <c:pt idx="0">
                  <c:v>22</c:v>
                </c:pt>
                <c:pt idx="1">
                  <c:v>22.407647056507475</c:v>
                </c:pt>
                <c:pt idx="2">
                  <c:v>22.81529411301495</c:v>
                </c:pt>
                <c:pt idx="3">
                  <c:v>23.222941169522429</c:v>
                </c:pt>
                <c:pt idx="4">
                  <c:v>23.45448568927641</c:v>
                </c:pt>
                <c:pt idx="5">
                  <c:v>23.686030209030392</c:v>
                </c:pt>
                <c:pt idx="6">
                  <c:v>23.419954144818554</c:v>
                </c:pt>
                <c:pt idx="7">
                  <c:v>23.153878080606717</c:v>
                </c:pt>
                <c:pt idx="8">
                  <c:v>22.887802016394883</c:v>
                </c:pt>
                <c:pt idx="9">
                  <c:v>25.487568601803119</c:v>
                </c:pt>
                <c:pt idx="10">
                  <c:v>28.087335187211355</c:v>
                </c:pt>
                <c:pt idx="11">
                  <c:v>30.687101772619592</c:v>
                </c:pt>
                <c:pt idx="12">
                  <c:v>33.286868358027832</c:v>
                </c:pt>
                <c:pt idx="13">
                  <c:v>35.886634943436071</c:v>
                </c:pt>
                <c:pt idx="14">
                  <c:v>38.486401528844311</c:v>
                </c:pt>
                <c:pt idx="15">
                  <c:v>41.086168114252551</c:v>
                </c:pt>
                <c:pt idx="16">
                  <c:v>43.685934699660791</c:v>
                </c:pt>
                <c:pt idx="17">
                  <c:v>46.285701285069031</c:v>
                </c:pt>
                <c:pt idx="18">
                  <c:v>48.88546787047725</c:v>
                </c:pt>
                <c:pt idx="19">
                  <c:v>53.054703373493318</c:v>
                </c:pt>
                <c:pt idx="20">
                  <c:v>57.223938876509386</c:v>
                </c:pt>
                <c:pt idx="21">
                  <c:v>61.393174379525455</c:v>
                </c:pt>
                <c:pt idx="22">
                  <c:v>65.562409882541516</c:v>
                </c:pt>
                <c:pt idx="23">
                  <c:v>69.731645385557584</c:v>
                </c:pt>
                <c:pt idx="24">
                  <c:v>73.900880888573653</c:v>
                </c:pt>
                <c:pt idx="25">
                  <c:v>78.070116391589721</c:v>
                </c:pt>
                <c:pt idx="26">
                  <c:v>82.23935189460579</c:v>
                </c:pt>
                <c:pt idx="27">
                  <c:v>86.408587397621858</c:v>
                </c:pt>
                <c:pt idx="28">
                  <c:v>90.577822900637926</c:v>
                </c:pt>
                <c:pt idx="29">
                  <c:v>97.864010054535328</c:v>
                </c:pt>
                <c:pt idx="30">
                  <c:v>105.15019720843273</c:v>
                </c:pt>
                <c:pt idx="31">
                  <c:v>112.43638436233013</c:v>
                </c:pt>
                <c:pt idx="32">
                  <c:v>119.72257151622753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FTRA!$K$122:$AQ$122</c:f>
              <c:numCache>
                <c:formatCode>0.00</c:formatCode>
                <c:ptCount val="33"/>
                <c:pt idx="0">
                  <c:v>25.1</c:v>
                </c:pt>
                <c:pt idx="1">
                  <c:v>25.565088232651718</c:v>
                </c:pt>
                <c:pt idx="2">
                  <c:v>26.030176465303434</c:v>
                </c:pt>
                <c:pt idx="3">
                  <c:v>26.495264697955154</c:v>
                </c:pt>
                <c:pt idx="4">
                  <c:v>26.891657045383518</c:v>
                </c:pt>
                <c:pt idx="5">
                  <c:v>27.288049392811885</c:v>
                </c:pt>
                <c:pt idx="6">
                  <c:v>26.981510191502863</c:v>
                </c:pt>
                <c:pt idx="7">
                  <c:v>26.674970990193842</c:v>
                </c:pt>
                <c:pt idx="8">
                  <c:v>26.368431788884816</c:v>
                </c:pt>
                <c:pt idx="9">
                  <c:v>27.40098233685374</c:v>
                </c:pt>
                <c:pt idx="10">
                  <c:v>28.433532884822664</c:v>
                </c:pt>
                <c:pt idx="11">
                  <c:v>29.466083432791589</c:v>
                </c:pt>
                <c:pt idx="12">
                  <c:v>30.498633980760513</c:v>
                </c:pt>
                <c:pt idx="13">
                  <c:v>31.531184528729437</c:v>
                </c:pt>
                <c:pt idx="14">
                  <c:v>32.563735076698357</c:v>
                </c:pt>
                <c:pt idx="15">
                  <c:v>33.596285624667281</c:v>
                </c:pt>
                <c:pt idx="16">
                  <c:v>34.628836172636206</c:v>
                </c:pt>
                <c:pt idx="17">
                  <c:v>35.66138672060513</c:v>
                </c:pt>
                <c:pt idx="18">
                  <c:v>36.693937268574047</c:v>
                </c:pt>
                <c:pt idx="19">
                  <c:v>38.360083352691525</c:v>
                </c:pt>
                <c:pt idx="20">
                  <c:v>40.026229436809004</c:v>
                </c:pt>
                <c:pt idx="21">
                  <c:v>41.692375520926483</c:v>
                </c:pt>
                <c:pt idx="22">
                  <c:v>43.358521605043961</c:v>
                </c:pt>
                <c:pt idx="23">
                  <c:v>45.02466768916144</c:v>
                </c:pt>
                <c:pt idx="24">
                  <c:v>46.690813773278919</c:v>
                </c:pt>
                <c:pt idx="25">
                  <c:v>48.356959857396397</c:v>
                </c:pt>
                <c:pt idx="26">
                  <c:v>50.023105941513876</c:v>
                </c:pt>
                <c:pt idx="27">
                  <c:v>51.689252025631355</c:v>
                </c:pt>
                <c:pt idx="28">
                  <c:v>53.355398109748847</c:v>
                </c:pt>
                <c:pt idx="29">
                  <c:v>56.065124320770899</c:v>
                </c:pt>
                <c:pt idx="30">
                  <c:v>58.77485053179295</c:v>
                </c:pt>
                <c:pt idx="31">
                  <c:v>61.484576742815001</c:v>
                </c:pt>
                <c:pt idx="32">
                  <c:v>64.194302953837052</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FTRA!$K$123:$AQ$123</c:f>
              <c:numCache>
                <c:formatCode>0.00</c:formatCode>
                <c:ptCount val="33"/>
                <c:pt idx="0">
                  <c:v>82</c:v>
                </c:pt>
                <c:pt idx="1">
                  <c:v>82</c:v>
                </c:pt>
                <c:pt idx="2">
                  <c:v>82</c:v>
                </c:pt>
                <c:pt idx="3">
                  <c:v>82</c:v>
                </c:pt>
                <c:pt idx="4">
                  <c:v>82</c:v>
                </c:pt>
                <c:pt idx="5">
                  <c:v>82</c:v>
                </c:pt>
                <c:pt idx="6">
                  <c:v>80.333090323072156</c:v>
                </c:pt>
                <c:pt idx="7">
                  <c:v>78.666180646144312</c:v>
                </c:pt>
                <c:pt idx="8">
                  <c:v>76.999270969216482</c:v>
                </c:pt>
                <c:pt idx="9">
                  <c:v>79.135375281788185</c:v>
                </c:pt>
                <c:pt idx="10">
                  <c:v>81.271479594359903</c:v>
                </c:pt>
                <c:pt idx="11">
                  <c:v>83.40758390693162</c:v>
                </c:pt>
                <c:pt idx="12">
                  <c:v>85.543688219503338</c:v>
                </c:pt>
                <c:pt idx="13">
                  <c:v>87.679792532075055</c:v>
                </c:pt>
                <c:pt idx="14">
                  <c:v>89.815896844646772</c:v>
                </c:pt>
                <c:pt idx="15">
                  <c:v>91.95200115721849</c:v>
                </c:pt>
                <c:pt idx="16">
                  <c:v>94.088105469790207</c:v>
                </c:pt>
                <c:pt idx="17">
                  <c:v>96.224209782361925</c:v>
                </c:pt>
                <c:pt idx="18">
                  <c:v>98.360314094933585</c:v>
                </c:pt>
                <c:pt idx="19">
                  <c:v>101.69681486905661</c:v>
                </c:pt>
                <c:pt idx="20">
                  <c:v>105.03331564317963</c:v>
                </c:pt>
                <c:pt idx="21">
                  <c:v>108.36981641730266</c:v>
                </c:pt>
                <c:pt idx="22">
                  <c:v>111.70631719142568</c:v>
                </c:pt>
                <c:pt idx="23">
                  <c:v>115.04281796554871</c:v>
                </c:pt>
                <c:pt idx="24">
                  <c:v>118.37931873967173</c:v>
                </c:pt>
                <c:pt idx="25">
                  <c:v>121.71581951379476</c:v>
                </c:pt>
                <c:pt idx="26">
                  <c:v>125.05232028791778</c:v>
                </c:pt>
                <c:pt idx="27">
                  <c:v>128.38882106204079</c:v>
                </c:pt>
                <c:pt idx="28">
                  <c:v>131.72532183616377</c:v>
                </c:pt>
                <c:pt idx="29">
                  <c:v>137.67187330864436</c:v>
                </c:pt>
                <c:pt idx="30">
                  <c:v>143.61842478112496</c:v>
                </c:pt>
                <c:pt idx="31">
                  <c:v>149.56497625360555</c:v>
                </c:pt>
                <c:pt idx="32">
                  <c:v>155.51152772608614</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PTRA!$E$13:$K$13</c:f>
              <c:numCache>
                <c:formatCode>0.00</c:formatCode>
                <c:ptCount val="7"/>
                <c:pt idx="0">
                  <c:v>26.515913112989015</c:v>
                </c:pt>
                <c:pt idx="1">
                  <c:v>25.512634009282493</c:v>
                </c:pt>
                <c:pt idx="2">
                  <c:v>25.186180047358391</c:v>
                </c:pt>
                <c:pt idx="3">
                  <c:v>25.4523243135</c:v>
                </c:pt>
                <c:pt idx="4">
                  <c:v>20.712850503599999</c:v>
                </c:pt>
                <c:pt idx="5">
                  <c:v>14.739000688999997</c:v>
                </c:pt>
                <c:pt idx="6">
                  <c:v>10.434309486529997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PTRA!$E$14:$K$14</c:f>
              <c:numCache>
                <c:formatCode>0.00</c:formatCode>
                <c:ptCount val="7"/>
                <c:pt idx="0">
                  <c:v>15.909547867793409</c:v>
                </c:pt>
                <c:pt idx="1">
                  <c:v>16.599254000030616</c:v>
                </c:pt>
                <c:pt idx="2">
                  <c:v>17.161193864405195</c:v>
                </c:pt>
                <c:pt idx="3">
                  <c:v>18.6923198273</c:v>
                </c:pt>
                <c:pt idx="4">
                  <c:v>21.354603259300003</c:v>
                </c:pt>
                <c:pt idx="5">
                  <c:v>25.239021954659997</c:v>
                </c:pt>
                <c:pt idx="6">
                  <c:v>28.751933493569997</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PTRA!$E$15:$K$15</c:f>
              <c:numCache>
                <c:formatCode>0.00</c:formatCode>
                <c:ptCount val="7"/>
                <c:pt idx="0">
                  <c:v>9.8999719012876621</c:v>
                </c:pt>
                <c:pt idx="1">
                  <c:v>12.638603448008004</c:v>
                </c:pt>
                <c:pt idx="2">
                  <c:v>14.17457412988451</c:v>
                </c:pt>
                <c:pt idx="3">
                  <c:v>15.164045859200005</c:v>
                </c:pt>
                <c:pt idx="4">
                  <c:v>23.888636237100002</c:v>
                </c:pt>
                <c:pt idx="5">
                  <c:v>31.397283356339997</c:v>
                </c:pt>
                <c:pt idx="6">
                  <c:v>36.331666019899991</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PTRA!$M$54:$W$54</c:f>
              <c:numCache>
                <c:formatCode>0.00</c:formatCode>
                <c:ptCount val="11"/>
                <c:pt idx="0">
                  <c:v>0.13257956556494507</c:v>
                </c:pt>
                <c:pt idx="1">
                  <c:v>0.12726162156750001</c:v>
                </c:pt>
                <c:pt idx="2">
                  <c:v>0.103564252518</c:v>
                </c:pt>
                <c:pt idx="3">
                  <c:v>7.369500344499999E-2</c:v>
                </c:pt>
                <c:pt idx="4">
                  <c:v>5.2171547432649991E-2</c:v>
                </c:pt>
                <c:pt idx="6">
                  <c:v>0.13257956556494507</c:v>
                </c:pt>
                <c:pt idx="7">
                  <c:v>0.12726162156750001</c:v>
                </c:pt>
                <c:pt idx="8">
                  <c:v>0.24596509973024999</c:v>
                </c:pt>
                <c:pt idx="9">
                  <c:v>0.13301948121822499</c:v>
                </c:pt>
                <c:pt idx="10">
                  <c:v>8.9461160960136565E-2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PTRA!$M$55:$W$55</c:f>
              <c:numCache>
                <c:formatCode>0.00</c:formatCode>
                <c:ptCount val="11"/>
                <c:pt idx="0">
                  <c:v>2.6402161414723233</c:v>
                </c:pt>
                <c:pt idx="1">
                  <c:v>3.1020218135492184</c:v>
                </c:pt>
                <c:pt idx="2">
                  <c:v>3.5438322124839328</c:v>
                </c:pt>
                <c:pt idx="3">
                  <c:v>4.1884580073179594</c:v>
                </c:pt>
                <c:pt idx="4">
                  <c:v>4.7714315666967364</c:v>
                </c:pt>
                <c:pt idx="6">
                  <c:v>2.6402161414723233</c:v>
                </c:pt>
                <c:pt idx="7">
                  <c:v>3.1020218135492184</c:v>
                </c:pt>
                <c:pt idx="8">
                  <c:v>3.198308571766749</c:v>
                </c:pt>
                <c:pt idx="9">
                  <c:v>3.4115252248230226</c:v>
                </c:pt>
                <c:pt idx="10">
                  <c:v>3.5074406513509082</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PTRA!$M$56:$W$56</c:f>
              <c:numCache>
                <c:formatCode>0.00</c:formatCode>
                <c:ptCount val="11"/>
                <c:pt idx="0">
                  <c:v>3.1392972583426562</c:v>
                </c:pt>
                <c:pt idx="1">
                  <c:v>4.8219941229988592</c:v>
                </c:pt>
                <c:pt idx="2">
                  <c:v>8.5960522430967679</c:v>
                </c:pt>
                <c:pt idx="3">
                  <c:v>12.942978469195841</c:v>
                </c:pt>
                <c:pt idx="4">
                  <c:v>16.86197564899355</c:v>
                </c:pt>
                <c:pt idx="6">
                  <c:v>3.1392972583426562</c:v>
                </c:pt>
                <c:pt idx="7">
                  <c:v>4.8219941229988592</c:v>
                </c:pt>
                <c:pt idx="8">
                  <c:v>7.221246603388777</c:v>
                </c:pt>
                <c:pt idx="9">
                  <c:v>9.0224009469349369</c:v>
                </c:pt>
                <c:pt idx="10">
                  <c:v>9.9248647010681896</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PTRA!$M$57:$W$57</c:f>
              <c:numCache>
                <c:formatCode>0.00</c:formatCode>
                <c:ptCount val="11"/>
                <c:pt idx="0">
                  <c:v>0.46423163626158442</c:v>
                </c:pt>
                <c:pt idx="1">
                  <c:v>0.4600505194276025</c:v>
                </c:pt>
                <c:pt idx="2">
                  <c:v>0.57318693681116717</c:v>
                </c:pt>
                <c:pt idx="3">
                  <c:v>0.70533089721998898</c:v>
                </c:pt>
                <c:pt idx="4">
                  <c:v>0.84285246814778414</c:v>
                </c:pt>
                <c:pt idx="6">
                  <c:v>0.46423163626158442</c:v>
                </c:pt>
                <c:pt idx="7">
                  <c:v>0.4600505194276025</c:v>
                </c:pt>
                <c:pt idx="8">
                  <c:v>0.57318693681116717</c:v>
                </c:pt>
                <c:pt idx="9">
                  <c:v>0.70533089721998898</c:v>
                </c:pt>
                <c:pt idx="10">
                  <c:v>0.84285246814778414</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112.68063157997248</c:v>
                </c:pt>
                <c:pt idx="1">
                  <c:v>152.46077873169097</c:v>
                </c:pt>
                <c:pt idx="2">
                  <c:v>233.82511154997874</c:v>
                </c:pt>
                <c:pt idx="3">
                  <c:v>329.77749297189564</c:v>
                </c:pt>
                <c:pt idx="4">
                  <c:v>416.67107955097555</c:v>
                </c:pt>
                <c:pt idx="6">
                  <c:v>112.68063157997248</c:v>
                </c:pt>
                <c:pt idx="7">
                  <c:v>152.46077873169097</c:v>
                </c:pt>
                <c:pt idx="8">
                  <c:v>218.23677077998013</c:v>
                </c:pt>
                <c:pt idx="9">
                  <c:v>285.80716057564291</c:v>
                </c:pt>
                <c:pt idx="10">
                  <c:v>333.33686364078045</c:v>
                </c:pt>
              </c:numCache>
            </c:numRef>
          </c:val>
          <c:extLst>
            <c:ext xmlns:c16="http://schemas.microsoft.com/office/drawing/2014/chart" uri="{C3380CC4-5D6E-409C-BE32-E72D297353CC}">
              <c16:uniqueId val="{00000000-815E-4455-8184-89B10D2107B8}"/>
            </c:ext>
          </c:extLst>
        </c:ser>
        <c:ser>
          <c:idx val="1"/>
          <c:order val="1"/>
          <c:tx>
            <c:strRef>
              <c:f>PTRA!$L$162</c:f>
              <c:strCache>
                <c:ptCount val="1"/>
                <c:pt idx="0">
                  <c:v>SUV</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12.806355173826766</c:v>
                </c:pt>
                <c:pt idx="1">
                  <c:v>17.327439996913135</c:v>
                </c:pt>
                <c:pt idx="2">
                  <c:v>26.574641844667429</c:v>
                </c:pt>
                <c:pt idx="3">
                  <c:v>37.479801489530189</c:v>
                </c:pt>
                <c:pt idx="4">
                  <c:v>47.35541290966664</c:v>
                </c:pt>
                <c:pt idx="6">
                  <c:v>12.806355173826766</c:v>
                </c:pt>
                <c:pt idx="7">
                  <c:v>17.327439996913135</c:v>
                </c:pt>
                <c:pt idx="8">
                  <c:v>24.80299905502293</c:v>
                </c:pt>
                <c:pt idx="9">
                  <c:v>32.482494624259495</c:v>
                </c:pt>
                <c:pt idx="10">
                  <c:v>37.884330327733316</c:v>
                </c:pt>
              </c:numCache>
            </c:numRef>
          </c:val>
          <c:extLst>
            <c:ext xmlns:c16="http://schemas.microsoft.com/office/drawing/2014/chart" uri="{C3380CC4-5D6E-409C-BE32-E72D297353CC}">
              <c16:uniqueId val="{00000001-815E-4455-8184-89B10D2107B8}"/>
            </c:ext>
          </c:extLst>
        </c:ser>
        <c:ser>
          <c:idx val="2"/>
          <c:order val="2"/>
          <c:tx>
            <c:strRef>
              <c:f>PTRA!$L$163</c:f>
              <c:strCache>
                <c:ptCount val="1"/>
                <c:pt idx="0">
                  <c:v>Motorbike</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3.2176150449692118</c:v>
                </c:pt>
                <c:pt idx="1">
                  <c:v>4.3535440699642081</c:v>
                </c:pt>
                <c:pt idx="2">
                  <c:v>6.6769167537088769</c:v>
                </c:pt>
                <c:pt idx="3">
                  <c:v>9.4168537041391236</c:v>
                </c:pt>
                <c:pt idx="4">
                  <c:v>11.898115191298519</c:v>
                </c:pt>
                <c:pt idx="6">
                  <c:v>3.2176150449692118</c:v>
                </c:pt>
                <c:pt idx="7">
                  <c:v>4.3535440699642081</c:v>
                </c:pt>
                <c:pt idx="8">
                  <c:v>6.6769167537088769</c:v>
                </c:pt>
                <c:pt idx="9">
                  <c:v>9.4168537041391236</c:v>
                </c:pt>
                <c:pt idx="10">
                  <c:v>11.898115191298519</c:v>
                </c:pt>
              </c:numCache>
            </c:numRef>
          </c:val>
          <c:extLst>
            <c:ext xmlns:c16="http://schemas.microsoft.com/office/drawing/2014/chart" uri="{C3380CC4-5D6E-409C-BE32-E72D297353CC}">
              <c16:uniqueId val="{00000002-815E-4455-8184-89B10D2107B8}"/>
            </c:ext>
          </c:extLst>
        </c:ser>
        <c:ser>
          <c:idx val="3"/>
          <c:order val="3"/>
          <c:tx>
            <c:strRef>
              <c:f>PTRA!$L$164</c:f>
              <c:strCache>
                <c:ptCount val="1"/>
                <c:pt idx="0">
                  <c:v>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26.811456492147904</c:v>
                </c:pt>
                <c:pt idx="1">
                  <c:v>20.33922602402685</c:v>
                </c:pt>
                <c:pt idx="2">
                  <c:v>18.804184907895817</c:v>
                </c:pt>
                <c:pt idx="3">
                  <c:v>15.707106983093061</c:v>
                </c:pt>
                <c:pt idx="4">
                  <c:v>12.485175739950657</c:v>
                </c:pt>
                <c:pt idx="6">
                  <c:v>26.811456492147904</c:v>
                </c:pt>
                <c:pt idx="7">
                  <c:v>20.33922602402685</c:v>
                </c:pt>
                <c:pt idx="8">
                  <c:v>21.109616217320024</c:v>
                </c:pt>
                <c:pt idx="9">
                  <c:v>22.210081384782367</c:v>
                </c:pt>
                <c:pt idx="10">
                  <c:v>24.809855661975359</c:v>
                </c:pt>
              </c:numCache>
            </c:numRef>
          </c:val>
          <c:extLst>
            <c:ext xmlns:c16="http://schemas.microsoft.com/office/drawing/2014/chart" uri="{C3380CC4-5D6E-409C-BE32-E72D297353CC}">
              <c16:uniqueId val="{00000003-815E-4455-8184-89B10D2107B8}"/>
            </c:ext>
          </c:extLst>
        </c:ser>
        <c:ser>
          <c:idx val="4"/>
          <c:order val="4"/>
          <c:tx>
            <c:strRef>
              <c:f>PTRA!$L$165</c:f>
              <c:strCache>
                <c:ptCount val="1"/>
                <c:pt idx="0">
                  <c:v>Minibus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93.170591267983497</c:v>
                </c:pt>
                <c:pt idx="1">
                  <c:v>107.60549984333126</c:v>
                </c:pt>
                <c:pt idx="2">
                  <c:v>99.484302587043402</c:v>
                </c:pt>
                <c:pt idx="3">
                  <c:v>83.099086268661253</c:v>
                </c:pt>
                <c:pt idx="4">
                  <c:v>66.053328407982178</c:v>
                </c:pt>
                <c:pt idx="6">
                  <c:v>93.170591267983497</c:v>
                </c:pt>
                <c:pt idx="7">
                  <c:v>107.60549984333126</c:v>
                </c:pt>
                <c:pt idx="8">
                  <c:v>111.68128039298364</c:v>
                </c:pt>
                <c:pt idx="9">
                  <c:v>117.50333597489589</c:v>
                </c:pt>
                <c:pt idx="10">
                  <c:v>131.25754718463989</c:v>
                </c:pt>
              </c:numCache>
            </c:numRef>
          </c:val>
          <c:extLst>
            <c:ext xmlns:c16="http://schemas.microsoft.com/office/drawing/2014/chart" uri="{C3380CC4-5D6E-409C-BE32-E72D297353CC}">
              <c16:uniqueId val="{00000004-815E-4455-8184-89B10D2107B8}"/>
            </c:ext>
          </c:extLst>
        </c:ser>
        <c:ser>
          <c:idx val="5"/>
          <c:order val="5"/>
          <c:tx>
            <c:strRef>
              <c:f>PTRA!$L$166</c:f>
              <c:strCache>
                <c:ptCount val="1"/>
                <c:pt idx="0">
                  <c:v>BRT</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0.52646576779622667</c:v>
                </c:pt>
                <c:pt idx="1">
                  <c:v>5.6807345999249996</c:v>
                </c:pt>
                <c:pt idx="2">
                  <c:v>13.505484675682469</c:v>
                </c:pt>
                <c:pt idx="3">
                  <c:v>24.234425063877435</c:v>
                </c:pt>
                <c:pt idx="4">
                  <c:v>34.706563307794895</c:v>
                </c:pt>
                <c:pt idx="6">
                  <c:v>0.52646576779622667</c:v>
                </c:pt>
                <c:pt idx="7">
                  <c:v>5.6807345999249996</c:v>
                </c:pt>
                <c:pt idx="8">
                  <c:v>15.161284561334165</c:v>
                </c:pt>
                <c:pt idx="9">
                  <c:v>28.904971623515472</c:v>
                </c:pt>
                <c:pt idx="10">
                  <c:v>43.558357556515766</c:v>
                </c:pt>
              </c:numCache>
            </c:numRef>
          </c:val>
          <c:extLst>
            <c:ext xmlns:c16="http://schemas.microsoft.com/office/drawing/2014/chart" uri="{C3380CC4-5D6E-409C-BE32-E72D297353CC}">
              <c16:uniqueId val="{00000005-815E-4455-8184-89B10D2107B8}"/>
            </c:ext>
          </c:extLst>
        </c:ser>
        <c:ser>
          <c:idx val="6"/>
          <c:order val="6"/>
          <c:tx>
            <c:strRef>
              <c:f>PTRA!$L$167</c:f>
              <c:strCache>
                <c:ptCount val="1"/>
                <c:pt idx="0">
                  <c:v>Metro Rail</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11.83268962284844</c:v>
                </c:pt>
                <c:pt idx="1">
                  <c:v>9.4824769976881882</c:v>
                </c:pt>
                <c:pt idx="2">
                  <c:v>8.7668159367892589</c:v>
                </c:pt>
                <c:pt idx="3">
                  <c:v>7.3229079853609482</c:v>
                </c:pt>
                <c:pt idx="4">
                  <c:v>5.8207913922742875</c:v>
                </c:pt>
                <c:pt idx="6">
                  <c:v>11.83268962284844</c:v>
                </c:pt>
                <c:pt idx="7">
                  <c:v>9.4824769976881882</c:v>
                </c:pt>
                <c:pt idx="8">
                  <c:v>9.8416453986154089</c:v>
                </c:pt>
                <c:pt idx="9">
                  <c:v>10.354700105067447</c:v>
                </c:pt>
                <c:pt idx="10">
                  <c:v>11.566757031596611</c:v>
                </c:pt>
              </c:numCache>
            </c:numRef>
          </c:val>
          <c:extLst>
            <c:ext xmlns:c16="http://schemas.microsoft.com/office/drawing/2014/chart" uri="{C3380CC4-5D6E-409C-BE32-E72D297353CC}">
              <c16:uniqueId val="{00000006-815E-4455-8184-89B10D2107B8}"/>
            </c:ext>
          </c:extLst>
        </c:ser>
        <c:ser>
          <c:idx val="7"/>
          <c:order val="7"/>
          <c:tx>
            <c:strRef>
              <c:f>PTRA!$L$168</c:f>
              <c:strCache>
                <c:ptCount val="1"/>
                <c:pt idx="0">
                  <c:v>Gautrain</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0.51926218869795138</c:v>
                </c:pt>
                <c:pt idx="1">
                  <c:v>0.72286969068405627</c:v>
                </c:pt>
                <c:pt idx="2">
                  <c:v>1.0354240716845304</c:v>
                </c:pt>
                <c:pt idx="3">
                  <c:v>1.3247643137425078</c:v>
                </c:pt>
                <c:pt idx="4">
                  <c:v>1.5271702094967394</c:v>
                </c:pt>
                <c:pt idx="6">
                  <c:v>0.51926218869795138</c:v>
                </c:pt>
                <c:pt idx="7">
                  <c:v>0.72286969068405627</c:v>
                </c:pt>
                <c:pt idx="8">
                  <c:v>1.1623691684853323</c:v>
                </c:pt>
                <c:pt idx="9">
                  <c:v>1.6828407879974545</c:v>
                </c:pt>
                <c:pt idx="10">
                  <c:v>2.2058101148995513</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PTRA!$L$149</c:f>
              <c:strCache>
                <c:ptCount val="1"/>
                <c:pt idx="0">
                  <c:v>Car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PTRA!$M$149:$W$149</c:f>
              <c:numCache>
                <c:formatCode>0.0</c:formatCode>
                <c:ptCount val="11"/>
                <c:pt idx="0">
                  <c:v>80.486165414266068</c:v>
                </c:pt>
                <c:pt idx="1">
                  <c:v>108.90055623692213</c:v>
                </c:pt>
                <c:pt idx="2">
                  <c:v>167.0179368214134</c:v>
                </c:pt>
                <c:pt idx="3">
                  <c:v>235.55535212278261</c:v>
                </c:pt>
                <c:pt idx="4">
                  <c:v>297.62219967926842</c:v>
                </c:pt>
                <c:pt idx="6">
                  <c:v>80.486165414266068</c:v>
                </c:pt>
                <c:pt idx="7">
                  <c:v>108.90055623692213</c:v>
                </c:pt>
                <c:pt idx="8">
                  <c:v>155.88340769998581</c:v>
                </c:pt>
                <c:pt idx="9">
                  <c:v>204.14797183974494</c:v>
                </c:pt>
                <c:pt idx="10">
                  <c:v>238.09775974341463</c:v>
                </c:pt>
              </c:numCache>
            </c:numRef>
          </c:val>
          <c:extLst>
            <c:ext xmlns:c16="http://schemas.microsoft.com/office/drawing/2014/chart" uri="{C3380CC4-5D6E-409C-BE32-E72D297353CC}">
              <c16:uniqueId val="{00000000-932F-4A42-AC3D-D835212459A4}"/>
            </c:ext>
          </c:extLst>
        </c:ser>
        <c:ser>
          <c:idx val="1"/>
          <c:order val="1"/>
          <c:tx>
            <c:strRef>
              <c:f>PTRA!$L$150</c:f>
              <c:strCache>
                <c:ptCount val="1"/>
                <c:pt idx="0">
                  <c:v>SUV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PTRA!$M$150:$W$150</c:f>
              <c:numCache>
                <c:formatCode>0.0</c:formatCode>
                <c:ptCount val="11"/>
                <c:pt idx="0">
                  <c:v>9.1473965527334045</c:v>
                </c:pt>
                <c:pt idx="1">
                  <c:v>12.376742854937952</c:v>
                </c:pt>
                <c:pt idx="2">
                  <c:v>18.981887031905309</c:v>
                </c:pt>
                <c:pt idx="3">
                  <c:v>26.771286778235851</c:v>
                </c:pt>
                <c:pt idx="4">
                  <c:v>33.825294935476187</c:v>
                </c:pt>
                <c:pt idx="6">
                  <c:v>9.1473965527334045</c:v>
                </c:pt>
                <c:pt idx="7">
                  <c:v>12.376742854937955</c:v>
                </c:pt>
                <c:pt idx="8">
                  <c:v>17.716427896444952</c:v>
                </c:pt>
                <c:pt idx="9">
                  <c:v>23.20178187447107</c:v>
                </c:pt>
                <c:pt idx="10">
                  <c:v>27.060235948380942</c:v>
                </c:pt>
              </c:numCache>
            </c:numRef>
          </c:val>
          <c:extLst>
            <c:ext xmlns:c16="http://schemas.microsoft.com/office/drawing/2014/chart" uri="{C3380CC4-5D6E-409C-BE32-E72D297353CC}">
              <c16:uniqueId val="{00000001-932F-4A42-AC3D-D835212459A4}"/>
            </c:ext>
          </c:extLst>
        </c:ser>
        <c:ser>
          <c:idx val="2"/>
          <c:order val="2"/>
          <c:tx>
            <c:strRef>
              <c:f>PTRA!$L$151</c:f>
              <c:strCache>
                <c:ptCount val="1"/>
                <c:pt idx="0">
                  <c:v>Motorbikes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PTRA!$M$151:$W$151</c:f>
              <c:numCache>
                <c:formatCode>0.0</c:formatCode>
                <c:ptCount val="11"/>
                <c:pt idx="0">
                  <c:v>2.2982964606922942</c:v>
                </c:pt>
                <c:pt idx="1">
                  <c:v>3.10967433568872</c:v>
                </c:pt>
                <c:pt idx="2">
                  <c:v>4.7692262526491982</c:v>
                </c:pt>
                <c:pt idx="3">
                  <c:v>6.7263240743850892</c:v>
                </c:pt>
                <c:pt idx="4">
                  <c:v>8.4986537080703748</c:v>
                </c:pt>
                <c:pt idx="6">
                  <c:v>2.2982964606922942</c:v>
                </c:pt>
                <c:pt idx="7">
                  <c:v>3.1096743356887204</c:v>
                </c:pt>
                <c:pt idx="8">
                  <c:v>4.7692262526491982</c:v>
                </c:pt>
                <c:pt idx="9">
                  <c:v>6.7263240743850883</c:v>
                </c:pt>
                <c:pt idx="10">
                  <c:v>8.4986537080703712</c:v>
                </c:pt>
              </c:numCache>
            </c:numRef>
          </c:val>
          <c:extLst>
            <c:ext xmlns:c16="http://schemas.microsoft.com/office/drawing/2014/chart" uri="{C3380CC4-5D6E-409C-BE32-E72D297353CC}">
              <c16:uniqueId val="{00000002-932F-4A42-AC3D-D835212459A4}"/>
            </c:ext>
          </c:extLst>
        </c:ser>
        <c:ser>
          <c:idx val="3"/>
          <c:order val="3"/>
          <c:tx>
            <c:strRef>
              <c:f>PTRA!$L$152</c:f>
              <c:strCache>
                <c:ptCount val="1"/>
                <c:pt idx="0">
                  <c:v>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PTRA!$M$152:$W$152</c:f>
              <c:numCache>
                <c:formatCode>0.0</c:formatCode>
                <c:ptCount val="11"/>
                <c:pt idx="0">
                  <c:v>1.0724582596859162</c:v>
                </c:pt>
                <c:pt idx="1">
                  <c:v>0.81356904096107396</c:v>
                </c:pt>
                <c:pt idx="2">
                  <c:v>0.75216739631583263</c:v>
                </c:pt>
                <c:pt idx="3">
                  <c:v>0.62828427932372244</c:v>
                </c:pt>
                <c:pt idx="4">
                  <c:v>0.4994070295980263</c:v>
                </c:pt>
                <c:pt idx="6">
                  <c:v>1.0724582596859162</c:v>
                </c:pt>
                <c:pt idx="7">
                  <c:v>0.81356904096107396</c:v>
                </c:pt>
                <c:pt idx="8">
                  <c:v>0.84438464869280094</c:v>
                </c:pt>
                <c:pt idx="9">
                  <c:v>0.88840325539129461</c:v>
                </c:pt>
                <c:pt idx="10">
                  <c:v>0.99239422647901432</c:v>
                </c:pt>
              </c:numCache>
            </c:numRef>
          </c:val>
          <c:extLst>
            <c:ext xmlns:c16="http://schemas.microsoft.com/office/drawing/2014/chart" uri="{C3380CC4-5D6E-409C-BE32-E72D297353CC}">
              <c16:uniqueId val="{00000003-932F-4A42-AC3D-D835212459A4}"/>
            </c:ext>
          </c:extLst>
        </c:ser>
        <c:ser>
          <c:idx val="4"/>
          <c:order val="4"/>
          <c:tx>
            <c:strRef>
              <c:f>PTRA!$L$153</c:f>
              <c:strCache>
                <c:ptCount val="1"/>
                <c:pt idx="0">
                  <c:v>Minibus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PTRA!$M$153:$W$153</c:f>
              <c:numCache>
                <c:formatCode>0.0</c:formatCode>
                <c:ptCount val="11"/>
                <c:pt idx="0">
                  <c:v>6.6550422334273929</c:v>
                </c:pt>
                <c:pt idx="1">
                  <c:v>7.6861071316665184</c:v>
                </c:pt>
                <c:pt idx="2">
                  <c:v>7.1060216133602427</c:v>
                </c:pt>
                <c:pt idx="3">
                  <c:v>5.9356490191900892</c:v>
                </c:pt>
                <c:pt idx="4">
                  <c:v>4.7180948862844412</c:v>
                </c:pt>
                <c:pt idx="6">
                  <c:v>6.6550422334273929</c:v>
                </c:pt>
                <c:pt idx="7">
                  <c:v>7.6861071316665184</c:v>
                </c:pt>
                <c:pt idx="8">
                  <c:v>7.9772343137845452</c:v>
                </c:pt>
                <c:pt idx="9">
                  <c:v>8.3930954267782774</c:v>
                </c:pt>
                <c:pt idx="10">
                  <c:v>9.3755390846171345</c:v>
                </c:pt>
              </c:numCache>
            </c:numRef>
          </c:val>
          <c:extLst>
            <c:ext xmlns:c16="http://schemas.microsoft.com/office/drawing/2014/chart" uri="{C3380CC4-5D6E-409C-BE32-E72D297353CC}">
              <c16:uniqueId val="{00000004-932F-4A42-AC3D-D835212459A4}"/>
            </c:ext>
          </c:extLst>
        </c:ser>
        <c:ser>
          <c:idx val="5"/>
          <c:order val="5"/>
          <c:tx>
            <c:strRef>
              <c:f>PTRA!$L$154</c:f>
              <c:strCache>
                <c:ptCount val="1"/>
                <c:pt idx="0">
                  <c:v>BRT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PTRA!$M$154:$W$154</c:f>
              <c:numCache>
                <c:formatCode>0.0</c:formatCode>
                <c:ptCount val="11"/>
                <c:pt idx="0">
                  <c:v>2.1058630711849068E-2</c:v>
                </c:pt>
                <c:pt idx="1">
                  <c:v>0.22722938399699999</c:v>
                </c:pt>
                <c:pt idx="2">
                  <c:v>0.54021938702729877</c:v>
                </c:pt>
                <c:pt idx="3">
                  <c:v>0.9693770025550974</c:v>
                </c:pt>
                <c:pt idx="4">
                  <c:v>1.3882625323117959</c:v>
                </c:pt>
                <c:pt idx="6">
                  <c:v>2.1058630711849068E-2</c:v>
                </c:pt>
                <c:pt idx="7">
                  <c:v>0.22722938399699999</c:v>
                </c:pt>
                <c:pt idx="8">
                  <c:v>0.60645138245336661</c:v>
                </c:pt>
                <c:pt idx="9">
                  <c:v>1.156198864940619</c:v>
                </c:pt>
                <c:pt idx="10">
                  <c:v>1.7423343022606306</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112.68063157997248</c:v>
                </c:pt>
                <c:pt idx="1">
                  <c:v>152.46077873169097</c:v>
                </c:pt>
                <c:pt idx="2">
                  <c:v>233.82511154997874</c:v>
                </c:pt>
                <c:pt idx="3">
                  <c:v>329.77749297189564</c:v>
                </c:pt>
                <c:pt idx="4">
                  <c:v>416.67107955097555</c:v>
                </c:pt>
                <c:pt idx="6">
                  <c:v>112.68063157997248</c:v>
                </c:pt>
                <c:pt idx="7">
                  <c:v>152.46077873169097</c:v>
                </c:pt>
                <c:pt idx="8">
                  <c:v>218.23677077998013</c:v>
                </c:pt>
                <c:pt idx="9">
                  <c:v>285.80716057564291</c:v>
                </c:pt>
                <c:pt idx="10">
                  <c:v>333.33686364078045</c:v>
                </c:pt>
              </c:numCache>
            </c:numRef>
          </c:val>
          <c:extLst>
            <c:ext xmlns:c16="http://schemas.microsoft.com/office/drawing/2014/chart" uri="{C3380CC4-5D6E-409C-BE32-E72D297353CC}">
              <c16:uniqueId val="{00000000-F634-447C-BF2D-DB61460FBE28}"/>
            </c:ext>
          </c:extLst>
        </c:ser>
        <c:ser>
          <c:idx val="1"/>
          <c:order val="1"/>
          <c:tx>
            <c:strRef>
              <c:f>PTRA!$L$162</c:f>
              <c:strCache>
                <c:ptCount val="1"/>
                <c:pt idx="0">
                  <c:v>SUV</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12.806355173826766</c:v>
                </c:pt>
                <c:pt idx="1">
                  <c:v>17.327439996913135</c:v>
                </c:pt>
                <c:pt idx="2">
                  <c:v>26.574641844667429</c:v>
                </c:pt>
                <c:pt idx="3">
                  <c:v>37.479801489530189</c:v>
                </c:pt>
                <c:pt idx="4">
                  <c:v>47.35541290966664</c:v>
                </c:pt>
                <c:pt idx="6">
                  <c:v>12.806355173826766</c:v>
                </c:pt>
                <c:pt idx="7">
                  <c:v>17.327439996913135</c:v>
                </c:pt>
                <c:pt idx="8">
                  <c:v>24.80299905502293</c:v>
                </c:pt>
                <c:pt idx="9">
                  <c:v>32.482494624259495</c:v>
                </c:pt>
                <c:pt idx="10">
                  <c:v>37.884330327733316</c:v>
                </c:pt>
              </c:numCache>
            </c:numRef>
          </c:val>
          <c:extLst>
            <c:ext xmlns:c16="http://schemas.microsoft.com/office/drawing/2014/chart" uri="{C3380CC4-5D6E-409C-BE32-E72D297353CC}">
              <c16:uniqueId val="{00000001-F634-447C-BF2D-DB61460FBE28}"/>
            </c:ext>
          </c:extLst>
        </c:ser>
        <c:ser>
          <c:idx val="2"/>
          <c:order val="2"/>
          <c:tx>
            <c:strRef>
              <c:f>PTRA!$L$163</c:f>
              <c:strCache>
                <c:ptCount val="1"/>
                <c:pt idx="0">
                  <c:v>Motorbike</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3.2176150449692118</c:v>
                </c:pt>
                <c:pt idx="1">
                  <c:v>4.3535440699642081</c:v>
                </c:pt>
                <c:pt idx="2">
                  <c:v>6.6769167537088769</c:v>
                </c:pt>
                <c:pt idx="3">
                  <c:v>9.4168537041391236</c:v>
                </c:pt>
                <c:pt idx="4">
                  <c:v>11.898115191298519</c:v>
                </c:pt>
                <c:pt idx="6">
                  <c:v>3.2176150449692118</c:v>
                </c:pt>
                <c:pt idx="7">
                  <c:v>4.3535440699642081</c:v>
                </c:pt>
                <c:pt idx="8">
                  <c:v>6.6769167537088769</c:v>
                </c:pt>
                <c:pt idx="9">
                  <c:v>9.4168537041391236</c:v>
                </c:pt>
                <c:pt idx="10">
                  <c:v>11.898115191298519</c:v>
                </c:pt>
              </c:numCache>
            </c:numRef>
          </c:val>
          <c:extLst>
            <c:ext xmlns:c16="http://schemas.microsoft.com/office/drawing/2014/chart" uri="{C3380CC4-5D6E-409C-BE32-E72D297353CC}">
              <c16:uniqueId val="{00000002-F634-447C-BF2D-DB61460FBE28}"/>
            </c:ext>
          </c:extLst>
        </c:ser>
        <c:ser>
          <c:idx val="3"/>
          <c:order val="3"/>
          <c:tx>
            <c:strRef>
              <c:f>PTRA!$L$164</c:f>
              <c:strCache>
                <c:ptCount val="1"/>
                <c:pt idx="0">
                  <c:v>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26.811456492147904</c:v>
                </c:pt>
                <c:pt idx="1">
                  <c:v>20.33922602402685</c:v>
                </c:pt>
                <c:pt idx="2">
                  <c:v>18.804184907895817</c:v>
                </c:pt>
                <c:pt idx="3">
                  <c:v>15.707106983093061</c:v>
                </c:pt>
                <c:pt idx="4">
                  <c:v>12.485175739950657</c:v>
                </c:pt>
                <c:pt idx="6">
                  <c:v>26.811456492147904</c:v>
                </c:pt>
                <c:pt idx="7">
                  <c:v>20.33922602402685</c:v>
                </c:pt>
                <c:pt idx="8">
                  <c:v>21.109616217320024</c:v>
                </c:pt>
                <c:pt idx="9">
                  <c:v>22.210081384782367</c:v>
                </c:pt>
                <c:pt idx="10">
                  <c:v>24.809855661975359</c:v>
                </c:pt>
              </c:numCache>
            </c:numRef>
          </c:val>
          <c:extLst>
            <c:ext xmlns:c16="http://schemas.microsoft.com/office/drawing/2014/chart" uri="{C3380CC4-5D6E-409C-BE32-E72D297353CC}">
              <c16:uniqueId val="{00000003-F634-447C-BF2D-DB61460FBE28}"/>
            </c:ext>
          </c:extLst>
        </c:ser>
        <c:ser>
          <c:idx val="4"/>
          <c:order val="4"/>
          <c:tx>
            <c:strRef>
              <c:f>PTRA!$L$165</c:f>
              <c:strCache>
                <c:ptCount val="1"/>
                <c:pt idx="0">
                  <c:v>Minibus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93.170591267983497</c:v>
                </c:pt>
                <c:pt idx="1">
                  <c:v>107.60549984333126</c:v>
                </c:pt>
                <c:pt idx="2">
                  <c:v>99.484302587043402</c:v>
                </c:pt>
                <c:pt idx="3">
                  <c:v>83.099086268661253</c:v>
                </c:pt>
                <c:pt idx="4">
                  <c:v>66.053328407982178</c:v>
                </c:pt>
                <c:pt idx="6">
                  <c:v>93.170591267983497</c:v>
                </c:pt>
                <c:pt idx="7">
                  <c:v>107.60549984333126</c:v>
                </c:pt>
                <c:pt idx="8">
                  <c:v>111.68128039298364</c:v>
                </c:pt>
                <c:pt idx="9">
                  <c:v>117.50333597489589</c:v>
                </c:pt>
                <c:pt idx="10">
                  <c:v>131.25754718463989</c:v>
                </c:pt>
              </c:numCache>
            </c:numRef>
          </c:val>
          <c:extLst>
            <c:ext xmlns:c16="http://schemas.microsoft.com/office/drawing/2014/chart" uri="{C3380CC4-5D6E-409C-BE32-E72D297353CC}">
              <c16:uniqueId val="{00000004-F634-447C-BF2D-DB61460FBE28}"/>
            </c:ext>
          </c:extLst>
        </c:ser>
        <c:ser>
          <c:idx val="5"/>
          <c:order val="5"/>
          <c:tx>
            <c:strRef>
              <c:f>PTRA!$L$166</c:f>
              <c:strCache>
                <c:ptCount val="1"/>
                <c:pt idx="0">
                  <c:v>BRT</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0.52646576779622667</c:v>
                </c:pt>
                <c:pt idx="1">
                  <c:v>5.6807345999249996</c:v>
                </c:pt>
                <c:pt idx="2">
                  <c:v>13.505484675682469</c:v>
                </c:pt>
                <c:pt idx="3">
                  <c:v>24.234425063877435</c:v>
                </c:pt>
                <c:pt idx="4">
                  <c:v>34.706563307794895</c:v>
                </c:pt>
                <c:pt idx="6">
                  <c:v>0.52646576779622667</c:v>
                </c:pt>
                <c:pt idx="7">
                  <c:v>5.6807345999249996</c:v>
                </c:pt>
                <c:pt idx="8">
                  <c:v>15.161284561334165</c:v>
                </c:pt>
                <c:pt idx="9">
                  <c:v>28.904971623515472</c:v>
                </c:pt>
                <c:pt idx="10">
                  <c:v>43.558357556515766</c:v>
                </c:pt>
              </c:numCache>
            </c:numRef>
          </c:val>
          <c:extLst>
            <c:ext xmlns:c16="http://schemas.microsoft.com/office/drawing/2014/chart" uri="{C3380CC4-5D6E-409C-BE32-E72D297353CC}">
              <c16:uniqueId val="{00000005-F634-447C-BF2D-DB61460FBE28}"/>
            </c:ext>
          </c:extLst>
        </c:ser>
        <c:ser>
          <c:idx val="6"/>
          <c:order val="6"/>
          <c:tx>
            <c:strRef>
              <c:f>PTRA!$L$167</c:f>
              <c:strCache>
                <c:ptCount val="1"/>
                <c:pt idx="0">
                  <c:v>Metro Rail</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11.83268962284844</c:v>
                </c:pt>
                <c:pt idx="1">
                  <c:v>9.4824769976881882</c:v>
                </c:pt>
                <c:pt idx="2">
                  <c:v>8.7668159367892589</c:v>
                </c:pt>
                <c:pt idx="3">
                  <c:v>7.3229079853609482</c:v>
                </c:pt>
                <c:pt idx="4">
                  <c:v>5.8207913922742875</c:v>
                </c:pt>
                <c:pt idx="6">
                  <c:v>11.83268962284844</c:v>
                </c:pt>
                <c:pt idx="7">
                  <c:v>9.4824769976881882</c:v>
                </c:pt>
                <c:pt idx="8">
                  <c:v>9.8416453986154089</c:v>
                </c:pt>
                <c:pt idx="9">
                  <c:v>10.354700105067447</c:v>
                </c:pt>
                <c:pt idx="10">
                  <c:v>11.566757031596611</c:v>
                </c:pt>
              </c:numCache>
            </c:numRef>
          </c:val>
          <c:extLst>
            <c:ext xmlns:c16="http://schemas.microsoft.com/office/drawing/2014/chart" uri="{C3380CC4-5D6E-409C-BE32-E72D297353CC}">
              <c16:uniqueId val="{00000006-F634-447C-BF2D-DB61460FBE28}"/>
            </c:ext>
          </c:extLst>
        </c:ser>
        <c:ser>
          <c:idx val="7"/>
          <c:order val="7"/>
          <c:tx>
            <c:strRef>
              <c:f>PTRA!$L$168</c:f>
              <c:strCache>
                <c:ptCount val="1"/>
                <c:pt idx="0">
                  <c:v>Gautrain</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0.51926218869795138</c:v>
                </c:pt>
                <c:pt idx="1">
                  <c:v>0.72286969068405627</c:v>
                </c:pt>
                <c:pt idx="2">
                  <c:v>1.0354240716845304</c:v>
                </c:pt>
                <c:pt idx="3">
                  <c:v>1.3247643137425078</c:v>
                </c:pt>
                <c:pt idx="4">
                  <c:v>1.5271702094967394</c:v>
                </c:pt>
                <c:pt idx="6">
                  <c:v>0.51926218869795138</c:v>
                </c:pt>
                <c:pt idx="7">
                  <c:v>0.72286969068405627</c:v>
                </c:pt>
                <c:pt idx="8">
                  <c:v>1.1623691684853323</c:v>
                </c:pt>
                <c:pt idx="9">
                  <c:v>1.6828407879974545</c:v>
                </c:pt>
                <c:pt idx="10">
                  <c:v>2.2058101148995513</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PTRA!$M$25:$W$25</c:f>
              <c:numCache>
                <c:formatCode>0%</c:formatCode>
                <c:ptCount val="11"/>
                <c:pt idx="0">
                  <c:v>0.02</c:v>
                </c:pt>
                <c:pt idx="1">
                  <c:v>0.02</c:v>
                </c:pt>
                <c:pt idx="2">
                  <c:v>0.02</c:v>
                </c:pt>
                <c:pt idx="3">
                  <c:v>0.02</c:v>
                </c:pt>
                <c:pt idx="4">
                  <c:v>0.02</c:v>
                </c:pt>
                <c:pt idx="6">
                  <c:v>0.02</c:v>
                </c:pt>
                <c:pt idx="7">
                  <c:v>0.02</c:v>
                </c:pt>
                <c:pt idx="8">
                  <c:v>0.05</c:v>
                </c:pt>
                <c:pt idx="9">
                  <c:v>0.04</c:v>
                </c:pt>
                <c:pt idx="10">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PTRA!$M$26:$W$26</c:f>
              <c:numCache>
                <c:formatCode>0%</c:formatCode>
                <c:ptCount val="11"/>
                <c:pt idx="0">
                  <c:v>0.53</c:v>
                </c:pt>
                <c:pt idx="1">
                  <c:v>0.53</c:v>
                </c:pt>
                <c:pt idx="2">
                  <c:v>0.53</c:v>
                </c:pt>
                <c:pt idx="3">
                  <c:v>0.53</c:v>
                </c:pt>
                <c:pt idx="4">
                  <c:v>0.53</c:v>
                </c:pt>
                <c:pt idx="6">
                  <c:v>0.53</c:v>
                </c:pt>
                <c:pt idx="7">
                  <c:v>0.53</c:v>
                </c:pt>
                <c:pt idx="8">
                  <c:v>0.50349999999999995</c:v>
                </c:pt>
                <c:pt idx="9">
                  <c:v>0.47832499999999994</c:v>
                </c:pt>
                <c:pt idx="10">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PTRA!$M$27:$W$27</c:f>
              <c:numCache>
                <c:formatCode>0%</c:formatCode>
                <c:ptCount val="11"/>
                <c:pt idx="0">
                  <c:v>0.76810810810810803</c:v>
                </c:pt>
                <c:pt idx="1">
                  <c:v>0.76810810810810803</c:v>
                </c:pt>
                <c:pt idx="2">
                  <c:v>0.76810810810810803</c:v>
                </c:pt>
                <c:pt idx="3">
                  <c:v>0.76810810810810803</c:v>
                </c:pt>
                <c:pt idx="4">
                  <c:v>0.76810810810810803</c:v>
                </c:pt>
                <c:pt idx="6">
                  <c:v>0.76810810810810803</c:v>
                </c:pt>
                <c:pt idx="7">
                  <c:v>0.76810810810810803</c:v>
                </c:pt>
                <c:pt idx="8">
                  <c:v>0.74890540540540529</c:v>
                </c:pt>
                <c:pt idx="9">
                  <c:v>0.73018277027027012</c:v>
                </c:pt>
                <c:pt idx="10">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PTRA!$M$30:$W$30</c:f>
              <c:numCache>
                <c:formatCode>0.00</c:formatCode>
                <c:ptCount val="11"/>
                <c:pt idx="0">
                  <c:v>0.25</c:v>
                </c:pt>
                <c:pt idx="1">
                  <c:v>0.25</c:v>
                </c:pt>
                <c:pt idx="2">
                  <c:v>0.25</c:v>
                </c:pt>
                <c:pt idx="3">
                  <c:v>0.25</c:v>
                </c:pt>
                <c:pt idx="4">
                  <c:v>0.25</c:v>
                </c:pt>
                <c:pt idx="6">
                  <c:v>0.25</c:v>
                </c:pt>
                <c:pt idx="7">
                  <c:v>0.25</c:v>
                </c:pt>
                <c:pt idx="8">
                  <c:v>0.23749999999999999</c:v>
                </c:pt>
                <c:pt idx="9">
                  <c:v>0.22562499999999999</c:v>
                </c:pt>
                <c:pt idx="10">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PTRA!$M$31:$W$31</c:f>
              <c:numCache>
                <c:formatCode>0.00</c:formatCode>
                <c:ptCount val="11"/>
                <c:pt idx="0">
                  <c:v>0.31311637080867849</c:v>
                </c:pt>
                <c:pt idx="1">
                  <c:v>0.31311637080867849</c:v>
                </c:pt>
                <c:pt idx="2">
                  <c:v>0.31311637080867849</c:v>
                </c:pt>
                <c:pt idx="3">
                  <c:v>0.31311637080867849</c:v>
                </c:pt>
                <c:pt idx="4">
                  <c:v>0.31311637080867849</c:v>
                </c:pt>
                <c:pt idx="6">
                  <c:v>0.31311637080867849</c:v>
                </c:pt>
                <c:pt idx="7">
                  <c:v>0.31311637080867849</c:v>
                </c:pt>
                <c:pt idx="8">
                  <c:v>0.29746055226824453</c:v>
                </c:pt>
                <c:pt idx="9">
                  <c:v>0.28258752465483228</c:v>
                </c:pt>
                <c:pt idx="10">
                  <c:v>0.26845814842209065</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PTRA!$M$32:$W$32</c:f>
              <c:numCache>
                <c:formatCode>0.00</c:formatCode>
                <c:ptCount val="11"/>
                <c:pt idx="0">
                  <c:v>0.41283463855351005</c:v>
                </c:pt>
                <c:pt idx="1">
                  <c:v>0.41398941590918437</c:v>
                </c:pt>
                <c:pt idx="2">
                  <c:v>0.4684738345522248</c:v>
                </c:pt>
                <c:pt idx="3">
                  <c:v>0.53668543194134044</c:v>
                </c:pt>
                <c:pt idx="4">
                  <c:v>0.60422792811174686</c:v>
                </c:pt>
                <c:pt idx="6">
                  <c:v>0.41283463855351005</c:v>
                </c:pt>
                <c:pt idx="7">
                  <c:v>0.41398941590918437</c:v>
                </c:pt>
                <c:pt idx="8" formatCode="0%">
                  <c:v>0.40363968051145477</c:v>
                </c:pt>
                <c:pt idx="9" formatCode="0%">
                  <c:v>0.39354868849866836</c:v>
                </c:pt>
                <c:pt idx="10" formatCode="0%">
                  <c:v>0.38370997128620166</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PTRA!$M$35:$W$35</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PTRA!$M$36:$W$36</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PTRA!$M$37:$W$37</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PTRA!$M$41:$W$41</c:f>
              <c:numCache>
                <c:formatCode>0.00</c:formatCode>
                <c:ptCount val="11"/>
                <c:pt idx="0">
                  <c:v>8.0274119837508469</c:v>
                </c:pt>
                <c:pt idx="1">
                  <c:v>8.0274119837508469</c:v>
                </c:pt>
                <c:pt idx="2">
                  <c:v>8.0274119837508469</c:v>
                </c:pt>
                <c:pt idx="3">
                  <c:v>8.0274119837508469</c:v>
                </c:pt>
                <c:pt idx="4">
                  <c:v>8.0274119837508469</c:v>
                </c:pt>
                <c:pt idx="6">
                  <c:v>8.0274119837508469</c:v>
                </c:pt>
                <c:pt idx="7">
                  <c:v>8.0274119837508469</c:v>
                </c:pt>
                <c:pt idx="8">
                  <c:v>7.6260413845633037</c:v>
                </c:pt>
                <c:pt idx="9">
                  <c:v>7.2447393153351385</c:v>
                </c:pt>
                <c:pt idx="10">
                  <c:v>6.882502349568381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PTRA!$M$42:$W$42</c:f>
              <c:numCache>
                <c:formatCode>0.00</c:formatCode>
                <c:ptCount val="11"/>
                <c:pt idx="0">
                  <c:v>13.418073439870216</c:v>
                </c:pt>
                <c:pt idx="1">
                  <c:v>13.418073439870216</c:v>
                </c:pt>
                <c:pt idx="2">
                  <c:v>13.418073439870216</c:v>
                </c:pt>
                <c:pt idx="3">
                  <c:v>13.418073439870216</c:v>
                </c:pt>
                <c:pt idx="4">
                  <c:v>13.418073439870216</c:v>
                </c:pt>
                <c:pt idx="6">
                  <c:v>13.418073439870216</c:v>
                </c:pt>
                <c:pt idx="7">
                  <c:v>13.418073439870216</c:v>
                </c:pt>
                <c:pt idx="8">
                  <c:v>12.747169767876706</c:v>
                </c:pt>
                <c:pt idx="9">
                  <c:v>12.109811279482869</c:v>
                </c:pt>
                <c:pt idx="10">
                  <c:v>11.504320715508726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PTRA!$M$43:$W$43</c:f>
              <c:numCache>
                <c:formatCode>0.00</c:formatCode>
                <c:ptCount val="11"/>
                <c:pt idx="0">
                  <c:v>15.663966300310799</c:v>
                </c:pt>
                <c:pt idx="1">
                  <c:v>15.663966300310799</c:v>
                </c:pt>
                <c:pt idx="2">
                  <c:v>15.663966300310799</c:v>
                </c:pt>
                <c:pt idx="3">
                  <c:v>15.663966300310799</c:v>
                </c:pt>
                <c:pt idx="4">
                  <c:v>15.663966300310799</c:v>
                </c:pt>
                <c:pt idx="6">
                  <c:v>15.663966300310799</c:v>
                </c:pt>
                <c:pt idx="7">
                  <c:v>15.663966300310799</c:v>
                </c:pt>
                <c:pt idx="8">
                  <c:v>15.272367142803029</c:v>
                </c:pt>
                <c:pt idx="9">
                  <c:v>14.890557964232952</c:v>
                </c:pt>
                <c:pt idx="10">
                  <c:v>14.518294015127129</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PTRA!$F$19:$K$19</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PTRA!$F$20:$K$20</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PTRA!$F$21:$K$21</c:f>
              <c:numCache>
                <c:formatCode>0.0</c:formatCode>
                <c:ptCount val="6"/>
                <c:pt idx="0">
                  <c:v>1</c:v>
                </c:pt>
                <c:pt idx="1">
                  <c:v>1.0055943820979771</c:v>
                </c:pt>
                <c:pt idx="2">
                  <c:v>1.0111887641959545</c:v>
                </c:pt>
                <c:pt idx="3">
                  <c:v>1.5435118607620457</c:v>
                </c:pt>
                <c:pt idx="4">
                  <c:v>2.4424769840736511</c:v>
                </c:pt>
                <c:pt idx="5">
                  <c:v>3.6720314494993618</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PTRA!$M$54:$W$54</c:f>
              <c:numCache>
                <c:formatCode>0.00</c:formatCode>
                <c:ptCount val="11"/>
                <c:pt idx="0">
                  <c:v>0.13257956556494507</c:v>
                </c:pt>
                <c:pt idx="1">
                  <c:v>0.12726162156750001</c:v>
                </c:pt>
                <c:pt idx="2">
                  <c:v>0.103564252518</c:v>
                </c:pt>
                <c:pt idx="3">
                  <c:v>7.369500344499999E-2</c:v>
                </c:pt>
                <c:pt idx="4">
                  <c:v>5.2171547432649991E-2</c:v>
                </c:pt>
                <c:pt idx="6">
                  <c:v>0.13257956556494507</c:v>
                </c:pt>
                <c:pt idx="7">
                  <c:v>0.12726162156750001</c:v>
                </c:pt>
                <c:pt idx="8">
                  <c:v>0.24596509973024999</c:v>
                </c:pt>
                <c:pt idx="9">
                  <c:v>0.13301948121822499</c:v>
                </c:pt>
                <c:pt idx="10">
                  <c:v>8.9461160960136565E-2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PTRA!$M$55:$W$55</c:f>
              <c:numCache>
                <c:formatCode>0.00</c:formatCode>
                <c:ptCount val="11"/>
                <c:pt idx="0">
                  <c:v>2.6402161414723233</c:v>
                </c:pt>
                <c:pt idx="1">
                  <c:v>3.1020218135492184</c:v>
                </c:pt>
                <c:pt idx="2">
                  <c:v>3.5438322124839328</c:v>
                </c:pt>
                <c:pt idx="3">
                  <c:v>4.1884580073179594</c:v>
                </c:pt>
                <c:pt idx="4">
                  <c:v>4.7714315666967364</c:v>
                </c:pt>
                <c:pt idx="6">
                  <c:v>2.6402161414723233</c:v>
                </c:pt>
                <c:pt idx="7">
                  <c:v>3.1020218135492184</c:v>
                </c:pt>
                <c:pt idx="8">
                  <c:v>3.198308571766749</c:v>
                </c:pt>
                <c:pt idx="9">
                  <c:v>3.4115252248230226</c:v>
                </c:pt>
                <c:pt idx="10">
                  <c:v>3.5074406513509082</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PTRA!$M$56:$W$56</c:f>
              <c:numCache>
                <c:formatCode>0.00</c:formatCode>
                <c:ptCount val="11"/>
                <c:pt idx="0">
                  <c:v>3.1392972583426562</c:v>
                </c:pt>
                <c:pt idx="1">
                  <c:v>4.8219941229988592</c:v>
                </c:pt>
                <c:pt idx="2">
                  <c:v>8.5960522430967679</c:v>
                </c:pt>
                <c:pt idx="3">
                  <c:v>12.942978469195841</c:v>
                </c:pt>
                <c:pt idx="4">
                  <c:v>16.86197564899355</c:v>
                </c:pt>
                <c:pt idx="6">
                  <c:v>3.1392972583426562</c:v>
                </c:pt>
                <c:pt idx="7">
                  <c:v>4.8219941229988592</c:v>
                </c:pt>
                <c:pt idx="8">
                  <c:v>7.221246603388777</c:v>
                </c:pt>
                <c:pt idx="9">
                  <c:v>9.0224009469349369</c:v>
                </c:pt>
                <c:pt idx="10">
                  <c:v>9.9248647010681896</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PTRA!$M$57:$W$57</c:f>
              <c:numCache>
                <c:formatCode>0.00</c:formatCode>
                <c:ptCount val="11"/>
                <c:pt idx="0">
                  <c:v>0.46423163626158442</c:v>
                </c:pt>
                <c:pt idx="1">
                  <c:v>0.4600505194276025</c:v>
                </c:pt>
                <c:pt idx="2">
                  <c:v>0.57318693681116717</c:v>
                </c:pt>
                <c:pt idx="3">
                  <c:v>0.70533089721998898</c:v>
                </c:pt>
                <c:pt idx="4">
                  <c:v>0.84285246814778414</c:v>
                </c:pt>
                <c:pt idx="6">
                  <c:v>0.46423163626158442</c:v>
                </c:pt>
                <c:pt idx="7">
                  <c:v>0.4600505194276025</c:v>
                </c:pt>
                <c:pt idx="8">
                  <c:v>0.57318693681116717</c:v>
                </c:pt>
                <c:pt idx="9">
                  <c:v>0.70533089721998898</c:v>
                </c:pt>
                <c:pt idx="10">
                  <c:v>0.84285246814778414</c:v>
                </c:pt>
              </c:numCache>
            </c:numRef>
          </c:val>
          <c:extLst>
            <c:ext xmlns:c16="http://schemas.microsoft.com/office/drawing/2014/chart" uri="{C3380CC4-5D6E-409C-BE32-E72D297353CC}">
              <c16:uniqueId val="{00000003-43F9-4640-9806-6633B7B65549}"/>
            </c:ext>
          </c:extLst>
        </c:ser>
        <c:ser>
          <c:idx val="4"/>
          <c:order val="4"/>
          <c:tx>
            <c:strRef>
              <c:f>PTRA!$C$58</c:f>
              <c:strCache>
                <c:ptCount val="1"/>
                <c:pt idx="0">
                  <c:v>Total Priv.Veh.</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PTRA!$M$58:$W$58</c:f>
              <c:numCache>
                <c:formatCode>0.00</c:formatCode>
                <c:ptCount val="11"/>
                <c:pt idx="0">
                  <c:v>6.3763246016415094</c:v>
                </c:pt>
                <c:pt idx="1">
                  <c:v>8.5113280775431797</c:v>
                </c:pt>
                <c:pt idx="2">
                  <c:v>12.816635644909868</c:v>
                </c:pt>
                <c:pt idx="3">
                  <c:v>17.910462377178789</c:v>
                </c:pt>
                <c:pt idx="4">
                  <c:v>22.528431231270719</c:v>
                </c:pt>
                <c:pt idx="6">
                  <c:v>6.3763246016415094</c:v>
                </c:pt>
                <c:pt idx="7">
                  <c:v>8.5113280775431797</c:v>
                </c:pt>
                <c:pt idx="8">
                  <c:v>11.238707211696942</c:v>
                </c:pt>
                <c:pt idx="9">
                  <c:v>13.272276550196173</c:v>
                </c:pt>
                <c:pt idx="10">
                  <c:v>14.364618981527018</c:v>
                </c:pt>
              </c:numCache>
            </c:numRef>
          </c:val>
          <c:extLst>
            <c:ext xmlns:c16="http://schemas.microsoft.com/office/drawing/2014/chart" uri="{C3380CC4-5D6E-409C-BE32-E72D297353CC}">
              <c16:uniqueId val="{00000004-43F9-4640-9806-6633B7B65549}"/>
            </c:ext>
          </c:extLst>
        </c:ser>
        <c:dLbls>
          <c:showLegendKey val="0"/>
          <c:showVal val="0"/>
          <c:showCatName val="0"/>
          <c:showSerName val="0"/>
          <c:showPercent val="0"/>
          <c:showBubbleSize val="0"/>
        </c:dLbls>
        <c:gapWidth val="150"/>
        <c:overlap val="100"/>
        <c:axId val="397077728"/>
        <c:axId val="397078120"/>
      </c:barChart>
      <c:lineChart>
        <c:grouping val="standard"/>
        <c:varyColors val="0"/>
        <c:ser>
          <c:idx val="6"/>
          <c:order val="5"/>
          <c:tx>
            <c:strRef>
              <c:f>PTRA!$C$60</c:f>
              <c:strCache>
                <c:ptCount val="1"/>
                <c:pt idx="0">
                  <c:v>Priv veh per '000 people</c:v>
                </c:pt>
              </c:strCache>
            </c:strRef>
          </c:tx>
          <c:marker>
            <c:symbol val="none"/>
          </c:marker>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PTRA!$M$60:$W$60</c:f>
              <c:numCache>
                <c:formatCode>0.00</c:formatCode>
                <c:ptCount val="11"/>
                <c:pt idx="0">
                  <c:v>116.4615043978547</c:v>
                </c:pt>
                <c:pt idx="1">
                  <c:v>143.50895421131676</c:v>
                </c:pt>
                <c:pt idx="2">
                  <c:v>194.32073133671003</c:v>
                </c:pt>
                <c:pt idx="3">
                  <c:v>250.93359847982705</c:v>
                </c:pt>
                <c:pt idx="4">
                  <c:v>298.31905477243453</c:v>
                </c:pt>
                <c:pt idx="6">
                  <c:v>121.85899380923095</c:v>
                </c:pt>
                <c:pt idx="7">
                  <c:v>143.50895421131676</c:v>
                </c:pt>
                <c:pt idx="8">
                  <c:v>170.3968081142612</c:v>
                </c:pt>
                <c:pt idx="9">
                  <c:v>185.95053799413725</c:v>
                </c:pt>
                <c:pt idx="10">
                  <c:v>190.21473411726777</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PTRA!$M$77:$W$77</c:f>
              <c:numCache>
                <c:formatCode>0%</c:formatCode>
                <c:ptCount val="11"/>
                <c:pt idx="0">
                  <c:v>0.25414691943127965</c:v>
                </c:pt>
                <c:pt idx="1">
                  <c:v>0.25414691943127965</c:v>
                </c:pt>
                <c:pt idx="2">
                  <c:v>0.25414691943127965</c:v>
                </c:pt>
                <c:pt idx="3">
                  <c:v>0.25414691943127965</c:v>
                </c:pt>
                <c:pt idx="4">
                  <c:v>0.25414691943127965</c:v>
                </c:pt>
                <c:pt idx="6">
                  <c:v>0.25414691943127965</c:v>
                </c:pt>
                <c:pt idx="7">
                  <c:v>0.25414691943127965</c:v>
                </c:pt>
                <c:pt idx="8">
                  <c:v>0.22936759478672983</c:v>
                </c:pt>
                <c:pt idx="9">
                  <c:v>0.20700425429502367</c:v>
                </c:pt>
                <c:pt idx="10">
                  <c:v>0.18682133950125882</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PTRA!$M$78:$W$78</c:f>
              <c:numCache>
                <c:formatCode>0%</c:formatCode>
                <c:ptCount val="11"/>
                <c:pt idx="0">
                  <c:v>5.0000000000000001E-3</c:v>
                </c:pt>
                <c:pt idx="1">
                  <c:v>0.02</c:v>
                </c:pt>
                <c:pt idx="2">
                  <c:v>0.05</c:v>
                </c:pt>
                <c:pt idx="3">
                  <c:v>0.1</c:v>
                </c:pt>
                <c:pt idx="4">
                  <c:v>0.15</c:v>
                </c:pt>
                <c:pt idx="6">
                  <c:v>5.0000000000000001E-3</c:v>
                </c:pt>
                <c:pt idx="7">
                  <c:v>0.02</c:v>
                </c:pt>
                <c:pt idx="8">
                  <c:v>7.0000000000000007E-2</c:v>
                </c:pt>
                <c:pt idx="9">
                  <c:v>0.15</c:v>
                </c:pt>
                <c:pt idx="10">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PTRA!$M$79:$W$79</c:f>
              <c:numCache>
                <c:formatCode>0%</c:formatCode>
                <c:ptCount val="11"/>
                <c:pt idx="0">
                  <c:v>0</c:v>
                </c:pt>
                <c:pt idx="1">
                  <c:v>0</c:v>
                </c:pt>
                <c:pt idx="2">
                  <c:v>0</c:v>
                </c:pt>
                <c:pt idx="3">
                  <c:v>0</c:v>
                </c:pt>
                <c:pt idx="4">
                  <c:v>0</c:v>
                </c:pt>
                <c:pt idx="6">
                  <c:v>0</c:v>
                </c:pt>
                <c:pt idx="7">
                  <c:v>0</c:v>
                </c:pt>
                <c:pt idx="8">
                  <c:v>0</c:v>
                </c:pt>
                <c:pt idx="9">
                  <c:v>0</c:v>
                </c:pt>
                <c:pt idx="10">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PTRA!$M$80:$W$80</c:f>
              <c:numCache>
                <c:formatCode>0.0%</c:formatCode>
                <c:ptCount val="11"/>
                <c:pt idx="0">
                  <c:v>0.74085308056872035</c:v>
                </c:pt>
                <c:pt idx="1">
                  <c:v>0.72585308056872033</c:v>
                </c:pt>
                <c:pt idx="2">
                  <c:v>0.69585308056872042</c:v>
                </c:pt>
                <c:pt idx="3">
                  <c:v>0.64585308056872037</c:v>
                </c:pt>
                <c:pt idx="4">
                  <c:v>0.59585308056872033</c:v>
                </c:pt>
                <c:pt idx="6">
                  <c:v>0.74085308056872035</c:v>
                </c:pt>
                <c:pt idx="7">
                  <c:v>0.72585308056872033</c:v>
                </c:pt>
                <c:pt idx="8">
                  <c:v>0.70063240521327019</c:v>
                </c:pt>
                <c:pt idx="9">
                  <c:v>0.64299574570497631</c:v>
                </c:pt>
                <c:pt idx="10">
                  <c:v>0.56317866049874121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PTRA!$M$82:$W$82</c:f>
              <c:numCache>
                <c:formatCode>0%</c:formatCode>
                <c:ptCount val="11"/>
                <c:pt idx="0">
                  <c:v>0.53206565737051803</c:v>
                </c:pt>
                <c:pt idx="1">
                  <c:v>0.53206565737051803</c:v>
                </c:pt>
                <c:pt idx="2">
                  <c:v>0.53206565737051803</c:v>
                </c:pt>
                <c:pt idx="3">
                  <c:v>0.53206565737051803</c:v>
                </c:pt>
                <c:pt idx="4">
                  <c:v>0.53206565737051803</c:v>
                </c:pt>
                <c:pt idx="6">
                  <c:v>0.53206565737051803</c:v>
                </c:pt>
                <c:pt idx="7">
                  <c:v>0.53206565737051803</c:v>
                </c:pt>
                <c:pt idx="8">
                  <c:v>0.48018925577689242</c:v>
                </c:pt>
                <c:pt idx="9">
                  <c:v>0.43337080333864531</c:v>
                </c:pt>
                <c:pt idx="10">
                  <c:v>0.3911171500131273</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PTRA!$M$83:$W$83</c:f>
              <c:numCache>
                <c:formatCode>0%</c:formatCode>
                <c:ptCount val="11"/>
                <c:pt idx="0">
                  <c:v>0.01</c:v>
                </c:pt>
                <c:pt idx="1">
                  <c:v>0.02</c:v>
                </c:pt>
                <c:pt idx="2">
                  <c:v>0.05</c:v>
                </c:pt>
                <c:pt idx="3">
                  <c:v>0.1</c:v>
                </c:pt>
                <c:pt idx="4">
                  <c:v>0.15</c:v>
                </c:pt>
                <c:pt idx="6">
                  <c:v>0.01</c:v>
                </c:pt>
                <c:pt idx="7">
                  <c:v>0.02</c:v>
                </c:pt>
                <c:pt idx="8">
                  <c:v>7.0000000000000007E-2</c:v>
                </c:pt>
                <c:pt idx="9">
                  <c:v>0.15</c:v>
                </c:pt>
                <c:pt idx="1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PTRA!$M$84:$W$84</c:f>
              <c:numCache>
                <c:formatCode>0.0%</c:formatCode>
                <c:ptCount val="11"/>
                <c:pt idx="0" formatCode="0%">
                  <c:v>2E-3</c:v>
                </c:pt>
                <c:pt idx="1">
                  <c:v>2E-3</c:v>
                </c:pt>
                <c:pt idx="2">
                  <c:v>2E-3</c:v>
                </c:pt>
                <c:pt idx="3">
                  <c:v>2E-3</c:v>
                </c:pt>
                <c:pt idx="4">
                  <c:v>2E-3</c:v>
                </c:pt>
                <c:pt idx="6" formatCode="0%">
                  <c:v>2E-3</c:v>
                </c:pt>
                <c:pt idx="7">
                  <c:v>2E-3</c:v>
                </c:pt>
                <c:pt idx="8">
                  <c:v>0.01</c:v>
                </c:pt>
                <c:pt idx="9">
                  <c:v>0.02</c:v>
                </c:pt>
                <c:pt idx="1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PTRA!$M$85:$W$85</c:f>
              <c:numCache>
                <c:formatCode>0.0%</c:formatCode>
                <c:ptCount val="11"/>
                <c:pt idx="0">
                  <c:v>0.45593434262948196</c:v>
                </c:pt>
                <c:pt idx="1">
                  <c:v>0.44593434262948195</c:v>
                </c:pt>
                <c:pt idx="2">
                  <c:v>0.41593434262948192</c:v>
                </c:pt>
                <c:pt idx="3">
                  <c:v>0.36593434262948199</c:v>
                </c:pt>
                <c:pt idx="4">
                  <c:v>0.31593434262948195</c:v>
                </c:pt>
                <c:pt idx="6">
                  <c:v>0.45593434262948196</c:v>
                </c:pt>
                <c:pt idx="7">
                  <c:v>0.44593434262948195</c:v>
                </c:pt>
                <c:pt idx="8">
                  <c:v>0.43981074422310762</c:v>
                </c:pt>
                <c:pt idx="9">
                  <c:v>0.39662919666135465</c:v>
                </c:pt>
                <c:pt idx="10">
                  <c:v>0.32888284998687267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PTRA!$M$87:$W$87</c:f>
              <c:numCache>
                <c:formatCode>0%</c:formatCode>
                <c:ptCount val="11"/>
                <c:pt idx="0">
                  <c:v>0.81893071119533589</c:v>
                </c:pt>
                <c:pt idx="1">
                  <c:v>0.82122141685043326</c:v>
                </c:pt>
                <c:pt idx="2">
                  <c:v>0.92930092264177255</c:v>
                </c:pt>
                <c:pt idx="3">
                  <c:v>1.0646107216386851</c:v>
                </c:pt>
                <c:pt idx="4">
                  <c:v>1.1985932397203642</c:v>
                </c:pt>
                <c:pt idx="6">
                  <c:v>0.81893071119533589</c:v>
                </c:pt>
                <c:pt idx="7">
                  <c:v>0.82122141685043326</c:v>
                </c:pt>
                <c:pt idx="8">
                  <c:v>0.7806736093934431</c:v>
                </c:pt>
                <c:pt idx="9">
                  <c:v>0.74212784992964187</c:v>
                </c:pt>
                <c:pt idx="10">
                  <c:v>0.70548528733936577</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PTRA!$M$88:$W$88</c:f>
              <c:numCache>
                <c:formatCode>0%</c:formatCode>
                <c:ptCount val="11"/>
                <c:pt idx="0">
                  <c:v>0</c:v>
                </c:pt>
                <c:pt idx="1">
                  <c:v>0.02</c:v>
                </c:pt>
                <c:pt idx="2">
                  <c:v>0.03</c:v>
                </c:pt>
                <c:pt idx="3">
                  <c:v>3.5000000000000003E-2</c:v>
                </c:pt>
                <c:pt idx="4">
                  <c:v>0.04</c:v>
                </c:pt>
                <c:pt idx="6">
                  <c:v>0</c:v>
                </c:pt>
                <c:pt idx="7">
                  <c:v>0.02</c:v>
                </c:pt>
                <c:pt idx="8">
                  <c:v>0.03</c:v>
                </c:pt>
                <c:pt idx="9">
                  <c:v>0.05</c:v>
                </c:pt>
                <c:pt idx="10">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PTRA!$M$89:$W$89</c:f>
              <c:numCache>
                <c:formatCode>0.0%</c:formatCode>
                <c:ptCount val="11"/>
                <c:pt idx="0" formatCode="0%">
                  <c:v>5.0000000000000001E-3</c:v>
                </c:pt>
                <c:pt idx="1">
                  <c:v>5.0000000000000001E-3</c:v>
                </c:pt>
                <c:pt idx="2">
                  <c:v>5.0000000000000001E-3</c:v>
                </c:pt>
                <c:pt idx="3">
                  <c:v>5.0000000000000001E-3</c:v>
                </c:pt>
                <c:pt idx="4">
                  <c:v>5.0000000000000001E-3</c:v>
                </c:pt>
                <c:pt idx="6" formatCode="0%">
                  <c:v>5.0000000000000001E-3</c:v>
                </c:pt>
                <c:pt idx="7">
                  <c:v>5.0000000000000001E-3</c:v>
                </c:pt>
                <c:pt idx="8">
                  <c:v>0.01</c:v>
                </c:pt>
                <c:pt idx="9">
                  <c:v>0.03</c:v>
                </c:pt>
                <c:pt idx="1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PTRA!$M$90:$W$90</c:f>
              <c:numCache>
                <c:formatCode>0.0%</c:formatCode>
                <c:ptCount val="11"/>
                <c:pt idx="0" formatCode="0%">
                  <c:v>0.1760692888046641</c:v>
                </c:pt>
                <c:pt idx="1">
                  <c:v>0.15377858314956672</c:v>
                </c:pt>
                <c:pt idx="2">
                  <c:v>3.5699077358227416E-2</c:v>
                </c:pt>
                <c:pt idx="3">
                  <c:v>-0.1046107216386849</c:v>
                </c:pt>
                <c:pt idx="4">
                  <c:v>-0.24359323972036417</c:v>
                </c:pt>
                <c:pt idx="6" formatCode="0%">
                  <c:v>0.1760692888046641</c:v>
                </c:pt>
                <c:pt idx="7">
                  <c:v>0.15377858314956672</c:v>
                </c:pt>
                <c:pt idx="8">
                  <c:v>0.17932639060655686</c:v>
                </c:pt>
                <c:pt idx="9">
                  <c:v>0.17787215007035806</c:v>
                </c:pt>
                <c:pt idx="10">
                  <c:v>0.1445147126606342</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PTRA!$D$214</c:f>
              <c:strCache>
                <c:ptCount val="1"/>
                <c:pt idx="0">
                  <c:v>TPPRCAR</c:v>
                </c:pt>
              </c:strCache>
            </c:strRef>
          </c:tx>
          <c:spPr>
            <a:ln w="28575" cap="rnd">
              <a:solidFill>
                <a:schemeClr val="accent1"/>
              </a:solidFill>
              <a:round/>
            </a:ln>
            <a:effectLst/>
          </c:spPr>
          <c:marker>
            <c:symbol val="none"/>
          </c:marker>
          <c:val>
            <c:numRef>
              <c:f>PTRA!$J$214:$AP$214</c:f>
              <c:numCache>
                <c:formatCode>0.00</c:formatCode>
                <c:ptCount val="33"/>
                <c:pt idx="0">
                  <c:v>79.483105557424096</c:v>
                </c:pt>
                <c:pt idx="1">
                  <c:v>83.905507154383585</c:v>
                </c:pt>
                <c:pt idx="2">
                  <c:v>88.327908751343074</c:v>
                </c:pt>
                <c:pt idx="3">
                  <c:v>92.750310348302548</c:v>
                </c:pt>
                <c:pt idx="4">
                  <c:v>96.653368650431077</c:v>
                </c:pt>
                <c:pt idx="5">
                  <c:v>100.5564269525596</c:v>
                </c:pt>
                <c:pt idx="6">
                  <c:v>103.31715188474146</c:v>
                </c:pt>
                <c:pt idx="7">
                  <c:v>106.07787681692332</c:v>
                </c:pt>
                <c:pt idx="8">
                  <c:v>108.83860174910519</c:v>
                </c:pt>
                <c:pt idx="9">
                  <c:v>113.54308234419325</c:v>
                </c:pt>
                <c:pt idx="10">
                  <c:v>118.24756293928131</c:v>
                </c:pt>
                <c:pt idx="11">
                  <c:v>122.95204353436937</c:v>
                </c:pt>
                <c:pt idx="12">
                  <c:v>127.65652412945742</c:v>
                </c:pt>
                <c:pt idx="13">
                  <c:v>132.3610047245455</c:v>
                </c:pt>
                <c:pt idx="14">
                  <c:v>137.06548531963355</c:v>
                </c:pt>
                <c:pt idx="15">
                  <c:v>141.76996591472161</c:v>
                </c:pt>
                <c:pt idx="16">
                  <c:v>146.47444650980967</c:v>
                </c:pt>
                <c:pt idx="17">
                  <c:v>151.17892710489772</c:v>
                </c:pt>
                <c:pt idx="18">
                  <c:v>155.88340769998581</c:v>
                </c:pt>
                <c:pt idx="19">
                  <c:v>160.70986411396171</c:v>
                </c:pt>
                <c:pt idx="20">
                  <c:v>165.53632052793762</c:v>
                </c:pt>
                <c:pt idx="21">
                  <c:v>170.36277694191352</c:v>
                </c:pt>
                <c:pt idx="22">
                  <c:v>175.18923335588943</c:v>
                </c:pt>
                <c:pt idx="23">
                  <c:v>180.01568976986533</c:v>
                </c:pt>
                <c:pt idx="24">
                  <c:v>184.84214618384124</c:v>
                </c:pt>
                <c:pt idx="25">
                  <c:v>189.66860259781714</c:v>
                </c:pt>
                <c:pt idx="26">
                  <c:v>194.49505901179305</c:v>
                </c:pt>
                <c:pt idx="27">
                  <c:v>199.32151542576895</c:v>
                </c:pt>
                <c:pt idx="28">
                  <c:v>204.14797183974494</c:v>
                </c:pt>
                <c:pt idx="29">
                  <c:v>221.12286579157978</c:v>
                </c:pt>
                <c:pt idx="30">
                  <c:v>238.09775974341463</c:v>
                </c:pt>
                <c:pt idx="31">
                  <c:v>238.09775974341463</c:v>
                </c:pt>
                <c:pt idx="32">
                  <c:v>238.09775974341463</c:v>
                </c:pt>
              </c:numCache>
            </c:numRef>
          </c:val>
          <c:smooth val="0"/>
          <c:extLst>
            <c:ext xmlns:c16="http://schemas.microsoft.com/office/drawing/2014/chart" uri="{C3380CC4-5D6E-409C-BE32-E72D297353CC}">
              <c16:uniqueId val="{00000000-5DA7-4BCF-9B88-A448B42D3A15}"/>
            </c:ext>
          </c:extLst>
        </c:ser>
        <c:ser>
          <c:idx val="1"/>
          <c:order val="1"/>
          <c:tx>
            <c:strRef>
              <c:f>PTRA!$D$215</c:f>
              <c:strCache>
                <c:ptCount val="1"/>
                <c:pt idx="0">
                  <c:v>TPPRSUV</c:v>
                </c:pt>
              </c:strCache>
            </c:strRef>
          </c:tx>
          <c:spPr>
            <a:ln w="28575" cap="rnd">
              <a:solidFill>
                <a:schemeClr val="accent2"/>
              </a:solidFill>
              <a:round/>
            </a:ln>
            <a:effectLst/>
          </c:spPr>
          <c:marker>
            <c:symbol val="none"/>
          </c:marker>
          <c:val>
            <c:numRef>
              <c:f>PTRA!$J$215:$AP$215</c:f>
              <c:numCache>
                <c:formatCode>0.00</c:formatCode>
                <c:ptCount val="33"/>
                <c:pt idx="0">
                  <c:v>9.1263671637063464</c:v>
                </c:pt>
                <c:pt idx="1">
                  <c:v>9.6341538239803892</c:v>
                </c:pt>
                <c:pt idx="2">
                  <c:v>10.141940484254432</c:v>
                </c:pt>
                <c:pt idx="3">
                  <c:v>10.649727144528473</c:v>
                </c:pt>
                <c:pt idx="4">
                  <c:v>11.097882043318158</c:v>
                </c:pt>
                <c:pt idx="5">
                  <c:v>11.546036942107843</c:v>
                </c:pt>
                <c:pt idx="6">
                  <c:v>11.843590408990188</c:v>
                </c:pt>
                <c:pt idx="7">
                  <c:v>12.141143875872533</c:v>
                </c:pt>
                <c:pt idx="8">
                  <c:v>12.43869734275488</c:v>
                </c:pt>
                <c:pt idx="9">
                  <c:v>12.966470398123887</c:v>
                </c:pt>
                <c:pt idx="10">
                  <c:v>13.494243453492894</c:v>
                </c:pt>
                <c:pt idx="11">
                  <c:v>14.022016508861901</c:v>
                </c:pt>
                <c:pt idx="12">
                  <c:v>14.549789564230908</c:v>
                </c:pt>
                <c:pt idx="13">
                  <c:v>15.077562619599915</c:v>
                </c:pt>
                <c:pt idx="14">
                  <c:v>15.605335674968922</c:v>
                </c:pt>
                <c:pt idx="15">
                  <c:v>16.133108730337931</c:v>
                </c:pt>
                <c:pt idx="16">
                  <c:v>16.660881785706938</c:v>
                </c:pt>
                <c:pt idx="17">
                  <c:v>17.188654841075945</c:v>
                </c:pt>
                <c:pt idx="18">
                  <c:v>17.716427896444952</c:v>
                </c:pt>
                <c:pt idx="19">
                  <c:v>18.264963294247565</c:v>
                </c:pt>
                <c:pt idx="20">
                  <c:v>18.813498692050178</c:v>
                </c:pt>
                <c:pt idx="21">
                  <c:v>19.362034089852791</c:v>
                </c:pt>
                <c:pt idx="22">
                  <c:v>19.910569487655405</c:v>
                </c:pt>
                <c:pt idx="23">
                  <c:v>20.459104885458018</c:v>
                </c:pt>
                <c:pt idx="24">
                  <c:v>21.007640283260631</c:v>
                </c:pt>
                <c:pt idx="25">
                  <c:v>21.556175681063245</c:v>
                </c:pt>
                <c:pt idx="26">
                  <c:v>22.104711078865858</c:v>
                </c:pt>
                <c:pt idx="27">
                  <c:v>22.653246476668471</c:v>
                </c:pt>
                <c:pt idx="28">
                  <c:v>23.20178187447107</c:v>
                </c:pt>
                <c:pt idx="29">
                  <c:v>25.131008911426008</c:v>
                </c:pt>
                <c:pt idx="30">
                  <c:v>27.060235948380942</c:v>
                </c:pt>
                <c:pt idx="31">
                  <c:v>27.060235948380942</c:v>
                </c:pt>
                <c:pt idx="32">
                  <c:v>27.060235948380942</c:v>
                </c:pt>
              </c:numCache>
            </c:numRef>
          </c:val>
          <c:smooth val="0"/>
          <c:extLst>
            <c:ext xmlns:c16="http://schemas.microsoft.com/office/drawing/2014/chart" uri="{C3380CC4-5D6E-409C-BE32-E72D297353CC}">
              <c16:uniqueId val="{00000001-5DA7-4BCF-9B88-A448B42D3A15}"/>
            </c:ext>
          </c:extLst>
        </c:ser>
        <c:ser>
          <c:idx val="2"/>
          <c:order val="2"/>
          <c:tx>
            <c:strRef>
              <c:f>PTRA!$D$216</c:f>
              <c:strCache>
                <c:ptCount val="1"/>
                <c:pt idx="0">
                  <c:v>TPPRMOT</c:v>
                </c:pt>
              </c:strCache>
            </c:strRef>
          </c:tx>
          <c:spPr>
            <a:ln w="28575" cap="rnd">
              <a:solidFill>
                <a:schemeClr val="accent3"/>
              </a:solidFill>
              <a:round/>
            </a:ln>
            <a:effectLst/>
          </c:spPr>
          <c:marker>
            <c:symbol val="none"/>
          </c:marker>
          <c:val>
            <c:numRef>
              <c:f>PTRA!$J$216:$AP$216</c:f>
              <c:numCache>
                <c:formatCode>0.00</c:formatCode>
                <c:ptCount val="33"/>
                <c:pt idx="0">
                  <c:v>3.1110391443224037</c:v>
                </c:pt>
                <c:pt idx="1">
                  <c:v>2.9659458194027142</c:v>
                </c:pt>
                <c:pt idx="2">
                  <c:v>2.8208524944830247</c:v>
                </c:pt>
                <c:pt idx="3">
                  <c:v>2.6757591695633347</c:v>
                </c:pt>
                <c:pt idx="4">
                  <c:v>2.7883587285517843</c:v>
                </c:pt>
                <c:pt idx="5">
                  <c:v>2.900958287540234</c:v>
                </c:pt>
                <c:pt idx="6">
                  <c:v>2.9705303035897295</c:v>
                </c:pt>
                <c:pt idx="7">
                  <c:v>3.0401023196392249</c:v>
                </c:pt>
                <c:pt idx="8">
                  <c:v>3.10967433568872</c:v>
                </c:pt>
                <c:pt idx="9">
                  <c:v>3.2756295273847678</c:v>
                </c:pt>
                <c:pt idx="10">
                  <c:v>3.4415847190808155</c:v>
                </c:pt>
                <c:pt idx="11">
                  <c:v>3.6075399107768633</c:v>
                </c:pt>
                <c:pt idx="12">
                  <c:v>3.7734951024729111</c:v>
                </c:pt>
                <c:pt idx="13">
                  <c:v>3.9394502941689589</c:v>
                </c:pt>
                <c:pt idx="14">
                  <c:v>4.1054054858650071</c:v>
                </c:pt>
                <c:pt idx="15">
                  <c:v>4.2713606775610549</c:v>
                </c:pt>
                <c:pt idx="16">
                  <c:v>4.4373158692571026</c:v>
                </c:pt>
                <c:pt idx="17">
                  <c:v>4.6032710609531504</c:v>
                </c:pt>
                <c:pt idx="18">
                  <c:v>4.7692262526491982</c:v>
                </c:pt>
                <c:pt idx="19">
                  <c:v>4.9649360348227871</c:v>
                </c:pt>
                <c:pt idx="20">
                  <c:v>5.160645816996376</c:v>
                </c:pt>
                <c:pt idx="21">
                  <c:v>5.356355599169965</c:v>
                </c:pt>
                <c:pt idx="22">
                  <c:v>5.5520653813435539</c:v>
                </c:pt>
                <c:pt idx="23">
                  <c:v>5.7477751635171428</c:v>
                </c:pt>
                <c:pt idx="24">
                  <c:v>5.9434849456907317</c:v>
                </c:pt>
                <c:pt idx="25">
                  <c:v>6.1391947278643206</c:v>
                </c:pt>
                <c:pt idx="26">
                  <c:v>6.3349045100379096</c:v>
                </c:pt>
                <c:pt idx="27">
                  <c:v>6.5306142922114985</c:v>
                </c:pt>
                <c:pt idx="28">
                  <c:v>6.7263240743850883</c:v>
                </c:pt>
                <c:pt idx="29">
                  <c:v>7.6124888912277298</c:v>
                </c:pt>
                <c:pt idx="30">
                  <c:v>8.4986537080703712</c:v>
                </c:pt>
                <c:pt idx="31">
                  <c:v>8.4986537080703712</c:v>
                </c:pt>
                <c:pt idx="32">
                  <c:v>8.4986537080703712</c:v>
                </c:pt>
              </c:numCache>
            </c:numRef>
          </c:val>
          <c:smooth val="0"/>
          <c:extLst>
            <c:ext xmlns:c16="http://schemas.microsoft.com/office/drawing/2014/chart" uri="{C3380CC4-5D6E-409C-BE32-E72D297353CC}">
              <c16:uniqueId val="{00000002-5DA7-4BCF-9B88-A448B42D3A15}"/>
            </c:ext>
          </c:extLst>
        </c:ser>
        <c:ser>
          <c:idx val="3"/>
          <c:order val="3"/>
          <c:tx>
            <c:strRef>
              <c:f>PTRA!$D$217</c:f>
              <c:strCache>
                <c:ptCount val="1"/>
                <c:pt idx="0">
                  <c:v>TPPUBUS</c:v>
                </c:pt>
              </c:strCache>
            </c:strRef>
          </c:tx>
          <c:spPr>
            <a:ln w="28575" cap="rnd">
              <a:solidFill>
                <a:schemeClr val="accent4"/>
              </a:solidFill>
              <a:round/>
            </a:ln>
            <a:effectLst/>
          </c:spPr>
          <c:marker>
            <c:symbol val="none"/>
          </c:marker>
          <c:val>
            <c:numRef>
              <c:f>PTRA!$J$217:$AP$217</c:f>
              <c:numCache>
                <c:formatCode>0.00</c:formatCode>
                <c:ptCount val="33"/>
                <c:pt idx="0">
                  <c:v>1.4990333520535337</c:v>
                </c:pt>
                <c:pt idx="1">
                  <c:v>0.6286609931450593</c:v>
                </c:pt>
                <c:pt idx="2">
                  <c:v>0.63933049657252961</c:v>
                </c:pt>
                <c:pt idx="3">
                  <c:v>0.65</c:v>
                </c:pt>
                <c:pt idx="4">
                  <c:v>0.66077214814486951</c:v>
                </c:pt>
                <c:pt idx="5">
                  <c:v>0.671544296289739</c:v>
                </c:pt>
                <c:pt idx="6">
                  <c:v>0.85845721693139565</c:v>
                </c:pt>
                <c:pt idx="7">
                  <c:v>1.0453701375730524</c:v>
                </c:pt>
                <c:pt idx="8">
                  <c:v>1.2322830582147091</c:v>
                </c:pt>
                <c:pt idx="9">
                  <c:v>1.1934932172625183</c:v>
                </c:pt>
                <c:pt idx="10">
                  <c:v>1.1547033763103276</c:v>
                </c:pt>
                <c:pt idx="11">
                  <c:v>1.1159135353581369</c:v>
                </c:pt>
                <c:pt idx="12">
                  <c:v>1.0771236944059461</c:v>
                </c:pt>
                <c:pt idx="13">
                  <c:v>1.0383338534537554</c:v>
                </c:pt>
                <c:pt idx="14">
                  <c:v>0.99954401250156455</c:v>
                </c:pt>
                <c:pt idx="15">
                  <c:v>0.9607541715493737</c:v>
                </c:pt>
                <c:pt idx="16">
                  <c:v>0.92196433059718286</c:v>
                </c:pt>
                <c:pt idx="17">
                  <c:v>0.88317448964499201</c:v>
                </c:pt>
                <c:pt idx="18">
                  <c:v>0.84438464869280094</c:v>
                </c:pt>
                <c:pt idx="19">
                  <c:v>0.84878650936265032</c:v>
                </c:pt>
                <c:pt idx="20">
                  <c:v>0.8531883700324997</c:v>
                </c:pt>
                <c:pt idx="21">
                  <c:v>0.85759023070234908</c:v>
                </c:pt>
                <c:pt idx="22">
                  <c:v>0.86199209137219845</c:v>
                </c:pt>
                <c:pt idx="23">
                  <c:v>0.86639395204204783</c:v>
                </c:pt>
                <c:pt idx="24">
                  <c:v>0.87079581271189721</c:v>
                </c:pt>
                <c:pt idx="25">
                  <c:v>0.87519767338174659</c:v>
                </c:pt>
                <c:pt idx="26">
                  <c:v>0.87959953405159597</c:v>
                </c:pt>
                <c:pt idx="27">
                  <c:v>0.88400139472144534</c:v>
                </c:pt>
                <c:pt idx="28">
                  <c:v>0.88840325539129461</c:v>
                </c:pt>
                <c:pt idx="29">
                  <c:v>0.94039874093515441</c:v>
                </c:pt>
                <c:pt idx="30">
                  <c:v>0.99239422647901432</c:v>
                </c:pt>
                <c:pt idx="31">
                  <c:v>0.99239422647901432</c:v>
                </c:pt>
                <c:pt idx="32">
                  <c:v>0.99239422647901432</c:v>
                </c:pt>
              </c:numCache>
            </c:numRef>
          </c:val>
          <c:smooth val="0"/>
          <c:extLst>
            <c:ext xmlns:c16="http://schemas.microsoft.com/office/drawing/2014/chart" uri="{C3380CC4-5D6E-409C-BE32-E72D297353CC}">
              <c16:uniqueId val="{00000003-5DA7-4BCF-9B88-A448B42D3A15}"/>
            </c:ext>
          </c:extLst>
        </c:ser>
        <c:ser>
          <c:idx val="4"/>
          <c:order val="4"/>
          <c:tx>
            <c:strRef>
              <c:f>PTRA!$D$218</c:f>
              <c:strCache>
                <c:ptCount val="1"/>
                <c:pt idx="0">
                  <c:v>TPPUMBT</c:v>
                </c:pt>
              </c:strCache>
            </c:strRef>
          </c:tx>
          <c:spPr>
            <a:ln w="28575" cap="rnd">
              <a:solidFill>
                <a:schemeClr val="accent5"/>
              </a:solidFill>
              <a:round/>
            </a:ln>
            <a:effectLst/>
          </c:spPr>
          <c:marker>
            <c:symbol val="none"/>
          </c:marker>
          <c:val>
            <c:numRef>
              <c:f>PTRA!$J$218:$AP$218</c:f>
              <c:numCache>
                <c:formatCode>0.00</c:formatCode>
                <c:ptCount val="33"/>
                <c:pt idx="0">
                  <c:v>6.4978638621089795</c:v>
                </c:pt>
                <c:pt idx="1">
                  <c:v>6.2704712069196402</c:v>
                </c:pt>
                <c:pt idx="2">
                  <c:v>6.5852356034598207</c:v>
                </c:pt>
                <c:pt idx="3">
                  <c:v>6.9</c:v>
                </c:pt>
                <c:pt idx="4">
                  <c:v>7.0212765000000008</c:v>
                </c:pt>
                <c:pt idx="5">
                  <c:v>7.1425530000000004</c:v>
                </c:pt>
                <c:pt idx="6">
                  <c:v>7.0745031764759618</c:v>
                </c:pt>
                <c:pt idx="7">
                  <c:v>7.0064533529519233</c:v>
                </c:pt>
                <c:pt idx="8">
                  <c:v>6.9384035294278847</c:v>
                </c:pt>
                <c:pt idx="9">
                  <c:v>7.0422866078635504</c:v>
                </c:pt>
                <c:pt idx="10">
                  <c:v>7.1461696862992161</c:v>
                </c:pt>
                <c:pt idx="11">
                  <c:v>7.2500527647348818</c:v>
                </c:pt>
                <c:pt idx="12">
                  <c:v>7.3539358431705475</c:v>
                </c:pt>
                <c:pt idx="13">
                  <c:v>7.4578189216062132</c:v>
                </c:pt>
                <c:pt idx="14">
                  <c:v>7.5617020000418789</c:v>
                </c:pt>
                <c:pt idx="15">
                  <c:v>7.6655850784775446</c:v>
                </c:pt>
                <c:pt idx="16">
                  <c:v>7.7694681569132102</c:v>
                </c:pt>
                <c:pt idx="17">
                  <c:v>7.8733512353488759</c:v>
                </c:pt>
                <c:pt idx="18">
                  <c:v>7.9772343137845452</c:v>
                </c:pt>
                <c:pt idx="19">
                  <c:v>8.0188204250839181</c:v>
                </c:pt>
                <c:pt idx="20">
                  <c:v>8.060406536383292</c:v>
                </c:pt>
                <c:pt idx="21">
                  <c:v>8.1019926476826658</c:v>
                </c:pt>
                <c:pt idx="22">
                  <c:v>8.1435787589820396</c:v>
                </c:pt>
                <c:pt idx="23">
                  <c:v>8.1851648702814135</c:v>
                </c:pt>
                <c:pt idx="24">
                  <c:v>8.2267509815807873</c:v>
                </c:pt>
                <c:pt idx="25">
                  <c:v>8.2683370928801612</c:v>
                </c:pt>
                <c:pt idx="26">
                  <c:v>8.309923204179535</c:v>
                </c:pt>
                <c:pt idx="27">
                  <c:v>8.3515093154789088</c:v>
                </c:pt>
                <c:pt idx="28">
                  <c:v>8.3930954267782774</c:v>
                </c:pt>
                <c:pt idx="29">
                  <c:v>8.8843172556977059</c:v>
                </c:pt>
                <c:pt idx="30">
                  <c:v>9.3755390846171345</c:v>
                </c:pt>
                <c:pt idx="31">
                  <c:v>9.3755390846171345</c:v>
                </c:pt>
                <c:pt idx="32">
                  <c:v>9.3755390846171345</c:v>
                </c:pt>
              </c:numCache>
            </c:numRef>
          </c:val>
          <c:smooth val="0"/>
          <c:extLst>
            <c:ext xmlns:c16="http://schemas.microsoft.com/office/drawing/2014/chart" uri="{C3380CC4-5D6E-409C-BE32-E72D297353CC}">
              <c16:uniqueId val="{00000004-5DA7-4BCF-9B88-A448B42D3A15}"/>
            </c:ext>
          </c:extLst>
        </c:ser>
        <c:ser>
          <c:idx val="5"/>
          <c:order val="5"/>
          <c:tx>
            <c:strRef>
              <c:f>PTRA!$D$219</c:f>
              <c:strCache>
                <c:ptCount val="1"/>
                <c:pt idx="0">
                  <c:v>TPPUBRT</c:v>
                </c:pt>
              </c:strCache>
            </c:strRef>
          </c:tx>
          <c:spPr>
            <a:ln w="28575" cap="rnd">
              <a:solidFill>
                <a:schemeClr val="accent6"/>
              </a:solidFill>
              <a:round/>
            </a:ln>
            <a:effectLst/>
          </c:spPr>
          <c:marker>
            <c:symbol val="none"/>
          </c:marker>
          <c:val>
            <c:numRef>
              <c:f>PTRA!$J$219:$AP$219</c:f>
              <c:numCache>
                <c:formatCode>0.00</c:formatCode>
                <c:ptCount val="33"/>
                <c:pt idx="0">
                  <c:v>0</c:v>
                </c:pt>
                <c:pt idx="1">
                  <c:v>2.1691164236032099E-2</c:v>
                </c:pt>
                <c:pt idx="2">
                  <c:v>2.232369776021513E-2</c:v>
                </c:pt>
                <c:pt idx="3">
                  <c:v>2.2956231284398162E-2</c:v>
                </c:pt>
                <c:pt idx="4">
                  <c:v>2.357952894532548E-2</c:v>
                </c:pt>
                <c:pt idx="5">
                  <c:v>2.4202826606252802E-2</c:v>
                </c:pt>
                <c:pt idx="6">
                  <c:v>9.187834573650186E-2</c:v>
                </c:pt>
                <c:pt idx="7">
                  <c:v>0.15955386486675094</c:v>
                </c:pt>
                <c:pt idx="8">
                  <c:v>0.22722938399699999</c:v>
                </c:pt>
                <c:pt idx="9">
                  <c:v>0.26515158384263665</c:v>
                </c:pt>
                <c:pt idx="10">
                  <c:v>0.30307378368827331</c:v>
                </c:pt>
                <c:pt idx="11">
                  <c:v>0.34099598353390997</c:v>
                </c:pt>
                <c:pt idx="12">
                  <c:v>0.37891818337954664</c:v>
                </c:pt>
                <c:pt idx="13">
                  <c:v>0.4168403832251833</c:v>
                </c:pt>
                <c:pt idx="14">
                  <c:v>0.45476258307081996</c:v>
                </c:pt>
                <c:pt idx="15">
                  <c:v>0.49268478291645662</c:v>
                </c:pt>
                <c:pt idx="16">
                  <c:v>0.53060698276209328</c:v>
                </c:pt>
                <c:pt idx="17">
                  <c:v>0.56852918260772989</c:v>
                </c:pt>
                <c:pt idx="18">
                  <c:v>0.60645138245336661</c:v>
                </c:pt>
                <c:pt idx="19">
                  <c:v>0.66142613070209189</c:v>
                </c:pt>
                <c:pt idx="20">
                  <c:v>0.71640087895081717</c:v>
                </c:pt>
                <c:pt idx="21">
                  <c:v>0.77137562719954245</c:v>
                </c:pt>
                <c:pt idx="22">
                  <c:v>0.82635037544826773</c:v>
                </c:pt>
                <c:pt idx="23">
                  <c:v>0.88132512369699301</c:v>
                </c:pt>
                <c:pt idx="24">
                  <c:v>0.93629987194571829</c:v>
                </c:pt>
                <c:pt idx="25">
                  <c:v>0.99127462019444357</c:v>
                </c:pt>
                <c:pt idx="26">
                  <c:v>1.0462493684431688</c:v>
                </c:pt>
                <c:pt idx="27">
                  <c:v>1.1012241166918941</c:v>
                </c:pt>
                <c:pt idx="28">
                  <c:v>1.156198864940619</c:v>
                </c:pt>
                <c:pt idx="29">
                  <c:v>1.4492665836006249</c:v>
                </c:pt>
                <c:pt idx="30">
                  <c:v>1.7423343022606306</c:v>
                </c:pt>
                <c:pt idx="31">
                  <c:v>1.7423343022606306</c:v>
                </c:pt>
                <c:pt idx="32">
                  <c:v>1.7423343022606306</c:v>
                </c:pt>
              </c:numCache>
            </c:numRef>
          </c:val>
          <c:smooth val="0"/>
          <c:extLst>
            <c:ext xmlns:c16="http://schemas.microsoft.com/office/drawing/2014/chart" uri="{C3380CC4-5D6E-409C-BE32-E72D297353CC}">
              <c16:uniqueId val="{00000005-5DA7-4BCF-9B88-A448B42D3A15}"/>
            </c:ext>
          </c:extLst>
        </c:ser>
        <c:ser>
          <c:idx val="6"/>
          <c:order val="6"/>
          <c:tx>
            <c:strRef>
              <c:f>PTRA!$D$220</c:f>
              <c:strCache>
                <c:ptCount val="1"/>
                <c:pt idx="0">
                  <c:v>TPPUMER</c:v>
                </c:pt>
              </c:strCache>
            </c:strRef>
          </c:tx>
          <c:spPr>
            <a:ln w="28575" cap="rnd">
              <a:solidFill>
                <a:schemeClr val="accent1">
                  <a:lumMod val="60000"/>
                </a:schemeClr>
              </a:solidFill>
              <a:round/>
            </a:ln>
            <a:effectLst/>
          </c:spPr>
          <c:marker>
            <c:symbol val="none"/>
          </c:marker>
          <c:val>
            <c:numRef>
              <c:f>PTRA!$J$220:$AP$220</c:f>
              <c:numCache>
                <c:formatCode>0.00</c:formatCode>
                <c:ptCount val="33"/>
                <c:pt idx="0">
                  <c:v>15.8</c:v>
                </c:pt>
                <c:pt idx="1">
                  <c:v>13.645324247300293</c:v>
                </c:pt>
                <c:pt idx="2">
                  <c:v>12.808940413161372</c:v>
                </c:pt>
                <c:pt idx="3">
                  <c:v>11.972556579022449</c:v>
                </c:pt>
                <c:pt idx="4">
                  <c:v>10.722295372559355</c:v>
                </c:pt>
                <c:pt idx="5">
                  <c:v>9.4720341660962628</c:v>
                </c:pt>
                <c:pt idx="6">
                  <c:v>9.4755151099602379</c:v>
                </c:pt>
                <c:pt idx="7">
                  <c:v>9.4789960538242131</c:v>
                </c:pt>
                <c:pt idx="8">
                  <c:v>9.4824769976881882</c:v>
                </c:pt>
                <c:pt idx="9">
                  <c:v>9.518393837780911</c:v>
                </c:pt>
                <c:pt idx="10">
                  <c:v>9.5543106778736338</c:v>
                </c:pt>
                <c:pt idx="11">
                  <c:v>9.5902275179663565</c:v>
                </c:pt>
                <c:pt idx="12">
                  <c:v>9.6261443580590793</c:v>
                </c:pt>
                <c:pt idx="13">
                  <c:v>9.6620611981518021</c:v>
                </c:pt>
                <c:pt idx="14">
                  <c:v>9.6979780382445249</c:v>
                </c:pt>
                <c:pt idx="15">
                  <c:v>9.7338948783372476</c:v>
                </c:pt>
                <c:pt idx="16">
                  <c:v>9.7698117184299704</c:v>
                </c:pt>
                <c:pt idx="17">
                  <c:v>9.8057285585226932</c:v>
                </c:pt>
                <c:pt idx="18">
                  <c:v>9.8416453986154089</c:v>
                </c:pt>
                <c:pt idx="19">
                  <c:v>9.8929508692606127</c:v>
                </c:pt>
                <c:pt idx="20">
                  <c:v>9.9442563399058166</c:v>
                </c:pt>
                <c:pt idx="21">
                  <c:v>9.9955618105510204</c:v>
                </c:pt>
                <c:pt idx="22">
                  <c:v>10.046867281196224</c:v>
                </c:pt>
                <c:pt idx="23">
                  <c:v>10.098172751841428</c:v>
                </c:pt>
                <c:pt idx="24">
                  <c:v>10.149478222486632</c:v>
                </c:pt>
                <c:pt idx="25">
                  <c:v>10.200783693131836</c:v>
                </c:pt>
                <c:pt idx="26">
                  <c:v>10.25208916377704</c:v>
                </c:pt>
                <c:pt idx="27">
                  <c:v>10.303394634422244</c:v>
                </c:pt>
                <c:pt idx="28">
                  <c:v>10.354700105067447</c:v>
                </c:pt>
                <c:pt idx="29">
                  <c:v>10.96072856833203</c:v>
                </c:pt>
                <c:pt idx="30">
                  <c:v>11.566757031596611</c:v>
                </c:pt>
                <c:pt idx="31">
                  <c:v>11.566757031596611</c:v>
                </c:pt>
                <c:pt idx="32">
                  <c:v>11.566757031596611</c:v>
                </c:pt>
              </c:numCache>
            </c:numRef>
          </c:val>
          <c:smooth val="0"/>
          <c:extLst>
            <c:ext xmlns:c16="http://schemas.microsoft.com/office/drawing/2014/chart" uri="{C3380CC4-5D6E-409C-BE32-E72D297353CC}">
              <c16:uniqueId val="{00000006-5DA7-4BCF-9B88-A448B42D3A15}"/>
            </c:ext>
          </c:extLst>
        </c:ser>
        <c:ser>
          <c:idx val="7"/>
          <c:order val="7"/>
          <c:tx>
            <c:strRef>
              <c:f>PTRA!$D$221</c:f>
              <c:strCache>
                <c:ptCount val="1"/>
                <c:pt idx="0">
                  <c:v>TPPUGAT</c:v>
                </c:pt>
              </c:strCache>
            </c:strRef>
          </c:tx>
          <c:spPr>
            <a:ln w="28575" cap="rnd">
              <a:solidFill>
                <a:schemeClr val="accent2">
                  <a:lumMod val="60000"/>
                </a:schemeClr>
              </a:solidFill>
              <a:round/>
            </a:ln>
            <a:effectLst/>
          </c:spPr>
          <c:marker>
            <c:symbol val="none"/>
          </c:marker>
          <c:val>
            <c:numRef>
              <c:f>PTRA!$J$221:$AP$221</c:f>
              <c:numCache>
                <c:formatCode>0.00</c:formatCode>
                <c:ptCount val="33"/>
                <c:pt idx="0">
                  <c:v>0</c:v>
                </c:pt>
                <c:pt idx="1">
                  <c:v>0.55134415393885639</c:v>
                </c:pt>
                <c:pt idx="2">
                  <c:v>0.58342611917976139</c:v>
                </c:pt>
                <c:pt idx="3">
                  <c:v>0.6155080844206664</c:v>
                </c:pt>
                <c:pt idx="4">
                  <c:v>0.64361620339743641</c:v>
                </c:pt>
                <c:pt idx="5">
                  <c:v>0.67172432237420632</c:v>
                </c:pt>
                <c:pt idx="6">
                  <c:v>0.68877277847748963</c:v>
                </c:pt>
                <c:pt idx="7">
                  <c:v>0.70582123458077295</c:v>
                </c:pt>
                <c:pt idx="8">
                  <c:v>0.72286969068405627</c:v>
                </c:pt>
                <c:pt idx="9">
                  <c:v>0.76681963846418388</c:v>
                </c:pt>
                <c:pt idx="10">
                  <c:v>0.8107695862443115</c:v>
                </c:pt>
                <c:pt idx="11">
                  <c:v>0.85471953402443912</c:v>
                </c:pt>
                <c:pt idx="12">
                  <c:v>0.89866948180456674</c:v>
                </c:pt>
                <c:pt idx="13">
                  <c:v>0.94261942958469436</c:v>
                </c:pt>
                <c:pt idx="14">
                  <c:v>0.98656937736482198</c:v>
                </c:pt>
                <c:pt idx="15">
                  <c:v>1.0305193251449496</c:v>
                </c:pt>
                <c:pt idx="16">
                  <c:v>1.0744692729250771</c:v>
                </c:pt>
                <c:pt idx="17">
                  <c:v>1.1184192207052046</c:v>
                </c:pt>
                <c:pt idx="18">
                  <c:v>1.1623691684853323</c:v>
                </c:pt>
                <c:pt idx="19">
                  <c:v>1.2144163304365445</c:v>
                </c:pt>
                <c:pt idx="20">
                  <c:v>1.2664634923877567</c:v>
                </c:pt>
                <c:pt idx="21">
                  <c:v>1.3185106543389689</c:v>
                </c:pt>
                <c:pt idx="22">
                  <c:v>1.370557816290181</c:v>
                </c:pt>
                <c:pt idx="23">
                  <c:v>1.4226049782413932</c:v>
                </c:pt>
                <c:pt idx="24">
                  <c:v>1.4746521401926054</c:v>
                </c:pt>
                <c:pt idx="25">
                  <c:v>1.5266993021438175</c:v>
                </c:pt>
                <c:pt idx="26">
                  <c:v>1.5787464640950297</c:v>
                </c:pt>
                <c:pt idx="27">
                  <c:v>1.6307936260462419</c:v>
                </c:pt>
                <c:pt idx="28">
                  <c:v>1.6828407879974545</c:v>
                </c:pt>
                <c:pt idx="29">
                  <c:v>1.9443254514485029</c:v>
                </c:pt>
                <c:pt idx="30">
                  <c:v>2.2058101148995513</c:v>
                </c:pt>
                <c:pt idx="31">
                  <c:v>2.2058101148995513</c:v>
                </c:pt>
                <c:pt idx="32">
                  <c:v>2.2058101148995513</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PTRA!$S$149:$W$149</c:f>
              <c:numCache>
                <c:formatCode>0.0</c:formatCode>
                <c:ptCount val="5"/>
                <c:pt idx="0">
                  <c:v>80.486165414266068</c:v>
                </c:pt>
                <c:pt idx="1">
                  <c:v>108.90055623692213</c:v>
                </c:pt>
                <c:pt idx="2">
                  <c:v>155.88340769998581</c:v>
                </c:pt>
                <c:pt idx="3">
                  <c:v>204.14797183974494</c:v>
                </c:pt>
                <c:pt idx="4">
                  <c:v>238.09775974341463</c:v>
                </c:pt>
              </c:numCache>
            </c:numRef>
          </c:val>
          <c:smooth val="0"/>
          <c:extLst>
            <c:ext xmlns:c16="http://schemas.microsoft.com/office/drawing/2014/chart" uri="{C3380CC4-5D6E-409C-BE32-E72D297353CC}">
              <c16:uniqueId val="{00000000-A8E1-4C28-B798-65D90931AA20}"/>
            </c:ext>
          </c:extLst>
        </c:ser>
        <c:ser>
          <c:idx val="0"/>
          <c:order val="1"/>
          <c:spPr>
            <a:ln w="28575" cap="rnd">
              <a:solidFill>
                <a:schemeClr val="accent1"/>
              </a:solidFill>
              <a:round/>
            </a:ln>
            <a:effectLst/>
          </c:spPr>
          <c:marker>
            <c:symbol val="none"/>
          </c:marker>
          <c:val>
            <c:numRef>
              <c:f>PTRA!$M$149:$Q$149</c:f>
              <c:numCache>
                <c:formatCode>0.0</c:formatCode>
                <c:ptCount val="5"/>
                <c:pt idx="0">
                  <c:v>80.486165414266068</c:v>
                </c:pt>
                <c:pt idx="1">
                  <c:v>108.90055623692213</c:v>
                </c:pt>
                <c:pt idx="2">
                  <c:v>167.0179368214134</c:v>
                </c:pt>
                <c:pt idx="3">
                  <c:v>235.55535212278261</c:v>
                </c:pt>
                <c:pt idx="4">
                  <c:v>297.62219967926842</c:v>
                </c:pt>
              </c:numCache>
            </c:numRef>
          </c:val>
          <c:smooth val="0"/>
          <c:extLst>
            <c:ext xmlns:c16="http://schemas.microsoft.com/office/drawing/2014/chart" uri="{C3380CC4-5D6E-409C-BE32-E72D297353CC}">
              <c16:uniqueId val="{00000001-A8E1-4C28-B798-65D90931AA20}"/>
            </c:ext>
          </c:extLst>
        </c:ser>
        <c:dLbls>
          <c:showLegendKey val="0"/>
          <c:showVal val="0"/>
          <c:showCatName val="0"/>
          <c:showSerName val="0"/>
          <c:showPercent val="0"/>
          <c:showBubbleSize val="0"/>
        </c:dLbls>
        <c:smooth val="0"/>
        <c:axId val="1655065120"/>
        <c:axId val="2069850112"/>
      </c:lineChart>
      <c:catAx>
        <c:axId val="1655065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50112"/>
        <c:crosses val="autoZero"/>
        <c:auto val="1"/>
        <c:lblAlgn val="ctr"/>
        <c:lblOffset val="100"/>
        <c:noMultiLvlLbl val="0"/>
      </c:catAx>
      <c:valAx>
        <c:axId val="20698501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6512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PTRA!$G$171:$K$171</c:f>
              <c:numCache>
                <c:formatCode>General</c:formatCode>
                <c:ptCount val="5"/>
                <c:pt idx="0">
                  <c:v>2017</c:v>
                </c:pt>
                <c:pt idx="1">
                  <c:v>2020</c:v>
                </c:pt>
                <c:pt idx="2">
                  <c:v>2030</c:v>
                </c:pt>
                <c:pt idx="3">
                  <c:v>2040</c:v>
                </c:pt>
                <c:pt idx="4">
                  <c:v>2050</c:v>
                </c:pt>
              </c:numCache>
            </c:numRef>
          </c:cat>
          <c:val>
            <c:numRef>
              <c:f>PTRA!$G$181:$K$181</c:f>
              <c:numCache>
                <c:formatCode>0.0%</c:formatCode>
                <c:ptCount val="5"/>
                <c:pt idx="0">
                  <c:v>0.57506196624364458</c:v>
                </c:pt>
                <c:pt idx="1">
                  <c:v>0.54766284658968634</c:v>
                </c:pt>
                <c:pt idx="2">
                  <c:v>0.61104295730741831</c:v>
                </c:pt>
                <c:pt idx="3">
                  <c:v>0.64463163267982315</c:v>
                </c:pt>
                <c:pt idx="4">
                  <c:v>0.64225981862532533</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PTRA!$G$171:$K$171</c:f>
              <c:numCache>
                <c:formatCode>General</c:formatCode>
                <c:ptCount val="5"/>
                <c:pt idx="0">
                  <c:v>2017</c:v>
                </c:pt>
                <c:pt idx="1">
                  <c:v>2020</c:v>
                </c:pt>
                <c:pt idx="2">
                  <c:v>2030</c:v>
                </c:pt>
                <c:pt idx="3">
                  <c:v>2040</c:v>
                </c:pt>
                <c:pt idx="4">
                  <c:v>2050</c:v>
                </c:pt>
              </c:numCache>
            </c:numRef>
          </c:cat>
          <c:val>
            <c:numRef>
              <c:f>PTRA!$G$182:$K$182</c:f>
              <c:numCache>
                <c:formatCode>0.0%</c:formatCode>
                <c:ptCount val="5"/>
                <c:pt idx="0">
                  <c:v>0.42493803375635542</c:v>
                </c:pt>
                <c:pt idx="1">
                  <c:v>0.45233715341031366</c:v>
                </c:pt>
                <c:pt idx="2">
                  <c:v>0.38895704269258169</c:v>
                </c:pt>
                <c:pt idx="3">
                  <c:v>0.35536836732017685</c:v>
                </c:pt>
                <c:pt idx="4">
                  <c:v>0.35774018137467467</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14337"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00000000-0008-0000-0E00-00000138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14338"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00000000-0008-0000-0E00-00000238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14339" name="cmdSpecifyUnits" hidden="1">
          <a:extLst>
            <a:ext uri="{63B3BB69-23CF-44E3-9099-C40C66FF867C}">
              <a14:compatExt xmlns:a14="http://schemas.microsoft.com/office/drawing/2010/main" spid="_x0000_s14339"/>
            </a:ext>
            <a:ext uri="{FF2B5EF4-FFF2-40B4-BE49-F238E27FC236}">
              <a16:creationId xmlns:a16="http://schemas.microsoft.com/office/drawing/2014/main" id="{00000000-0008-0000-0E00-00000338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14340" name="cmdSpecifySets" hidden="1">
          <a:extLst>
            <a:ext uri="{63B3BB69-23CF-44E3-9099-C40C66FF867C}">
              <a14:compatExt xmlns:a14="http://schemas.microsoft.com/office/drawing/2010/main" spid="_x0000_s14340"/>
            </a:ext>
            <a:ext uri="{FF2B5EF4-FFF2-40B4-BE49-F238E27FC236}">
              <a16:creationId xmlns:a16="http://schemas.microsoft.com/office/drawing/2014/main" id="{00000000-0008-0000-0E00-00000438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0E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E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0E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E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93</xdr:row>
      <xdr:rowOff>3572</xdr:rowOff>
    </xdr:from>
    <xdr:to>
      <xdr:col>33</xdr:col>
      <xdr:colOff>232172</xdr:colOff>
      <xdr:row>106</xdr:row>
      <xdr:rowOff>151209</xdr:rowOff>
    </xdr:to>
    <xdr:graphicFrame macro="">
      <xdr:nvGraphicFramePr>
        <xdr:cNvPr id="2" name="Chart 1">
          <a:extLst>
            <a:ext uri="{FF2B5EF4-FFF2-40B4-BE49-F238E27FC236}">
              <a16:creationId xmlns:a16="http://schemas.microsoft.com/office/drawing/2014/main" id="{4241E3EA-8A6B-4E64-B5B8-913512A0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102</xdr:row>
      <xdr:rowOff>39290</xdr:rowOff>
    </xdr:from>
    <xdr:to>
      <xdr:col>33</xdr:col>
      <xdr:colOff>232172</xdr:colOff>
      <xdr:row>116</xdr:row>
      <xdr:rowOff>115490</xdr:rowOff>
    </xdr:to>
    <xdr:graphicFrame macro="">
      <xdr:nvGraphicFramePr>
        <xdr:cNvPr id="5" name="Chart 4">
          <a:extLst>
            <a:ext uri="{FF2B5EF4-FFF2-40B4-BE49-F238E27FC236}">
              <a16:creationId xmlns:a16="http://schemas.microsoft.com/office/drawing/2014/main" id="{B8F43B7C-9D71-4CD2-9BD8-EA3090468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114</xdr:row>
      <xdr:rowOff>39290</xdr:rowOff>
    </xdr:from>
    <xdr:to>
      <xdr:col>33</xdr:col>
      <xdr:colOff>232172</xdr:colOff>
      <xdr:row>128</xdr:row>
      <xdr:rowOff>115490</xdr:rowOff>
    </xdr:to>
    <xdr:graphicFrame macro="">
      <xdr:nvGraphicFramePr>
        <xdr:cNvPr id="6" name="Chart 5">
          <a:extLst>
            <a:ext uri="{FF2B5EF4-FFF2-40B4-BE49-F238E27FC236}">
              <a16:creationId xmlns:a16="http://schemas.microsoft.com/office/drawing/2014/main" id="{8AC7E952-4FEF-4B84-9878-67FF03A4E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77390</xdr:colOff>
      <xdr:row>25</xdr:row>
      <xdr:rowOff>75008</xdr:rowOff>
    </xdr:from>
    <xdr:to>
      <xdr:col>23</xdr:col>
      <xdr:colOff>303609</xdr:colOff>
      <xdr:row>39</xdr:row>
      <xdr:rowOff>127396</xdr:rowOff>
    </xdr:to>
    <xdr:graphicFrame macro="">
      <xdr:nvGraphicFramePr>
        <xdr:cNvPr id="7" name="Chart 6">
          <a:extLst>
            <a:ext uri="{FF2B5EF4-FFF2-40B4-BE49-F238E27FC236}">
              <a16:creationId xmlns:a16="http://schemas.microsoft.com/office/drawing/2014/main" id="{533399B4-0D24-472D-BAB8-869F583F4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185</xdr:row>
      <xdr:rowOff>133350</xdr:rowOff>
    </xdr:from>
    <xdr:to>
      <xdr:col>27</xdr:col>
      <xdr:colOff>118110</xdr:colOff>
      <xdr:row>209</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271742</xdr:colOff>
      <xdr:row>82</xdr:row>
      <xdr:rowOff>80262</xdr:rowOff>
    </xdr:from>
    <xdr:to>
      <xdr:col>33</xdr:col>
      <xdr:colOff>2801</xdr:colOff>
      <xdr:row>96</xdr:row>
      <xdr:rowOff>145256</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131</xdr:row>
      <xdr:rowOff>164042</xdr:rowOff>
    </xdr:from>
    <xdr:to>
      <xdr:col>2</xdr:col>
      <xdr:colOff>4726781</xdr:colOff>
      <xdr:row>145</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186</xdr:row>
      <xdr:rowOff>0</xdr:rowOff>
    </xdr:from>
    <xdr:to>
      <xdr:col>41</xdr:col>
      <xdr:colOff>302013</xdr:colOff>
      <xdr:row>211</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61162</xdr:colOff>
      <xdr:row>1</xdr:row>
      <xdr:rowOff>130969</xdr:rowOff>
    </xdr:from>
    <xdr:to>
      <xdr:col>40</xdr:col>
      <xdr:colOff>450734</xdr:colOff>
      <xdr:row>26</xdr:row>
      <xdr:rowOff>71437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19968412" y="321469"/>
          <a:ext cx="9497853" cy="47505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251</xdr:row>
      <xdr:rowOff>60960</xdr:rowOff>
    </xdr:from>
    <xdr:to>
      <xdr:col>42</xdr:col>
      <xdr:colOff>160020</xdr:colOff>
      <xdr:row>268</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239</xdr:row>
      <xdr:rowOff>55721</xdr:rowOff>
    </xdr:from>
    <xdr:to>
      <xdr:col>37</xdr:col>
      <xdr:colOff>393859</xdr:colOff>
      <xdr:row>268</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16787</xdr:colOff>
      <xdr:row>246</xdr:row>
      <xdr:rowOff>34483</xdr:rowOff>
    </xdr:from>
    <xdr:to>
      <xdr:col>34</xdr:col>
      <xdr:colOff>135062</xdr:colOff>
      <xdr:row>268</xdr:row>
      <xdr:rowOff>87161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31908</xdr:colOff>
      <xdr:row>141</xdr:row>
      <xdr:rowOff>54293</xdr:rowOff>
    </xdr:from>
    <xdr:to>
      <xdr:col>64</xdr:col>
      <xdr:colOff>150495</xdr:colOff>
      <xdr:row>162</xdr:row>
      <xdr:rowOff>953</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51</xdr:col>
      <xdr:colOff>130968</xdr:colOff>
      <xdr:row>145</xdr:row>
      <xdr:rowOff>190499</xdr:rowOff>
    </xdr:from>
    <xdr:to>
      <xdr:col>62</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331107</xdr:colOff>
      <xdr:row>13</xdr:row>
      <xdr:rowOff>36285</xdr:rowOff>
    </xdr:from>
    <xdr:to>
      <xdr:col>34</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421822</xdr:colOff>
      <xdr:row>13</xdr:row>
      <xdr:rowOff>16329</xdr:rowOff>
    </xdr:from>
    <xdr:to>
      <xdr:col>44</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340178</xdr:colOff>
      <xdr:row>28</xdr:row>
      <xdr:rowOff>116115</xdr:rowOff>
    </xdr:from>
    <xdr:to>
      <xdr:col>34</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439965</xdr:colOff>
      <xdr:row>28</xdr:row>
      <xdr:rowOff>97972</xdr:rowOff>
    </xdr:from>
    <xdr:to>
      <xdr:col>44</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94848</xdr:colOff>
      <xdr:row>0</xdr:row>
      <xdr:rowOff>0</xdr:rowOff>
    </xdr:from>
    <xdr:to>
      <xdr:col>27</xdr:col>
      <xdr:colOff>405092</xdr:colOff>
      <xdr:row>15</xdr:row>
      <xdr:rowOff>10680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340178</xdr:colOff>
      <xdr:row>44</xdr:row>
      <xdr:rowOff>120650</xdr:rowOff>
    </xdr:from>
    <xdr:to>
      <xdr:col>37</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349250</xdr:colOff>
      <xdr:row>69</xdr:row>
      <xdr:rowOff>20865</xdr:rowOff>
    </xdr:from>
    <xdr:to>
      <xdr:col>34</xdr:col>
      <xdr:colOff>385536</xdr:colOff>
      <xdr:row>84</xdr:row>
      <xdr:rowOff>33565</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199572</xdr:colOff>
      <xdr:row>69</xdr:row>
      <xdr:rowOff>45357</xdr:rowOff>
    </xdr:from>
    <xdr:to>
      <xdr:col>41</xdr:col>
      <xdr:colOff>235858</xdr:colOff>
      <xdr:row>84</xdr:row>
      <xdr:rowOff>58057</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38</xdr:col>
      <xdr:colOff>36286</xdr:colOff>
      <xdr:row>69</xdr:row>
      <xdr:rowOff>36286</xdr:rowOff>
    </xdr:from>
    <xdr:to>
      <xdr:col>46</xdr:col>
      <xdr:colOff>217715</xdr:colOff>
      <xdr:row>84</xdr:row>
      <xdr:rowOff>48986</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226</xdr:row>
      <xdr:rowOff>140493</xdr:rowOff>
    </xdr:from>
    <xdr:to>
      <xdr:col>4</xdr:col>
      <xdr:colOff>226219</xdr:colOff>
      <xdr:row>241</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50</xdr:col>
      <xdr:colOff>595312</xdr:colOff>
      <xdr:row>164</xdr:row>
      <xdr:rowOff>30616</xdr:rowOff>
    </xdr:from>
    <xdr:to>
      <xdr:col>61</xdr:col>
      <xdr:colOff>332691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464343</xdr:colOff>
      <xdr:row>140</xdr:row>
      <xdr:rowOff>190499</xdr:rowOff>
    </xdr:from>
    <xdr:to>
      <xdr:col>35</xdr:col>
      <xdr:colOff>101201</xdr:colOff>
      <xdr:row>155</xdr:row>
      <xdr:rowOff>55959</xdr:rowOff>
    </xdr:to>
    <xdr:graphicFrame macro="">
      <xdr:nvGraphicFramePr>
        <xdr:cNvPr id="21" name="Chart 20">
          <a:extLst>
            <a:ext uri="{FF2B5EF4-FFF2-40B4-BE49-F238E27FC236}">
              <a16:creationId xmlns:a16="http://schemas.microsoft.com/office/drawing/2014/main" id="{4FAD850E-BE01-4643-9C5C-01E2C1064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38851</xdr:colOff>
      <xdr:row>182</xdr:row>
      <xdr:rowOff>94749</xdr:rowOff>
    </xdr:from>
    <xdr:to>
      <xdr:col>10</xdr:col>
      <xdr:colOff>676776</xdr:colOff>
      <xdr:row>196</xdr:row>
      <xdr:rowOff>137862</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 val="Vehicle data"/>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87.436118489606969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 sheetId="6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10.658785333292295</v>
          </cell>
          <cell r="O10">
            <v>18.313332773471135</v>
          </cell>
        </row>
        <row r="11">
          <cell r="A11" t="str">
            <v/>
          </cell>
          <cell r="B11" t="str">
            <v>COM_PROJ</v>
          </cell>
          <cell r="C11" t="str">
            <v>-</v>
          </cell>
          <cell r="D11" t="str">
            <v>RLNL</v>
          </cell>
          <cell r="J11">
            <v>4.742986727829742E-2</v>
          </cell>
          <cell r="O11">
            <v>3.7879259145798684E-2</v>
          </cell>
        </row>
        <row r="12">
          <cell r="A12" t="str">
            <v/>
          </cell>
          <cell r="B12" t="str">
            <v>COM_PROJ</v>
          </cell>
          <cell r="C12" t="str">
            <v>-</v>
          </cell>
          <cell r="D12" t="str">
            <v>RLEK</v>
          </cell>
          <cell r="J12">
            <v>10.048392993864358</v>
          </cell>
          <cell r="O12">
            <v>11.886812668635695</v>
          </cell>
        </row>
        <row r="13">
          <cell r="A13" t="str">
            <v/>
          </cell>
          <cell r="B13" t="str">
            <v>COM_PROJ</v>
          </cell>
          <cell r="C13" t="str">
            <v>-</v>
          </cell>
          <cell r="D13" t="str">
            <v>RLEH</v>
          </cell>
          <cell r="J13">
            <v>14.59873427639161</v>
          </cell>
          <cell r="O13">
            <v>10.656309407686063</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5.646504427564552</v>
          </cell>
          <cell r="O15">
            <v>6.8933231693409134</v>
          </cell>
        </row>
        <row r="16">
          <cell r="A16" t="str">
            <v/>
          </cell>
          <cell r="B16" t="str">
            <v>COM_PROJ</v>
          </cell>
          <cell r="C16" t="str">
            <v>-</v>
          </cell>
          <cell r="D16" t="str">
            <v>RLER</v>
          </cell>
          <cell r="J16">
            <v>1.4522685698054492</v>
          </cell>
          <cell r="O16">
            <v>2.4583859866509226</v>
          </cell>
        </row>
        <row r="17">
          <cell r="A17" t="str">
            <v/>
          </cell>
          <cell r="B17" t="str">
            <v>COM_PROJ</v>
          </cell>
          <cell r="C17" t="str">
            <v>-</v>
          </cell>
          <cell r="D17" t="str">
            <v>RLEO</v>
          </cell>
          <cell r="J17">
            <v>2.0112975726561855</v>
          </cell>
          <cell r="O17">
            <v>2.5306041714163694</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16.022685217204927</v>
          </cell>
          <cell r="O21">
            <v>22.156036372045502</v>
          </cell>
        </row>
        <row r="22">
          <cell r="A22" t="str">
            <v/>
          </cell>
          <cell r="B22" t="str">
            <v>COM_PROJ</v>
          </cell>
          <cell r="C22" t="str">
            <v>-</v>
          </cell>
          <cell r="D22" t="str">
            <v>RMNL</v>
          </cell>
          <cell r="J22">
            <v>3.3422499241462768E-2</v>
          </cell>
          <cell r="O22">
            <v>6.9606265654183638E-2</v>
          </cell>
        </row>
        <row r="23">
          <cell r="A23" t="str">
            <v/>
          </cell>
          <cell r="B23" t="str">
            <v>COM_PROJ</v>
          </cell>
          <cell r="C23" t="str">
            <v>-</v>
          </cell>
          <cell r="D23" t="str">
            <v>RMEK</v>
          </cell>
          <cell r="J23">
            <v>9.0407206613711697</v>
          </cell>
          <cell r="O23">
            <v>8.3036020208305921</v>
          </cell>
        </row>
        <row r="24">
          <cell r="A24" t="str">
            <v/>
          </cell>
          <cell r="B24" t="str">
            <v>COM_PROJ</v>
          </cell>
          <cell r="C24" t="str">
            <v>-</v>
          </cell>
          <cell r="D24" t="str">
            <v>RMEH</v>
          </cell>
          <cell r="J24">
            <v>13.155695330373915</v>
          </cell>
          <cell r="O24">
            <v>12.476084443854386</v>
          </cell>
        </row>
        <row r="25">
          <cell r="A25" t="str">
            <v/>
          </cell>
          <cell r="B25" t="str">
            <v>COM_PROJ</v>
          </cell>
          <cell r="C25" t="str">
            <v>-</v>
          </cell>
          <cell r="D25" t="str">
            <v>RMEWG</v>
          </cell>
          <cell r="J25">
            <v>8.7049271722264585</v>
          </cell>
          <cell r="O25">
            <v>10.686698849038255</v>
          </cell>
        </row>
        <row r="26">
          <cell r="A26" t="str">
            <v/>
          </cell>
          <cell r="B26" t="str">
            <v>COM_PROJ</v>
          </cell>
          <cell r="C26" t="str">
            <v>-</v>
          </cell>
          <cell r="D26" t="str">
            <v>RMEW</v>
          </cell>
          <cell r="J26">
            <v>6.0832370770317112</v>
          </cell>
          <cell r="O26">
            <v>4.9530930444786696</v>
          </cell>
        </row>
        <row r="27">
          <cell r="A27" t="str">
            <v/>
          </cell>
          <cell r="B27" t="str">
            <v>COM_PROJ</v>
          </cell>
          <cell r="C27" t="str">
            <v>-</v>
          </cell>
          <cell r="D27" t="str">
            <v>RMER</v>
          </cell>
          <cell r="J27">
            <v>3.2942398359296465</v>
          </cell>
          <cell r="O27">
            <v>4.3440781634185033</v>
          </cell>
        </row>
        <row r="28">
          <cell r="A28" t="str">
            <v/>
          </cell>
          <cell r="B28" t="str">
            <v>COM_PROJ</v>
          </cell>
          <cell r="C28" t="str">
            <v>-</v>
          </cell>
          <cell r="D28" t="str">
            <v>RMEO</v>
          </cell>
          <cell r="J28">
            <v>5.8869200094724006</v>
          </cell>
          <cell r="O28">
            <v>8.1722124334885162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29.108468118847501</v>
          </cell>
          <cell r="O32">
            <v>35.679669407019709</v>
          </cell>
        </row>
        <row r="33">
          <cell r="A33" t="str">
            <v/>
          </cell>
          <cell r="B33" t="str">
            <v>COM_PROJ</v>
          </cell>
          <cell r="C33" t="str">
            <v>-</v>
          </cell>
          <cell r="D33" t="str">
            <v>RHEK</v>
          </cell>
          <cell r="J33">
            <v>3.8865695277538777</v>
          </cell>
          <cell r="O33">
            <v>5.9975467702995591</v>
          </cell>
        </row>
        <row r="34">
          <cell r="A34" t="str">
            <v/>
          </cell>
          <cell r="B34" t="str">
            <v>COM_PROJ</v>
          </cell>
          <cell r="C34" t="str">
            <v>-</v>
          </cell>
          <cell r="D34" t="str">
            <v>RHEH</v>
          </cell>
          <cell r="J34">
            <v>7.0745539875426244</v>
          </cell>
          <cell r="O34">
            <v>8.5159670807972994</v>
          </cell>
        </row>
        <row r="35">
          <cell r="A35" t="str">
            <v/>
          </cell>
          <cell r="B35" t="str">
            <v>COM_PROJ</v>
          </cell>
          <cell r="C35" t="str">
            <v>-</v>
          </cell>
          <cell r="D35" t="str">
            <v>RHEWG</v>
          </cell>
          <cell r="J35">
            <v>31.69115874919234</v>
          </cell>
          <cell r="O35">
            <v>36.867293840949763</v>
          </cell>
        </row>
        <row r="36">
          <cell r="A36" t="str">
            <v/>
          </cell>
          <cell r="B36" t="str">
            <v>COM_PROJ</v>
          </cell>
          <cell r="C36" t="str">
            <v>-</v>
          </cell>
          <cell r="D36" t="str">
            <v>RHEW</v>
          </cell>
          <cell r="J36">
            <v>0.56043977372187515</v>
          </cell>
          <cell r="O36">
            <v>7.3377879668979844</v>
          </cell>
        </row>
        <row r="37">
          <cell r="A37" t="str">
            <v/>
          </cell>
          <cell r="B37" t="str">
            <v>COM_PROJ</v>
          </cell>
          <cell r="C37" t="str">
            <v>-</v>
          </cell>
          <cell r="D37" t="str">
            <v>RHER</v>
          </cell>
          <cell r="J37">
            <v>5.2146900261774487</v>
          </cell>
          <cell r="O37">
            <v>6.3998805104367804</v>
          </cell>
        </row>
        <row r="38">
          <cell r="A38" t="str">
            <v/>
          </cell>
          <cell r="B38" t="str">
            <v>COM_PROJ</v>
          </cell>
          <cell r="C38" t="str">
            <v>-</v>
          </cell>
          <cell r="D38" t="str">
            <v>RHEO</v>
          </cell>
          <cell r="J38">
            <v>11.67171257782252</v>
          </cell>
          <cell r="O38">
            <v>14.324449866674456</v>
          </cell>
        </row>
        <row r="39">
          <cell r="A39" t="str">
            <v>*</v>
          </cell>
          <cell r="B39" t="str">
            <v>COM_PROJ</v>
          </cell>
          <cell r="C39" t="str">
            <v>-</v>
          </cell>
          <cell r="D39">
            <v>0</v>
          </cell>
          <cell r="J39">
            <v>0</v>
          </cell>
          <cell r="O39">
            <v>0</v>
          </cell>
        </row>
        <row r="40">
          <cell r="A40" t="str">
            <v>*</v>
          </cell>
          <cell r="B40" t="str">
            <v>COM_PROJ</v>
          </cell>
          <cell r="C40" t="str">
            <v>-</v>
          </cell>
          <cell r="D40">
            <v>0</v>
          </cell>
          <cell r="J40">
            <v>0</v>
          </cell>
          <cell r="O40">
            <v>0</v>
          </cell>
        </row>
        <row r="41">
          <cell r="A41" t="str">
            <v>*</v>
          </cell>
          <cell r="B41" t="str">
            <v>COM_PROJ</v>
          </cell>
          <cell r="C41" t="str">
            <v>-</v>
          </cell>
          <cell r="D41">
            <v>0</v>
          </cell>
          <cell r="J41">
            <v>0</v>
          </cell>
          <cell r="O41">
            <v>0</v>
          </cell>
        </row>
        <row r="42">
          <cell r="A42" t="str">
            <v>*</v>
          </cell>
          <cell r="B42" t="str">
            <v>COM_PROJ</v>
          </cell>
          <cell r="C42" t="str">
            <v>-</v>
          </cell>
          <cell r="D42">
            <v>0</v>
          </cell>
          <cell r="J42">
            <v>0</v>
          </cell>
          <cell r="O42">
            <v>0</v>
          </cell>
        </row>
        <row r="43">
          <cell r="A43" t="str">
            <v>*</v>
          </cell>
          <cell r="B43" t="str">
            <v>COM_PROJ</v>
          </cell>
          <cell r="C43" t="str">
            <v>-</v>
          </cell>
          <cell r="D43">
            <v>0</v>
          </cell>
          <cell r="J43">
            <v>0</v>
          </cell>
          <cell r="O43">
            <v>0</v>
          </cell>
        </row>
        <row r="44">
          <cell r="A44" t="str">
            <v>*</v>
          </cell>
          <cell r="B44" t="str">
            <v>COM_PROJ</v>
          </cell>
          <cell r="C44" t="str">
            <v>-</v>
          </cell>
          <cell r="D44">
            <v>0</v>
          </cell>
          <cell r="J44">
            <v>0</v>
          </cell>
          <cell r="O44">
            <v>0</v>
          </cell>
        </row>
        <row r="45">
          <cell r="A45" t="str">
            <v>*</v>
          </cell>
          <cell r="B45" t="str">
            <v>COM_PROJ</v>
          </cell>
          <cell r="C45" t="str">
            <v>-</v>
          </cell>
          <cell r="D45">
            <v>0</v>
          </cell>
          <cell r="J45">
            <v>0</v>
          </cell>
          <cell r="O45">
            <v>0</v>
          </cell>
        </row>
        <row r="46">
          <cell r="A46" t="str">
            <v>*</v>
          </cell>
          <cell r="B46" t="str">
            <v>COM_PROJ</v>
          </cell>
          <cell r="C46" t="str">
            <v>-</v>
          </cell>
          <cell r="D46">
            <v>0</v>
          </cell>
          <cell r="J46">
            <v>0</v>
          </cell>
          <cell r="O46">
            <v>0</v>
          </cell>
        </row>
        <row r="47">
          <cell r="A47" t="str">
            <v>*</v>
          </cell>
          <cell r="B47" t="str">
            <v>COM_PROJ</v>
          </cell>
          <cell r="C47" t="str">
            <v>-</v>
          </cell>
          <cell r="D47">
            <v>0</v>
          </cell>
          <cell r="J47">
            <v>0</v>
          </cell>
          <cell r="O47">
            <v>0</v>
          </cell>
        </row>
        <row r="48">
          <cell r="A48" t="str">
            <v>*</v>
          </cell>
          <cell r="B48" t="str">
            <v>COM_PROJ</v>
          </cell>
          <cell r="C48" t="str">
            <v>-</v>
          </cell>
          <cell r="D48">
            <v>0</v>
          </cell>
          <cell r="J48">
            <v>0</v>
          </cell>
          <cell r="O48">
            <v>0</v>
          </cell>
        </row>
        <row r="49">
          <cell r="A49" t="str">
            <v>*</v>
          </cell>
          <cell r="B49" t="str">
            <v>COM_PROJ</v>
          </cell>
          <cell r="C49" t="str">
            <v>-</v>
          </cell>
          <cell r="D49">
            <v>0</v>
          </cell>
          <cell r="J49">
            <v>0</v>
          </cell>
          <cell r="O49">
            <v>0</v>
          </cell>
        </row>
        <row r="50">
          <cell r="A50" t="str">
            <v>*</v>
          </cell>
          <cell r="B50" t="str">
            <v>COM_PROJ</v>
          </cell>
          <cell r="C50" t="str">
            <v>-</v>
          </cell>
          <cell r="D50">
            <v>0</v>
          </cell>
          <cell r="J50">
            <v>0</v>
          </cell>
          <cell r="O50">
            <v>0</v>
          </cell>
        </row>
      </sheetData>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1.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5" sqref="D25"/>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91" t="s">
        <v>216</v>
      </c>
      <c r="B1" s="91" t="s">
        <v>32</v>
      </c>
      <c r="C1" s="91" t="s">
        <v>218</v>
      </c>
      <c r="D1" s="91" t="s">
        <v>214</v>
      </c>
    </row>
    <row r="2" spans="1:4">
      <c r="A2" s="90">
        <v>41499</v>
      </c>
      <c r="B2" s="89" t="s">
        <v>217</v>
      </c>
      <c r="C2" s="89" t="s">
        <v>219</v>
      </c>
      <c r="D2" t="s">
        <v>215</v>
      </c>
    </row>
    <row r="3" spans="1:4">
      <c r="A3" s="90">
        <v>41500</v>
      </c>
      <c r="B3" t="s">
        <v>222</v>
      </c>
      <c r="C3" s="4" t="s">
        <v>223</v>
      </c>
      <c r="D3" s="4" t="s">
        <v>215</v>
      </c>
    </row>
    <row r="4" spans="1:4">
      <c r="A4" s="90">
        <v>41502</v>
      </c>
      <c r="B4" t="s">
        <v>224</v>
      </c>
      <c r="C4" s="4" t="s">
        <v>223</v>
      </c>
      <c r="D4" s="4" t="s">
        <v>215</v>
      </c>
    </row>
    <row r="5" spans="1:4">
      <c r="A5" s="90">
        <v>41505</v>
      </c>
      <c r="B5" t="s">
        <v>226</v>
      </c>
      <c r="C5" s="4" t="s">
        <v>261</v>
      </c>
      <c r="D5" t="s">
        <v>225</v>
      </c>
    </row>
    <row r="7" spans="1:4">
      <c r="A7" s="90">
        <v>41599</v>
      </c>
      <c r="B7" t="s">
        <v>267</v>
      </c>
      <c r="C7" s="4" t="s">
        <v>4</v>
      </c>
      <c r="D7" t="s">
        <v>225</v>
      </c>
    </row>
    <row r="9" spans="1:4">
      <c r="A9" s="90" t="s">
        <v>407</v>
      </c>
      <c r="B9" t="s">
        <v>408</v>
      </c>
      <c r="D9" t="s">
        <v>409</v>
      </c>
    </row>
    <row r="11" spans="1:4">
      <c r="A11" s="90">
        <v>42467</v>
      </c>
      <c r="B11" t="s">
        <v>430</v>
      </c>
      <c r="C11" s="4" t="s">
        <v>431</v>
      </c>
      <c r="D11" t="s">
        <v>432</v>
      </c>
    </row>
    <row r="13" spans="1:4">
      <c r="A13" s="153">
        <v>42963</v>
      </c>
      <c r="B13" t="s">
        <v>447</v>
      </c>
      <c r="C13" s="4" t="s">
        <v>446</v>
      </c>
      <c r="D13" t="s">
        <v>225</v>
      </c>
    </row>
    <row r="14" spans="1:4">
      <c r="B14" t="s">
        <v>448</v>
      </c>
      <c r="D14" s="4"/>
    </row>
    <row r="15" spans="1:4">
      <c r="B15" t="s">
        <v>449</v>
      </c>
    </row>
    <row r="17" spans="1:4">
      <c r="A17" s="153">
        <v>43007</v>
      </c>
      <c r="B17" t="s">
        <v>501</v>
      </c>
      <c r="D17" t="s">
        <v>225</v>
      </c>
    </row>
    <row r="18" spans="1:4">
      <c r="B18" t="s">
        <v>502</v>
      </c>
    </row>
    <row r="20" spans="1:4">
      <c r="A20" s="153">
        <v>43039</v>
      </c>
      <c r="B20" t="s">
        <v>518</v>
      </c>
      <c r="C20" s="4" t="s">
        <v>519</v>
      </c>
      <c r="D20" t="s">
        <v>520</v>
      </c>
    </row>
    <row r="21" spans="1:4">
      <c r="B21" t="s">
        <v>521</v>
      </c>
      <c r="C21" s="4" t="s">
        <v>4</v>
      </c>
      <c r="D21" t="s">
        <v>520</v>
      </c>
    </row>
    <row r="24" spans="1:4" s="199" customFormat="1">
      <c r="A24" s="231">
        <v>44007.756886921299</v>
      </c>
      <c r="B24" s="199" t="s">
        <v>606</v>
      </c>
      <c r="C24" s="199" t="s">
        <v>607</v>
      </c>
      <c r="D24" s="199" t="s">
        <v>608</v>
      </c>
    </row>
    <row r="25" spans="1:4" s="199" customFormat="1"/>
    <row r="26" spans="1:4" s="199" customFormat="1"/>
    <row r="27" spans="1:4" s="199" customFormat="1"/>
    <row r="28" spans="1:4" s="199" customFormat="1"/>
    <row r="29" spans="1:4" s="199" customFormat="1"/>
    <row r="30" spans="1:4" s="199" customFormat="1"/>
    <row r="31" spans="1:4" s="199" customFormat="1"/>
    <row r="32" spans="1:4" s="199" customFormat="1"/>
    <row r="33" spans="1:2" s="199" customFormat="1"/>
    <row r="34" spans="1:2" s="199" customFormat="1"/>
    <row r="35" spans="1:2" s="199" customFormat="1"/>
    <row r="37" spans="1:2">
      <c r="A37" s="231">
        <f ca="1">NOW()</f>
        <v>44050.633891550926</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topLeftCell="A4"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8" t="s">
        <v>404</v>
      </c>
      <c r="C3" s="4"/>
      <c r="E3" s="4"/>
    </row>
    <row r="4" spans="2:28" ht="18.75" thickTop="1" thickBot="1">
      <c r="B4" s="38" t="s">
        <v>286</v>
      </c>
      <c r="C4" s="4"/>
      <c r="E4" s="4"/>
    </row>
    <row r="5" spans="2:28" s="4" customFormat="1" ht="15.75" thickTop="1"/>
    <row r="6" spans="2:28" ht="18" thickBot="1">
      <c r="B6" s="38"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2">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election activeCell="B9" sqref="B9"/>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645</v>
      </c>
      <c r="C7" s="4" t="str">
        <f>"DriversGams!"&amp;ADDRESS(ROW(DriversGams!A5),COLUMN(DriversGams!A5),4)</f>
        <v>DriversGams!A5</v>
      </c>
      <c r="D7" s="4">
        <v>1</v>
      </c>
      <c r="E7" s="4">
        <v>1</v>
      </c>
      <c r="F7" s="4"/>
    </row>
    <row r="8" spans="1:6">
      <c r="A8" s="4" t="s">
        <v>302</v>
      </c>
      <c r="B8" s="4" t="s">
        <v>617</v>
      </c>
      <c r="C8" s="4" t="str">
        <f>"DriversGams!"&amp;ADDRESS(ROW(DriversGams!A42),COLUMN(DriversGams!A42),4)</f>
        <v>DriversGams!A42</v>
      </c>
      <c r="D8" s="4"/>
      <c r="E8" s="4">
        <v>1</v>
      </c>
      <c r="F8" s="4"/>
    </row>
    <row r="9" spans="1:6">
      <c r="A9" s="4" t="s">
        <v>302</v>
      </c>
      <c r="B9" s="4" t="s">
        <v>646</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648</v>
      </c>
      <c r="C12" s="298"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election activeCell="A8" sqref="A8:XFD10"/>
    </sheetView>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99"/>
      <c r="D10" s="4"/>
      <c r="E10" s="4"/>
    </row>
    <row r="11" spans="1:5">
      <c r="D11" s="4"/>
      <c r="E11" s="4"/>
    </row>
    <row r="13" spans="1:5">
      <c r="C13" s="4"/>
      <c r="D13" s="4"/>
      <c r="E13" s="4"/>
    </row>
    <row r="14" spans="1:5" s="4" customFormat="1">
      <c r="A14" s="199"/>
      <c r="B14" s="199"/>
      <c r="C14" s="36"/>
      <c r="D14" s="19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election activeCell="Y22" sqref="Y22"/>
    </sheetView>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90" workbookViewId="0">
      <selection activeCell="A102" sqref="A102:B116"/>
    </sheetView>
  </sheetViews>
  <sheetFormatPr defaultColWidth="8.7109375" defaultRowHeight="15"/>
  <cols>
    <col min="1" max="16384" width="8.7109375" style="199"/>
  </cols>
  <sheetData>
    <row r="4" spans="1:40">
      <c r="A4" s="199" t="s">
        <v>612</v>
      </c>
    </row>
    <row r="5" spans="1:40">
      <c r="B5" s="36" t="s">
        <v>557</v>
      </c>
      <c r="C5" s="36" t="s">
        <v>566</v>
      </c>
      <c r="D5" s="36" t="s">
        <v>567</v>
      </c>
      <c r="E5" s="36" t="s">
        <v>558</v>
      </c>
      <c r="F5" s="36" t="s">
        <v>568</v>
      </c>
      <c r="G5" s="36" t="s">
        <v>569</v>
      </c>
      <c r="H5" s="36" t="s">
        <v>570</v>
      </c>
      <c r="I5" s="36" t="s">
        <v>571</v>
      </c>
      <c r="J5" s="36" t="s">
        <v>559</v>
      </c>
      <c r="K5" s="36" t="s">
        <v>572</v>
      </c>
      <c r="L5" s="36" t="s">
        <v>573</v>
      </c>
      <c r="M5" s="36" t="s">
        <v>574</v>
      </c>
      <c r="N5" s="36" t="s">
        <v>575</v>
      </c>
      <c r="O5" s="36" t="s">
        <v>560</v>
      </c>
      <c r="P5" s="36" t="s">
        <v>576</v>
      </c>
      <c r="Q5" s="36" t="s">
        <v>577</v>
      </c>
      <c r="R5" s="36" t="s">
        <v>578</v>
      </c>
      <c r="S5" s="36" t="s">
        <v>579</v>
      </c>
      <c r="T5" s="36" t="s">
        <v>561</v>
      </c>
      <c r="U5" s="36" t="s">
        <v>580</v>
      </c>
      <c r="V5" s="36" t="s">
        <v>581</v>
      </c>
      <c r="W5" s="36" t="s">
        <v>582</v>
      </c>
      <c r="X5" s="36" t="s">
        <v>583</v>
      </c>
      <c r="Y5" s="36" t="s">
        <v>562</v>
      </c>
      <c r="Z5" s="36" t="s">
        <v>584</v>
      </c>
      <c r="AA5" s="36" t="s">
        <v>585</v>
      </c>
      <c r="AB5" s="36" t="s">
        <v>586</v>
      </c>
      <c r="AC5" s="36" t="s">
        <v>587</v>
      </c>
      <c r="AD5" s="36" t="s">
        <v>563</v>
      </c>
      <c r="AE5" s="36" t="s">
        <v>588</v>
      </c>
      <c r="AF5" s="36" t="s">
        <v>589</v>
      </c>
      <c r="AG5" s="36" t="s">
        <v>590</v>
      </c>
      <c r="AH5" s="36" t="s">
        <v>591</v>
      </c>
      <c r="AI5" s="36" t="s">
        <v>564</v>
      </c>
      <c r="AJ5" s="36" t="s">
        <v>592</v>
      </c>
      <c r="AK5" s="36" t="s">
        <v>593</v>
      </c>
      <c r="AL5" s="36" t="s">
        <v>594</v>
      </c>
      <c r="AM5" s="36" t="s">
        <v>595</v>
      </c>
      <c r="AN5" s="36" t="s">
        <v>565</v>
      </c>
    </row>
    <row r="6" spans="1:40">
      <c r="A6" s="36" t="s">
        <v>4</v>
      </c>
      <c r="B6" s="300">
        <v>1833.85</v>
      </c>
      <c r="C6" s="300">
        <v>1887.04</v>
      </c>
      <c r="D6" s="300">
        <v>1934.79</v>
      </c>
      <c r="E6" s="300">
        <v>1971.74</v>
      </c>
      <c r="F6" s="300">
        <v>2001.88</v>
      </c>
      <c r="G6" s="300">
        <v>2032.99</v>
      </c>
      <c r="H6" s="300">
        <v>2075.61</v>
      </c>
      <c r="I6" s="300">
        <v>2127.88</v>
      </c>
      <c r="J6" s="300">
        <v>1981.33</v>
      </c>
      <c r="K6" s="300">
        <v>2063.31</v>
      </c>
      <c r="L6" s="300">
        <v>2137.7800000000002</v>
      </c>
      <c r="M6" s="300">
        <v>2218.42</v>
      </c>
      <c r="N6" s="300">
        <v>2311.4499999999998</v>
      </c>
      <c r="O6" s="300">
        <v>2413.14</v>
      </c>
      <c r="P6" s="300">
        <v>2527.2600000000002</v>
      </c>
      <c r="Q6" s="300">
        <v>2650.81</v>
      </c>
      <c r="R6" s="300">
        <v>2784.91</v>
      </c>
      <c r="S6" s="300">
        <v>2936.65</v>
      </c>
      <c r="T6" s="300">
        <v>3098.4</v>
      </c>
      <c r="U6" s="300">
        <v>3264.46</v>
      </c>
      <c r="V6" s="300">
        <v>3442.1</v>
      </c>
      <c r="W6" s="300">
        <v>3630.22</v>
      </c>
      <c r="X6" s="300">
        <v>3829.94</v>
      </c>
      <c r="Y6" s="300">
        <v>4029.27</v>
      </c>
      <c r="Z6" s="300">
        <v>4237.8100000000004</v>
      </c>
      <c r="AA6" s="300">
        <v>4470.5200000000004</v>
      </c>
      <c r="AB6" s="300">
        <v>4720.5</v>
      </c>
      <c r="AC6" s="300">
        <v>4986.2700000000004</v>
      </c>
      <c r="AD6" s="300">
        <v>5265.47</v>
      </c>
      <c r="AE6" s="300">
        <v>5557.92</v>
      </c>
      <c r="AF6" s="300">
        <v>5868.52</v>
      </c>
      <c r="AG6" s="300">
        <v>6197.7</v>
      </c>
      <c r="AH6" s="300">
        <v>6546.92</v>
      </c>
      <c r="AI6" s="300">
        <v>6912.43</v>
      </c>
      <c r="AJ6" s="300">
        <v>7286.52</v>
      </c>
      <c r="AK6" s="300">
        <v>7680.12</v>
      </c>
      <c r="AL6" s="300">
        <v>8094.42</v>
      </c>
      <c r="AM6" s="300">
        <v>8531.35</v>
      </c>
      <c r="AN6" s="300">
        <v>8994.11</v>
      </c>
    </row>
    <row r="7" spans="1:40">
      <c r="A7" s="36" t="s">
        <v>647</v>
      </c>
      <c r="B7" s="300">
        <v>69.819999999999993</v>
      </c>
      <c r="C7" s="300">
        <v>73.13</v>
      </c>
      <c r="D7" s="300">
        <v>76.08</v>
      </c>
      <c r="E7" s="300">
        <v>75.09</v>
      </c>
      <c r="F7" s="300">
        <v>74.27</v>
      </c>
      <c r="G7" s="300">
        <v>76.78</v>
      </c>
      <c r="H7" s="300">
        <v>75.78</v>
      </c>
      <c r="I7" s="300">
        <v>74.900000000000006</v>
      </c>
      <c r="J7" s="300">
        <v>72.39</v>
      </c>
      <c r="K7" s="300">
        <v>75.459999999999994</v>
      </c>
      <c r="L7" s="300">
        <v>78.09</v>
      </c>
      <c r="M7" s="300">
        <v>80.540000000000006</v>
      </c>
      <c r="N7" s="300">
        <v>83.29</v>
      </c>
      <c r="O7" s="300">
        <v>86.31</v>
      </c>
      <c r="P7" s="300">
        <v>89.52</v>
      </c>
      <c r="Q7" s="300">
        <v>92.83</v>
      </c>
      <c r="R7" s="300">
        <v>96.13</v>
      </c>
      <c r="S7" s="300">
        <v>99.86</v>
      </c>
      <c r="T7" s="300">
        <v>103.6</v>
      </c>
      <c r="U7" s="300">
        <v>107.31</v>
      </c>
      <c r="V7" s="300">
        <v>111.1</v>
      </c>
      <c r="W7" s="300">
        <v>114.89</v>
      </c>
      <c r="X7" s="300">
        <v>118.93</v>
      </c>
      <c r="Y7" s="300">
        <v>122.67</v>
      </c>
      <c r="Z7" s="300">
        <v>126.57</v>
      </c>
      <c r="AA7" s="300">
        <v>131.19999999999999</v>
      </c>
      <c r="AB7" s="300">
        <v>136.22999999999999</v>
      </c>
      <c r="AC7" s="300">
        <v>141.56</v>
      </c>
      <c r="AD7" s="300">
        <v>147.22999999999999</v>
      </c>
      <c r="AE7" s="300">
        <v>153.16999999999999</v>
      </c>
      <c r="AF7" s="300">
        <v>159.51</v>
      </c>
      <c r="AG7" s="300">
        <v>166.34</v>
      </c>
      <c r="AH7" s="300">
        <v>173.64</v>
      </c>
      <c r="AI7" s="300">
        <v>181.25</v>
      </c>
      <c r="AJ7" s="300">
        <v>188.86</v>
      </c>
      <c r="AK7" s="300">
        <v>197.06</v>
      </c>
      <c r="AL7" s="300">
        <v>205.81</v>
      </c>
      <c r="AM7" s="300">
        <v>215.02</v>
      </c>
      <c r="AN7" s="300">
        <v>224.71</v>
      </c>
    </row>
    <row r="8" spans="1:40">
      <c r="A8" s="36" t="s">
        <v>387</v>
      </c>
      <c r="B8" s="300">
        <v>205.45</v>
      </c>
      <c r="C8" s="300">
        <v>210.75</v>
      </c>
      <c r="D8" s="300">
        <v>211.85</v>
      </c>
      <c r="E8" s="300">
        <v>218.73</v>
      </c>
      <c r="F8" s="300">
        <v>215.69</v>
      </c>
      <c r="G8" s="300">
        <v>222.46</v>
      </c>
      <c r="H8" s="300">
        <v>221.28</v>
      </c>
      <c r="I8" s="300">
        <v>219.02</v>
      </c>
      <c r="J8" s="300">
        <v>202.16</v>
      </c>
      <c r="K8" s="300">
        <v>207.63</v>
      </c>
      <c r="L8" s="300">
        <v>212.19</v>
      </c>
      <c r="M8" s="300">
        <v>217.01</v>
      </c>
      <c r="N8" s="300">
        <v>222.76</v>
      </c>
      <c r="O8" s="300">
        <v>229</v>
      </c>
      <c r="P8" s="300">
        <v>236.39</v>
      </c>
      <c r="Q8" s="300">
        <v>244.65</v>
      </c>
      <c r="R8" s="300">
        <v>253.78</v>
      </c>
      <c r="S8" s="300">
        <v>263.83</v>
      </c>
      <c r="T8" s="300">
        <v>274.29000000000002</v>
      </c>
      <c r="U8" s="300">
        <v>284.43</v>
      </c>
      <c r="V8" s="300">
        <v>295.33999999999997</v>
      </c>
      <c r="W8" s="300">
        <v>306.58</v>
      </c>
      <c r="X8" s="300">
        <v>318.20999999999998</v>
      </c>
      <c r="Y8" s="300">
        <v>329.72</v>
      </c>
      <c r="Z8" s="300">
        <v>340.93</v>
      </c>
      <c r="AA8" s="300">
        <v>352.48</v>
      </c>
      <c r="AB8" s="300">
        <v>365.68</v>
      </c>
      <c r="AC8" s="300">
        <v>379.82</v>
      </c>
      <c r="AD8" s="300">
        <v>394.64</v>
      </c>
      <c r="AE8" s="300">
        <v>410.81</v>
      </c>
      <c r="AF8" s="300">
        <v>428.36</v>
      </c>
      <c r="AG8" s="300">
        <v>447.5</v>
      </c>
      <c r="AH8" s="300">
        <v>468.32</v>
      </c>
      <c r="AI8" s="300">
        <v>490.61</v>
      </c>
      <c r="AJ8" s="300">
        <v>513.75</v>
      </c>
      <c r="AK8" s="300">
        <v>538.82000000000005</v>
      </c>
      <c r="AL8" s="300">
        <v>565.97</v>
      </c>
      <c r="AM8" s="300">
        <v>595.37</v>
      </c>
      <c r="AN8" s="300">
        <v>627.37</v>
      </c>
    </row>
    <row r="9" spans="1:40">
      <c r="A9" s="36" t="s">
        <v>523</v>
      </c>
      <c r="B9" s="300">
        <v>93.1</v>
      </c>
      <c r="C9" s="300">
        <v>96.58</v>
      </c>
      <c r="D9" s="300">
        <v>99.16</v>
      </c>
      <c r="E9" s="300">
        <v>100.5</v>
      </c>
      <c r="F9" s="300">
        <v>102.67</v>
      </c>
      <c r="G9" s="300">
        <v>103.77</v>
      </c>
      <c r="H9" s="300">
        <v>105.55</v>
      </c>
      <c r="I9" s="300">
        <v>105.8</v>
      </c>
      <c r="J9" s="300">
        <v>101.17</v>
      </c>
      <c r="K9" s="300">
        <v>105.94</v>
      </c>
      <c r="L9" s="300">
        <v>109.95</v>
      </c>
      <c r="M9" s="300">
        <v>113.88</v>
      </c>
      <c r="N9" s="300">
        <v>118.34</v>
      </c>
      <c r="O9" s="300">
        <v>123.16</v>
      </c>
      <c r="P9" s="300">
        <v>128.15</v>
      </c>
      <c r="Q9" s="300">
        <v>133.38999999999999</v>
      </c>
      <c r="R9" s="300">
        <v>138.88999999999999</v>
      </c>
      <c r="S9" s="300">
        <v>145.15</v>
      </c>
      <c r="T9" s="300">
        <v>151.62</v>
      </c>
      <c r="U9" s="300">
        <v>157.66</v>
      </c>
      <c r="V9" s="300">
        <v>163.97</v>
      </c>
      <c r="W9" s="300">
        <v>170.17</v>
      </c>
      <c r="X9" s="300">
        <v>176.9</v>
      </c>
      <c r="Y9" s="300">
        <v>183.28</v>
      </c>
      <c r="Z9" s="300">
        <v>189.7</v>
      </c>
      <c r="AA9" s="300">
        <v>196.91</v>
      </c>
      <c r="AB9" s="300">
        <v>204.55</v>
      </c>
      <c r="AC9" s="300">
        <v>212.82</v>
      </c>
      <c r="AD9" s="300">
        <v>221.76</v>
      </c>
      <c r="AE9" s="300">
        <v>231.03</v>
      </c>
      <c r="AF9" s="300">
        <v>240.91</v>
      </c>
      <c r="AG9" s="300">
        <v>251.49</v>
      </c>
      <c r="AH9" s="300">
        <v>262.69</v>
      </c>
      <c r="AI9" s="300">
        <v>274.19</v>
      </c>
      <c r="AJ9" s="300">
        <v>285.61</v>
      </c>
      <c r="AK9" s="300">
        <v>297.74</v>
      </c>
      <c r="AL9" s="300">
        <v>310.49</v>
      </c>
      <c r="AM9" s="300">
        <v>323.73</v>
      </c>
      <c r="AN9" s="300">
        <v>337.54</v>
      </c>
    </row>
    <row r="10" spans="1:40">
      <c r="A10" s="36" t="s">
        <v>524</v>
      </c>
      <c r="B10" s="300">
        <v>235.5</v>
      </c>
      <c r="C10" s="300">
        <v>242.24</v>
      </c>
      <c r="D10" s="300">
        <v>246.87</v>
      </c>
      <c r="E10" s="300">
        <v>250.64</v>
      </c>
      <c r="F10" s="300">
        <v>253.65</v>
      </c>
      <c r="G10" s="300">
        <v>255.51</v>
      </c>
      <c r="H10" s="300">
        <v>259.37</v>
      </c>
      <c r="I10" s="300">
        <v>261.33</v>
      </c>
      <c r="J10" s="300">
        <v>237.93</v>
      </c>
      <c r="K10" s="300">
        <v>248.63</v>
      </c>
      <c r="L10" s="300">
        <v>258.14</v>
      </c>
      <c r="M10" s="300">
        <v>268.23</v>
      </c>
      <c r="N10" s="300">
        <v>279.72000000000003</v>
      </c>
      <c r="O10" s="300">
        <v>292.12</v>
      </c>
      <c r="P10" s="300">
        <v>305.86</v>
      </c>
      <c r="Q10" s="300">
        <v>320.54000000000002</v>
      </c>
      <c r="R10" s="300">
        <v>336.39</v>
      </c>
      <c r="S10" s="300">
        <v>354.33</v>
      </c>
      <c r="T10" s="300">
        <v>373.14</v>
      </c>
      <c r="U10" s="300">
        <v>392.47</v>
      </c>
      <c r="V10" s="300">
        <v>412.91</v>
      </c>
      <c r="W10" s="300">
        <v>434.3</v>
      </c>
      <c r="X10" s="300">
        <v>457.12</v>
      </c>
      <c r="Y10" s="300">
        <v>479.82</v>
      </c>
      <c r="Z10" s="300">
        <v>503.56</v>
      </c>
      <c r="AA10" s="300">
        <v>530.24</v>
      </c>
      <c r="AB10" s="300">
        <v>558.29</v>
      </c>
      <c r="AC10" s="300">
        <v>587.79</v>
      </c>
      <c r="AD10" s="300">
        <v>618.39</v>
      </c>
      <c r="AE10" s="300">
        <v>650.49</v>
      </c>
      <c r="AF10" s="300">
        <v>684.66</v>
      </c>
      <c r="AG10" s="300">
        <v>720.96</v>
      </c>
      <c r="AH10" s="300">
        <v>759.46</v>
      </c>
      <c r="AI10" s="300">
        <v>799.67</v>
      </c>
      <c r="AJ10" s="300">
        <v>840.55</v>
      </c>
      <c r="AK10" s="300">
        <v>883.68</v>
      </c>
      <c r="AL10" s="300">
        <v>929.19</v>
      </c>
      <c r="AM10" s="300">
        <v>977.18</v>
      </c>
      <c r="AN10" s="300">
        <v>1028.08</v>
      </c>
    </row>
    <row r="11" spans="1:40">
      <c r="A11" s="36" t="s">
        <v>525</v>
      </c>
      <c r="B11" s="300">
        <v>17.78</v>
      </c>
      <c r="C11" s="300">
        <v>18.260000000000002</v>
      </c>
      <c r="D11" s="300">
        <v>18.66</v>
      </c>
      <c r="E11" s="300">
        <v>18.920000000000002</v>
      </c>
      <c r="F11" s="300">
        <v>19.28</v>
      </c>
      <c r="G11" s="300">
        <v>19.36</v>
      </c>
      <c r="H11" s="300">
        <v>19.82</v>
      </c>
      <c r="I11" s="300">
        <v>19.96</v>
      </c>
      <c r="J11" s="300">
        <v>18.579999999999998</v>
      </c>
      <c r="K11" s="300">
        <v>19.38</v>
      </c>
      <c r="L11" s="300">
        <v>20.079999999999998</v>
      </c>
      <c r="M11" s="300">
        <v>20.83</v>
      </c>
      <c r="N11" s="300">
        <v>21.69</v>
      </c>
      <c r="O11" s="300">
        <v>22.7</v>
      </c>
      <c r="P11" s="300">
        <v>23.72</v>
      </c>
      <c r="Q11" s="300">
        <v>24.82</v>
      </c>
      <c r="R11" s="300">
        <v>26</v>
      </c>
      <c r="S11" s="300">
        <v>27.3</v>
      </c>
      <c r="T11" s="300">
        <v>28.66</v>
      </c>
      <c r="U11" s="300">
        <v>29.99</v>
      </c>
      <c r="V11" s="300">
        <v>31.4</v>
      </c>
      <c r="W11" s="300">
        <v>32.869999999999997</v>
      </c>
      <c r="X11" s="300">
        <v>34.4</v>
      </c>
      <c r="Y11" s="300">
        <v>35.76</v>
      </c>
      <c r="Z11" s="300">
        <v>37.28</v>
      </c>
      <c r="AA11" s="300">
        <v>38.96</v>
      </c>
      <c r="AB11" s="300">
        <v>40.770000000000003</v>
      </c>
      <c r="AC11" s="300">
        <v>42.69</v>
      </c>
      <c r="AD11" s="300">
        <v>44.72</v>
      </c>
      <c r="AE11" s="300">
        <v>46.91</v>
      </c>
      <c r="AF11" s="300">
        <v>49.26</v>
      </c>
      <c r="AG11" s="300">
        <v>51.76</v>
      </c>
      <c r="AH11" s="300">
        <v>54.42</v>
      </c>
      <c r="AI11" s="300">
        <v>57.18</v>
      </c>
      <c r="AJ11" s="300">
        <v>59.97</v>
      </c>
      <c r="AK11" s="300">
        <v>62.92</v>
      </c>
      <c r="AL11" s="300">
        <v>66.03</v>
      </c>
      <c r="AM11" s="300">
        <v>69.31</v>
      </c>
      <c r="AN11" s="300">
        <v>72.78</v>
      </c>
    </row>
    <row r="12" spans="1:40">
      <c r="A12" s="36" t="s">
        <v>526</v>
      </c>
      <c r="B12" s="300">
        <v>52.81</v>
      </c>
      <c r="C12" s="300">
        <v>54.42</v>
      </c>
      <c r="D12" s="300">
        <v>55.54</v>
      </c>
      <c r="E12" s="300">
        <v>56.23</v>
      </c>
      <c r="F12" s="300">
        <v>56.92</v>
      </c>
      <c r="G12" s="300">
        <v>57.4</v>
      </c>
      <c r="H12" s="300">
        <v>58.26</v>
      </c>
      <c r="I12" s="300">
        <v>58.61</v>
      </c>
      <c r="J12" s="300">
        <v>54.23</v>
      </c>
      <c r="K12" s="300">
        <v>56.56</v>
      </c>
      <c r="L12" s="300">
        <v>58.58</v>
      </c>
      <c r="M12" s="300">
        <v>60.71</v>
      </c>
      <c r="N12" s="300">
        <v>63.17</v>
      </c>
      <c r="O12" s="300">
        <v>65.87</v>
      </c>
      <c r="P12" s="300">
        <v>68.75</v>
      </c>
      <c r="Q12" s="300">
        <v>71.84</v>
      </c>
      <c r="R12" s="300">
        <v>75.19</v>
      </c>
      <c r="S12" s="300">
        <v>78.97</v>
      </c>
      <c r="T12" s="300">
        <v>82.97</v>
      </c>
      <c r="U12" s="300">
        <v>86.85</v>
      </c>
      <c r="V12" s="300">
        <v>90.96</v>
      </c>
      <c r="W12" s="300">
        <v>95.23</v>
      </c>
      <c r="X12" s="300">
        <v>99.76</v>
      </c>
      <c r="Y12" s="300">
        <v>104.17</v>
      </c>
      <c r="Z12" s="300">
        <v>108.73</v>
      </c>
      <c r="AA12" s="300">
        <v>113.82</v>
      </c>
      <c r="AB12" s="300">
        <v>119.24</v>
      </c>
      <c r="AC12" s="300">
        <v>125</v>
      </c>
      <c r="AD12" s="300">
        <v>131.04</v>
      </c>
      <c r="AE12" s="300">
        <v>137.54</v>
      </c>
      <c r="AF12" s="300">
        <v>144.51</v>
      </c>
      <c r="AG12" s="300">
        <v>151.97</v>
      </c>
      <c r="AH12" s="300">
        <v>159.93</v>
      </c>
      <c r="AI12" s="300">
        <v>168.26</v>
      </c>
      <c r="AJ12" s="300">
        <v>176.78</v>
      </c>
      <c r="AK12" s="300">
        <v>185.8</v>
      </c>
      <c r="AL12" s="300">
        <v>195.37</v>
      </c>
      <c r="AM12" s="300">
        <v>205.48</v>
      </c>
      <c r="AN12" s="300">
        <v>216.25</v>
      </c>
    </row>
    <row r="13" spans="1:40">
      <c r="A13" s="36" t="s">
        <v>527</v>
      </c>
      <c r="B13" s="300">
        <v>14.11</v>
      </c>
      <c r="C13" s="300">
        <v>14.52</v>
      </c>
      <c r="D13" s="300">
        <v>14.78</v>
      </c>
      <c r="E13" s="300">
        <v>15.04</v>
      </c>
      <c r="F13" s="300">
        <v>15.24</v>
      </c>
      <c r="G13" s="300">
        <v>15.41</v>
      </c>
      <c r="H13" s="300">
        <v>15.66</v>
      </c>
      <c r="I13" s="300">
        <v>15.81</v>
      </c>
      <c r="J13" s="300">
        <v>14.58</v>
      </c>
      <c r="K13" s="300">
        <v>15.21</v>
      </c>
      <c r="L13" s="300">
        <v>15.77</v>
      </c>
      <c r="M13" s="300">
        <v>16.38</v>
      </c>
      <c r="N13" s="300">
        <v>17.07</v>
      </c>
      <c r="O13" s="300">
        <v>17.809999999999999</v>
      </c>
      <c r="P13" s="300">
        <v>18.64</v>
      </c>
      <c r="Q13" s="300">
        <v>19.53</v>
      </c>
      <c r="R13" s="300">
        <v>20.48</v>
      </c>
      <c r="S13" s="300">
        <v>21.56</v>
      </c>
      <c r="T13" s="300">
        <v>22.7</v>
      </c>
      <c r="U13" s="300">
        <v>23.86</v>
      </c>
      <c r="V13" s="300">
        <v>25.08</v>
      </c>
      <c r="W13" s="300">
        <v>26.38</v>
      </c>
      <c r="X13" s="300">
        <v>27.75</v>
      </c>
      <c r="Y13" s="300">
        <v>29.12</v>
      </c>
      <c r="Z13" s="300">
        <v>30.54</v>
      </c>
      <c r="AA13" s="300">
        <v>32.14</v>
      </c>
      <c r="AB13" s="300">
        <v>33.81</v>
      </c>
      <c r="AC13" s="300">
        <v>35.56</v>
      </c>
      <c r="AD13" s="300">
        <v>37.380000000000003</v>
      </c>
      <c r="AE13" s="300">
        <v>39.31</v>
      </c>
      <c r="AF13" s="300">
        <v>41.35</v>
      </c>
      <c r="AG13" s="300">
        <v>43.52</v>
      </c>
      <c r="AH13" s="300">
        <v>45.81</v>
      </c>
      <c r="AI13" s="300">
        <v>48.2</v>
      </c>
      <c r="AJ13" s="300">
        <v>50.63</v>
      </c>
      <c r="AK13" s="300">
        <v>53.19</v>
      </c>
      <c r="AL13" s="300">
        <v>55.87</v>
      </c>
      <c r="AM13" s="300">
        <v>58.7</v>
      </c>
      <c r="AN13" s="300">
        <v>61.69</v>
      </c>
    </row>
    <row r="14" spans="1:40">
      <c r="A14" s="36" t="s">
        <v>388</v>
      </c>
      <c r="B14" s="300">
        <v>13.35</v>
      </c>
      <c r="C14" s="300">
        <v>13.76</v>
      </c>
      <c r="D14" s="300">
        <v>14.01</v>
      </c>
      <c r="E14" s="300">
        <v>14.36</v>
      </c>
      <c r="F14" s="300">
        <v>14.42</v>
      </c>
      <c r="G14" s="300">
        <v>14.53</v>
      </c>
      <c r="H14" s="300">
        <v>14.55</v>
      </c>
      <c r="I14" s="300">
        <v>14.49</v>
      </c>
      <c r="J14" s="300">
        <v>12.76</v>
      </c>
      <c r="K14" s="300">
        <v>13.3</v>
      </c>
      <c r="L14" s="300">
        <v>13.7</v>
      </c>
      <c r="M14" s="300">
        <v>14.11</v>
      </c>
      <c r="N14" s="300">
        <v>14.59</v>
      </c>
      <c r="O14" s="300">
        <v>15.11</v>
      </c>
      <c r="P14" s="300">
        <v>15.67</v>
      </c>
      <c r="Q14" s="300">
        <v>16.27</v>
      </c>
      <c r="R14" s="300">
        <v>16.899999999999999</v>
      </c>
      <c r="S14" s="300">
        <v>17.61</v>
      </c>
      <c r="T14" s="300">
        <v>18.34</v>
      </c>
      <c r="U14" s="300">
        <v>19.02</v>
      </c>
      <c r="V14" s="300">
        <v>19.72</v>
      </c>
      <c r="W14" s="300">
        <v>20.45</v>
      </c>
      <c r="X14" s="300">
        <v>21.19</v>
      </c>
      <c r="Y14" s="300">
        <v>21.89</v>
      </c>
      <c r="Z14" s="300">
        <v>22.58</v>
      </c>
      <c r="AA14" s="300">
        <v>23.26</v>
      </c>
      <c r="AB14" s="300">
        <v>24.08</v>
      </c>
      <c r="AC14" s="300">
        <v>24.94</v>
      </c>
      <c r="AD14" s="300">
        <v>25.83</v>
      </c>
      <c r="AE14" s="300">
        <v>26.9</v>
      </c>
      <c r="AF14" s="300">
        <v>28.07</v>
      </c>
      <c r="AG14" s="300">
        <v>29.33</v>
      </c>
      <c r="AH14" s="300">
        <v>30.69</v>
      </c>
      <c r="AI14" s="300">
        <v>32.130000000000003</v>
      </c>
      <c r="AJ14" s="300">
        <v>33.619999999999997</v>
      </c>
      <c r="AK14" s="300">
        <v>35.22</v>
      </c>
      <c r="AL14" s="300">
        <v>36.94</v>
      </c>
      <c r="AM14" s="300">
        <v>38.78</v>
      </c>
      <c r="AN14" s="300">
        <v>40.78</v>
      </c>
    </row>
    <row r="15" spans="1:40">
      <c r="A15" s="36" t="s">
        <v>528</v>
      </c>
      <c r="B15" s="300">
        <v>10.11</v>
      </c>
      <c r="C15" s="300">
        <v>8.57</v>
      </c>
      <c r="D15" s="300">
        <v>7.79</v>
      </c>
      <c r="E15" s="300">
        <v>7.87</v>
      </c>
      <c r="F15" s="300">
        <v>7.63</v>
      </c>
      <c r="G15" s="300">
        <v>7.31</v>
      </c>
      <c r="H15" s="300">
        <v>7.14</v>
      </c>
      <c r="I15" s="300">
        <v>6.85</v>
      </c>
      <c r="J15" s="300">
        <v>5.64</v>
      </c>
      <c r="K15" s="300">
        <v>5.89</v>
      </c>
      <c r="L15" s="300">
        <v>6</v>
      </c>
      <c r="M15" s="300">
        <v>6.11</v>
      </c>
      <c r="N15" s="300">
        <v>6.29</v>
      </c>
      <c r="O15" s="300">
        <v>6.51</v>
      </c>
      <c r="P15" s="300">
        <v>6.75</v>
      </c>
      <c r="Q15" s="300">
        <v>7.02</v>
      </c>
      <c r="R15" s="300">
        <v>7.3</v>
      </c>
      <c r="S15" s="300">
        <v>7.64</v>
      </c>
      <c r="T15" s="300">
        <v>8.02</v>
      </c>
      <c r="U15" s="300">
        <v>8.36</v>
      </c>
      <c r="V15" s="300">
        <v>8.69</v>
      </c>
      <c r="W15" s="300">
        <v>8.9700000000000006</v>
      </c>
      <c r="X15" s="300">
        <v>9.2200000000000006</v>
      </c>
      <c r="Y15" s="300">
        <v>9.43</v>
      </c>
      <c r="Z15" s="300">
        <v>9.59</v>
      </c>
      <c r="AA15" s="300">
        <v>9.7200000000000006</v>
      </c>
      <c r="AB15" s="300">
        <v>9.82</v>
      </c>
      <c r="AC15" s="300">
        <v>9.93</v>
      </c>
      <c r="AD15" s="300">
        <v>10.039999999999999</v>
      </c>
      <c r="AE15" s="300">
        <v>10.25</v>
      </c>
      <c r="AF15" s="300">
        <v>10.51</v>
      </c>
      <c r="AG15" s="300">
        <v>10.83</v>
      </c>
      <c r="AH15" s="300">
        <v>11.22</v>
      </c>
      <c r="AI15" s="300">
        <v>11.66</v>
      </c>
      <c r="AJ15" s="300">
        <v>12.14</v>
      </c>
      <c r="AK15" s="300">
        <v>12.69</v>
      </c>
      <c r="AL15" s="300">
        <v>13.32</v>
      </c>
      <c r="AM15" s="300">
        <v>14.03</v>
      </c>
      <c r="AN15" s="300">
        <v>14.85</v>
      </c>
    </row>
    <row r="16" spans="1:40">
      <c r="A16" s="36" t="s">
        <v>603</v>
      </c>
      <c r="B16" s="300">
        <v>0</v>
      </c>
      <c r="C16" s="300">
        <v>0</v>
      </c>
      <c r="D16" s="300">
        <v>0</v>
      </c>
      <c r="E16" s="300">
        <v>0</v>
      </c>
      <c r="F16" s="300">
        <v>0</v>
      </c>
      <c r="G16" s="300">
        <v>0</v>
      </c>
      <c r="H16" s="300">
        <v>0</v>
      </c>
      <c r="I16" s="300">
        <v>0</v>
      </c>
      <c r="J16" s="300">
        <v>0</v>
      </c>
      <c r="K16" s="300">
        <v>0</v>
      </c>
      <c r="L16" s="300">
        <v>0</v>
      </c>
      <c r="M16" s="300">
        <v>0</v>
      </c>
      <c r="N16" s="300">
        <v>0</v>
      </c>
      <c r="O16" s="300">
        <v>0</v>
      </c>
      <c r="P16" s="300">
        <v>0</v>
      </c>
      <c r="Q16" s="300">
        <v>0</v>
      </c>
      <c r="R16" s="300">
        <v>0</v>
      </c>
      <c r="S16" s="300">
        <v>0</v>
      </c>
      <c r="T16" s="300">
        <v>0</v>
      </c>
      <c r="U16" s="300">
        <v>0</v>
      </c>
      <c r="V16" s="300">
        <v>0</v>
      </c>
      <c r="W16" s="300">
        <v>0</v>
      </c>
      <c r="X16" s="300">
        <v>0</v>
      </c>
      <c r="Y16" s="300">
        <v>0</v>
      </c>
      <c r="Z16" s="300">
        <v>0</v>
      </c>
      <c r="AA16" s="300">
        <v>0</v>
      </c>
      <c r="AB16" s="300">
        <v>0</v>
      </c>
      <c r="AC16" s="300">
        <v>0</v>
      </c>
      <c r="AD16" s="300">
        <v>0</v>
      </c>
      <c r="AE16" s="300">
        <v>0</v>
      </c>
      <c r="AF16" s="300">
        <v>0</v>
      </c>
      <c r="AG16" s="300">
        <v>0</v>
      </c>
      <c r="AH16" s="300">
        <v>0</v>
      </c>
      <c r="AI16" s="300">
        <v>0</v>
      </c>
      <c r="AJ16" s="300">
        <v>0</v>
      </c>
      <c r="AK16" s="300">
        <v>0</v>
      </c>
      <c r="AL16" s="300">
        <v>0</v>
      </c>
      <c r="AM16" s="300">
        <v>0</v>
      </c>
      <c r="AN16" s="300">
        <v>0</v>
      </c>
    </row>
    <row r="17" spans="1:40">
      <c r="A17" s="36" t="s">
        <v>529</v>
      </c>
      <c r="B17" s="300">
        <v>84.25</v>
      </c>
      <c r="C17" s="300">
        <v>82.61</v>
      </c>
      <c r="D17" s="300">
        <v>80.510000000000005</v>
      </c>
      <c r="E17" s="300">
        <v>78.41</v>
      </c>
      <c r="F17" s="300">
        <v>77.430000000000007</v>
      </c>
      <c r="G17" s="300">
        <v>76.11</v>
      </c>
      <c r="H17" s="300">
        <v>77.17</v>
      </c>
      <c r="I17" s="300">
        <v>77.56</v>
      </c>
      <c r="J17" s="300">
        <v>73.680000000000007</v>
      </c>
      <c r="K17" s="300">
        <v>77.39</v>
      </c>
      <c r="L17" s="300">
        <v>78.28</v>
      </c>
      <c r="M17" s="300">
        <v>79.58</v>
      </c>
      <c r="N17" s="300">
        <v>80.31</v>
      </c>
      <c r="O17" s="300">
        <v>78.52</v>
      </c>
      <c r="P17" s="300">
        <v>81.5</v>
      </c>
      <c r="Q17" s="300">
        <v>83.29</v>
      </c>
      <c r="R17" s="300">
        <v>84.56</v>
      </c>
      <c r="S17" s="300">
        <v>86.89</v>
      </c>
      <c r="T17" s="300">
        <v>88.38</v>
      </c>
      <c r="U17" s="300">
        <v>92.4</v>
      </c>
      <c r="V17" s="300">
        <v>94.97</v>
      </c>
      <c r="W17" s="300">
        <v>97.53</v>
      </c>
      <c r="X17" s="300">
        <v>100.17</v>
      </c>
      <c r="Y17" s="300">
        <v>103.17</v>
      </c>
      <c r="Z17" s="300">
        <v>107.89</v>
      </c>
      <c r="AA17" s="300">
        <v>113.53</v>
      </c>
      <c r="AB17" s="300">
        <v>116.68</v>
      </c>
      <c r="AC17" s="300">
        <v>121.42</v>
      </c>
      <c r="AD17" s="300">
        <v>126.17</v>
      </c>
      <c r="AE17" s="300">
        <v>129.53</v>
      </c>
      <c r="AF17" s="300">
        <v>132.08000000000001</v>
      </c>
      <c r="AG17" s="300">
        <v>134.75</v>
      </c>
      <c r="AH17" s="300">
        <v>137.46</v>
      </c>
      <c r="AI17" s="300">
        <v>140.22999999999999</v>
      </c>
      <c r="AJ17" s="300">
        <v>142.99</v>
      </c>
      <c r="AK17" s="300">
        <v>145.74</v>
      </c>
      <c r="AL17" s="300">
        <v>148.58000000000001</v>
      </c>
      <c r="AM17" s="300">
        <v>151.47</v>
      </c>
      <c r="AN17" s="300">
        <v>154.41</v>
      </c>
    </row>
    <row r="18" spans="1:40">
      <c r="A18" s="36" t="s">
        <v>597</v>
      </c>
      <c r="B18" s="300">
        <v>21.15</v>
      </c>
      <c r="C18" s="300">
        <v>22.6</v>
      </c>
      <c r="D18" s="300">
        <v>24.43</v>
      </c>
      <c r="E18" s="300">
        <v>25.85</v>
      </c>
      <c r="F18" s="300">
        <v>26.71</v>
      </c>
      <c r="G18" s="300">
        <v>28.53</v>
      </c>
      <c r="H18" s="300">
        <v>30.58</v>
      </c>
      <c r="I18" s="300">
        <v>31.78</v>
      </c>
      <c r="J18" s="300">
        <v>30.35</v>
      </c>
      <c r="K18" s="300">
        <v>31.92</v>
      </c>
      <c r="L18" s="300">
        <v>33.32</v>
      </c>
      <c r="M18" s="300">
        <v>34.86</v>
      </c>
      <c r="N18" s="300">
        <v>36.67</v>
      </c>
      <c r="O18" s="300">
        <v>38.68</v>
      </c>
      <c r="P18" s="300">
        <v>41.03</v>
      </c>
      <c r="Q18" s="300">
        <v>43.62</v>
      </c>
      <c r="R18" s="300">
        <v>46.43</v>
      </c>
      <c r="S18" s="300">
        <v>49.77</v>
      </c>
      <c r="T18" s="300">
        <v>53.56</v>
      </c>
      <c r="U18" s="300">
        <v>57.71</v>
      </c>
      <c r="V18" s="300">
        <v>62.38</v>
      </c>
      <c r="W18" s="300">
        <v>67.48</v>
      </c>
      <c r="X18" s="300">
        <v>73</v>
      </c>
      <c r="Y18" s="300">
        <v>78.64</v>
      </c>
      <c r="Z18" s="300">
        <v>84.5</v>
      </c>
      <c r="AA18" s="300">
        <v>91.1</v>
      </c>
      <c r="AB18" s="300">
        <v>98.27</v>
      </c>
      <c r="AC18" s="300">
        <v>106.02</v>
      </c>
      <c r="AD18" s="300">
        <v>114.35</v>
      </c>
      <c r="AE18" s="300">
        <v>123.01</v>
      </c>
      <c r="AF18" s="300">
        <v>132.07</v>
      </c>
      <c r="AG18" s="300">
        <v>141.57</v>
      </c>
      <c r="AH18" s="300">
        <v>151.56</v>
      </c>
      <c r="AI18" s="300">
        <v>161.93</v>
      </c>
      <c r="AJ18" s="300">
        <v>172.27</v>
      </c>
      <c r="AK18" s="300">
        <v>183.15</v>
      </c>
      <c r="AL18" s="300">
        <v>194.63</v>
      </c>
      <c r="AM18" s="300">
        <v>206.73</v>
      </c>
      <c r="AN18" s="300">
        <v>219.59</v>
      </c>
    </row>
    <row r="19" spans="1:40">
      <c r="A19" s="36" t="s">
        <v>598</v>
      </c>
      <c r="B19" s="300">
        <v>135.96</v>
      </c>
      <c r="C19" s="300">
        <v>140.16999999999999</v>
      </c>
      <c r="D19" s="300">
        <v>143.5</v>
      </c>
      <c r="E19" s="300">
        <v>145.44999999999999</v>
      </c>
      <c r="F19" s="300">
        <v>146.9</v>
      </c>
      <c r="G19" s="300">
        <v>149.08000000000001</v>
      </c>
      <c r="H19" s="300">
        <v>151.63999999999999</v>
      </c>
      <c r="I19" s="300">
        <v>153.33000000000001</v>
      </c>
      <c r="J19" s="300">
        <v>142.83000000000001</v>
      </c>
      <c r="K19" s="300">
        <v>148.32</v>
      </c>
      <c r="L19" s="300">
        <v>153.12</v>
      </c>
      <c r="M19" s="300">
        <v>158.33000000000001</v>
      </c>
      <c r="N19" s="300">
        <v>164.39</v>
      </c>
      <c r="O19" s="300">
        <v>170.86</v>
      </c>
      <c r="P19" s="300">
        <v>177.99</v>
      </c>
      <c r="Q19" s="300">
        <v>185.65</v>
      </c>
      <c r="R19" s="300">
        <v>193.93</v>
      </c>
      <c r="S19" s="300">
        <v>203.32</v>
      </c>
      <c r="T19" s="300">
        <v>213.08</v>
      </c>
      <c r="U19" s="300">
        <v>222.82</v>
      </c>
      <c r="V19" s="300">
        <v>233.15</v>
      </c>
      <c r="W19" s="300">
        <v>244.02</v>
      </c>
      <c r="X19" s="300">
        <v>255.42</v>
      </c>
      <c r="Y19" s="300">
        <v>266.56</v>
      </c>
      <c r="Z19" s="300">
        <v>278.14999999999998</v>
      </c>
      <c r="AA19" s="300">
        <v>291.45</v>
      </c>
      <c r="AB19" s="300">
        <v>305.45999999999998</v>
      </c>
      <c r="AC19" s="300">
        <v>320.3</v>
      </c>
      <c r="AD19" s="300">
        <v>335.89</v>
      </c>
      <c r="AE19" s="300">
        <v>352.68</v>
      </c>
      <c r="AF19" s="300">
        <v>370.65</v>
      </c>
      <c r="AG19" s="300">
        <v>389.83</v>
      </c>
      <c r="AH19" s="300">
        <v>410.26</v>
      </c>
      <c r="AI19" s="300">
        <v>431.65</v>
      </c>
      <c r="AJ19" s="300">
        <v>453.39</v>
      </c>
      <c r="AK19" s="300">
        <v>476.46</v>
      </c>
      <c r="AL19" s="300">
        <v>500.88</v>
      </c>
      <c r="AM19" s="300">
        <v>526.72</v>
      </c>
      <c r="AN19" s="300">
        <v>554.19000000000005</v>
      </c>
    </row>
    <row r="20" spans="1:40">
      <c r="A20" s="36" t="s">
        <v>599</v>
      </c>
      <c r="B20" s="300">
        <v>11.26</v>
      </c>
      <c r="C20" s="300">
        <v>11.62</v>
      </c>
      <c r="D20" s="300">
        <v>12.01</v>
      </c>
      <c r="E20" s="300">
        <v>12.28</v>
      </c>
      <c r="F20" s="300">
        <v>12.41</v>
      </c>
      <c r="G20" s="300">
        <v>12.6</v>
      </c>
      <c r="H20" s="300">
        <v>12.95</v>
      </c>
      <c r="I20" s="300">
        <v>13.18</v>
      </c>
      <c r="J20" s="300">
        <v>12.43</v>
      </c>
      <c r="K20" s="300">
        <v>12.98</v>
      </c>
      <c r="L20" s="300">
        <v>13.4</v>
      </c>
      <c r="M20" s="300">
        <v>13.82</v>
      </c>
      <c r="N20" s="300">
        <v>14.29</v>
      </c>
      <c r="O20" s="300">
        <v>14.78</v>
      </c>
      <c r="P20" s="300">
        <v>15.32</v>
      </c>
      <c r="Q20" s="300">
        <v>15.89</v>
      </c>
      <c r="R20" s="300">
        <v>16.46</v>
      </c>
      <c r="S20" s="300">
        <v>17.100000000000001</v>
      </c>
      <c r="T20" s="300">
        <v>17.77</v>
      </c>
      <c r="U20" s="300">
        <v>18.399999999999999</v>
      </c>
      <c r="V20" s="300">
        <v>19.079999999999998</v>
      </c>
      <c r="W20" s="300">
        <v>19.8</v>
      </c>
      <c r="X20" s="300">
        <v>20.51</v>
      </c>
      <c r="Y20" s="300">
        <v>21.19</v>
      </c>
      <c r="Z20" s="300">
        <v>21.84</v>
      </c>
      <c r="AA20" s="300">
        <v>22.58</v>
      </c>
      <c r="AB20" s="300">
        <v>23.39</v>
      </c>
      <c r="AC20" s="300">
        <v>24.25</v>
      </c>
      <c r="AD20" s="300">
        <v>25.17</v>
      </c>
      <c r="AE20" s="300">
        <v>26.17</v>
      </c>
      <c r="AF20" s="300">
        <v>27.21</v>
      </c>
      <c r="AG20" s="300">
        <v>28.34</v>
      </c>
      <c r="AH20" s="300">
        <v>29.51</v>
      </c>
      <c r="AI20" s="300">
        <v>30.75</v>
      </c>
      <c r="AJ20" s="300">
        <v>31.96</v>
      </c>
      <c r="AK20" s="300">
        <v>33.25</v>
      </c>
      <c r="AL20" s="300">
        <v>34.590000000000003</v>
      </c>
      <c r="AM20" s="300">
        <v>36.01</v>
      </c>
      <c r="AN20" s="300">
        <v>37.47</v>
      </c>
    </row>
    <row r="21" spans="1:40">
      <c r="A21" s="36" t="s">
        <v>600</v>
      </c>
      <c r="B21" s="300">
        <v>1.1399999999999999</v>
      </c>
      <c r="C21" s="300">
        <v>1.1499999999999999</v>
      </c>
      <c r="D21" s="300">
        <v>1.1399999999999999</v>
      </c>
      <c r="E21" s="300">
        <v>1.1299999999999999</v>
      </c>
      <c r="F21" s="300">
        <v>1.1399999999999999</v>
      </c>
      <c r="G21" s="300">
        <v>1.1499999999999999</v>
      </c>
      <c r="H21" s="300">
        <v>1.1200000000000001</v>
      </c>
      <c r="I21" s="300">
        <v>1.1100000000000001</v>
      </c>
      <c r="J21" s="300">
        <v>1.01</v>
      </c>
      <c r="K21" s="300">
        <v>1.02</v>
      </c>
      <c r="L21" s="300">
        <v>1.05</v>
      </c>
      <c r="M21" s="300">
        <v>1.0900000000000001</v>
      </c>
      <c r="N21" s="300">
        <v>1.1399999999999999</v>
      </c>
      <c r="O21" s="300">
        <v>1.19</v>
      </c>
      <c r="P21" s="300">
        <v>1.25</v>
      </c>
      <c r="Q21" s="300">
        <v>1.32</v>
      </c>
      <c r="R21" s="300">
        <v>1.41</v>
      </c>
      <c r="S21" s="300">
        <v>1.51</v>
      </c>
      <c r="T21" s="300">
        <v>1.61</v>
      </c>
      <c r="U21" s="300">
        <v>1.73</v>
      </c>
      <c r="V21" s="300">
        <v>1.85</v>
      </c>
      <c r="W21" s="300">
        <v>1.98</v>
      </c>
      <c r="X21" s="300">
        <v>2.12</v>
      </c>
      <c r="Y21" s="300">
        <v>2.27</v>
      </c>
      <c r="Z21" s="300">
        <v>2.44</v>
      </c>
      <c r="AA21" s="300">
        <v>2.62</v>
      </c>
      <c r="AB21" s="300">
        <v>2.82</v>
      </c>
      <c r="AC21" s="300">
        <v>3.03</v>
      </c>
      <c r="AD21" s="300">
        <v>3.24</v>
      </c>
      <c r="AE21" s="300">
        <v>3.47</v>
      </c>
      <c r="AF21" s="300">
        <v>3.72</v>
      </c>
      <c r="AG21" s="300">
        <v>3.99</v>
      </c>
      <c r="AH21" s="300">
        <v>4.28</v>
      </c>
      <c r="AI21" s="300">
        <v>4.58</v>
      </c>
      <c r="AJ21" s="300">
        <v>4.9000000000000004</v>
      </c>
      <c r="AK21" s="300">
        <v>5.24</v>
      </c>
      <c r="AL21" s="300">
        <v>5.61</v>
      </c>
      <c r="AM21" s="300">
        <v>6</v>
      </c>
      <c r="AN21" s="300">
        <v>6.42</v>
      </c>
    </row>
    <row r="22" spans="1:40">
      <c r="A22" s="36" t="s">
        <v>530</v>
      </c>
      <c r="B22" s="300">
        <v>27.52</v>
      </c>
      <c r="C22" s="300">
        <v>26.93</v>
      </c>
      <c r="D22" s="300">
        <v>26.36</v>
      </c>
      <c r="E22" s="300">
        <v>25.78</v>
      </c>
      <c r="F22" s="300">
        <v>25.78</v>
      </c>
      <c r="G22" s="300">
        <v>25.79</v>
      </c>
      <c r="H22" s="300">
        <v>25.77</v>
      </c>
      <c r="I22" s="300">
        <v>25.75</v>
      </c>
      <c r="J22" s="300">
        <v>25.76</v>
      </c>
      <c r="K22" s="300">
        <v>25.73</v>
      </c>
      <c r="L22" s="300">
        <v>25.73</v>
      </c>
      <c r="M22" s="300">
        <v>25.72</v>
      </c>
      <c r="N22" s="300">
        <v>25.72</v>
      </c>
      <c r="O22" s="300">
        <v>25.16</v>
      </c>
      <c r="P22" s="300">
        <v>25.16</v>
      </c>
      <c r="Q22" s="300">
        <v>25.15</v>
      </c>
      <c r="R22" s="300">
        <v>25.15</v>
      </c>
      <c r="S22" s="300">
        <v>25.17</v>
      </c>
      <c r="T22" s="300">
        <v>25.14</v>
      </c>
      <c r="U22" s="300">
        <v>24.45</v>
      </c>
      <c r="V22" s="300">
        <v>23.76</v>
      </c>
      <c r="W22" s="300">
        <v>24.34</v>
      </c>
      <c r="X22" s="300">
        <v>23.79</v>
      </c>
      <c r="Y22" s="300">
        <v>23.25</v>
      </c>
      <c r="Z22" s="300">
        <v>22.59</v>
      </c>
      <c r="AA22" s="300">
        <v>21.53</v>
      </c>
      <c r="AB22" s="300">
        <v>20.29</v>
      </c>
      <c r="AC22" s="300">
        <v>19.059999999999999</v>
      </c>
      <c r="AD22" s="300">
        <v>17.82</v>
      </c>
      <c r="AE22" s="300">
        <v>18.079999999999998</v>
      </c>
      <c r="AF22" s="300">
        <v>18.350000000000001</v>
      </c>
      <c r="AG22" s="300">
        <v>18.61</v>
      </c>
      <c r="AH22" s="300">
        <v>18.88</v>
      </c>
      <c r="AI22" s="300">
        <v>19.149999999999999</v>
      </c>
      <c r="AJ22" s="300">
        <v>19.420000000000002</v>
      </c>
      <c r="AK22" s="300">
        <v>19.68</v>
      </c>
      <c r="AL22" s="300">
        <v>19.95</v>
      </c>
      <c r="AM22" s="300">
        <v>20.22</v>
      </c>
      <c r="AN22" s="300">
        <v>20.49</v>
      </c>
    </row>
    <row r="23" spans="1:40">
      <c r="A23" s="36" t="s">
        <v>604</v>
      </c>
      <c r="B23" s="300">
        <v>66.42</v>
      </c>
      <c r="C23" s="300">
        <v>67.42</v>
      </c>
      <c r="D23" s="300">
        <v>64.459999999999994</v>
      </c>
      <c r="E23" s="300">
        <v>61.49</v>
      </c>
      <c r="F23" s="300">
        <v>61.27</v>
      </c>
      <c r="G23" s="300">
        <v>61.25</v>
      </c>
      <c r="H23" s="300">
        <v>61</v>
      </c>
      <c r="I23" s="300">
        <v>60.54</v>
      </c>
      <c r="J23" s="300">
        <v>58.59</v>
      </c>
      <c r="K23" s="300">
        <v>58.28</v>
      </c>
      <c r="L23" s="300">
        <v>58.04</v>
      </c>
      <c r="M23" s="300">
        <v>58.33</v>
      </c>
      <c r="N23" s="300">
        <v>58.77</v>
      </c>
      <c r="O23" s="300">
        <v>59.57</v>
      </c>
      <c r="P23" s="300">
        <v>59.16</v>
      </c>
      <c r="Q23" s="300">
        <v>59</v>
      </c>
      <c r="R23" s="300">
        <v>59.42</v>
      </c>
      <c r="S23" s="300">
        <v>59.75</v>
      </c>
      <c r="T23" s="300">
        <v>60.14</v>
      </c>
      <c r="U23" s="300">
        <v>59.87</v>
      </c>
      <c r="V23" s="300">
        <v>59.81</v>
      </c>
      <c r="W23" s="300">
        <v>59.04</v>
      </c>
      <c r="X23" s="300">
        <v>58.81</v>
      </c>
      <c r="Y23" s="300">
        <v>57.72</v>
      </c>
      <c r="Z23" s="300">
        <v>56.64</v>
      </c>
      <c r="AA23" s="300">
        <v>56.05</v>
      </c>
      <c r="AB23" s="300">
        <v>54.94</v>
      </c>
      <c r="AC23" s="300">
        <v>53.83</v>
      </c>
      <c r="AD23" s="300">
        <v>52.7</v>
      </c>
      <c r="AE23" s="300">
        <v>52.11</v>
      </c>
      <c r="AF23" s="300">
        <v>51.53</v>
      </c>
      <c r="AG23" s="300">
        <v>50.95</v>
      </c>
      <c r="AH23" s="300">
        <v>50.38</v>
      </c>
      <c r="AI23" s="300">
        <v>49.8</v>
      </c>
      <c r="AJ23" s="300">
        <v>49.23</v>
      </c>
      <c r="AK23" s="300">
        <v>48.66</v>
      </c>
      <c r="AL23" s="300">
        <v>48.08</v>
      </c>
      <c r="AM23" s="300">
        <v>47.51</v>
      </c>
      <c r="AN23" s="300">
        <v>46.94</v>
      </c>
    </row>
    <row r="24" spans="1:40">
      <c r="B24" s="300"/>
      <c r="C24" s="300"/>
      <c r="D24" s="300"/>
      <c r="E24" s="300"/>
      <c r="F24" s="300"/>
      <c r="G24" s="300"/>
      <c r="H24" s="300"/>
      <c r="I24" s="300"/>
      <c r="J24" s="300"/>
      <c r="K24" s="300"/>
      <c r="L24" s="300"/>
      <c r="M24" s="300"/>
      <c r="N24" s="300"/>
      <c r="O24" s="300"/>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row>
    <row r="25" spans="1:40">
      <c r="B25" s="300"/>
      <c r="C25" s="300"/>
      <c r="D25" s="300"/>
      <c r="E25" s="300"/>
      <c r="F25" s="300"/>
      <c r="G25" s="300"/>
      <c r="H25" s="300"/>
      <c r="I25" s="300"/>
      <c r="J25" s="300"/>
      <c r="K25" s="300"/>
      <c r="L25" s="300"/>
      <c r="M25" s="300"/>
      <c r="N25" s="300"/>
      <c r="O25" s="300"/>
      <c r="P25" s="300"/>
      <c r="Q25" s="300"/>
      <c r="R25" s="300"/>
      <c r="S25" s="300"/>
      <c r="T25" s="300"/>
      <c r="U25" s="300"/>
      <c r="V25" s="300"/>
      <c r="W25" s="300"/>
      <c r="X25" s="300"/>
      <c r="Y25" s="300"/>
      <c r="Z25" s="300"/>
      <c r="AA25" s="300"/>
      <c r="AB25" s="300"/>
      <c r="AC25" s="300"/>
      <c r="AD25" s="300"/>
      <c r="AE25" s="300"/>
      <c r="AF25" s="300"/>
      <c r="AG25" s="300"/>
      <c r="AH25" s="300"/>
      <c r="AI25" s="300"/>
      <c r="AJ25" s="300"/>
      <c r="AK25" s="300"/>
      <c r="AL25" s="300"/>
      <c r="AM25" s="300"/>
      <c r="AN25" s="300"/>
    </row>
    <row r="41" spans="1:39">
      <c r="A41" s="144"/>
      <c r="B41" s="144"/>
      <c r="C41" s="144"/>
      <c r="D41" s="144"/>
      <c r="E41" s="144"/>
      <c r="F41" s="144"/>
      <c r="G41" s="144"/>
      <c r="H41" s="144"/>
      <c r="I41" s="144"/>
    </row>
    <row r="42" spans="1:39">
      <c r="A42" s="36" t="s">
        <v>557</v>
      </c>
      <c r="B42" s="36" t="s">
        <v>566</v>
      </c>
      <c r="C42" s="36" t="s">
        <v>567</v>
      </c>
      <c r="D42" s="36" t="s">
        <v>558</v>
      </c>
      <c r="E42" s="36" t="s">
        <v>568</v>
      </c>
      <c r="F42" s="36" t="s">
        <v>569</v>
      </c>
      <c r="G42" s="36" t="s">
        <v>570</v>
      </c>
      <c r="H42" s="36" t="s">
        <v>571</v>
      </c>
      <c r="I42" s="36" t="s">
        <v>559</v>
      </c>
      <c r="J42" s="36" t="s">
        <v>572</v>
      </c>
      <c r="K42" s="36" t="s">
        <v>573</v>
      </c>
      <c r="L42" s="36" t="s">
        <v>574</v>
      </c>
      <c r="M42" s="36" t="s">
        <v>575</v>
      </c>
      <c r="N42" s="36" t="s">
        <v>560</v>
      </c>
      <c r="O42" s="36" t="s">
        <v>576</v>
      </c>
      <c r="P42" s="36" t="s">
        <v>577</v>
      </c>
      <c r="Q42" s="36" t="s">
        <v>578</v>
      </c>
      <c r="R42" s="36" t="s">
        <v>579</v>
      </c>
      <c r="S42" s="36" t="s">
        <v>561</v>
      </c>
      <c r="T42" s="36" t="s">
        <v>580</v>
      </c>
      <c r="U42" s="36" t="s">
        <v>581</v>
      </c>
      <c r="V42" s="36" t="s">
        <v>582</v>
      </c>
      <c r="W42" s="36" t="s">
        <v>583</v>
      </c>
      <c r="X42" s="36" t="s">
        <v>562</v>
      </c>
      <c r="Y42" s="36" t="s">
        <v>584</v>
      </c>
      <c r="Z42" s="36" t="s">
        <v>585</v>
      </c>
      <c r="AA42" s="36" t="s">
        <v>586</v>
      </c>
      <c r="AB42" s="36" t="s">
        <v>587</v>
      </c>
      <c r="AC42" s="36" t="s">
        <v>563</v>
      </c>
      <c r="AD42" s="36" t="s">
        <v>588</v>
      </c>
      <c r="AE42" s="36" t="s">
        <v>589</v>
      </c>
      <c r="AF42" s="36" t="s">
        <v>590</v>
      </c>
      <c r="AG42" s="36" t="s">
        <v>591</v>
      </c>
      <c r="AH42" s="36" t="s">
        <v>564</v>
      </c>
      <c r="AI42" s="36" t="s">
        <v>592</v>
      </c>
      <c r="AJ42" s="36" t="s">
        <v>593</v>
      </c>
      <c r="AK42" s="36" t="s">
        <v>594</v>
      </c>
      <c r="AL42" s="36" t="s">
        <v>595</v>
      </c>
      <c r="AM42" s="36" t="s">
        <v>565</v>
      </c>
    </row>
    <row r="43" spans="1:39">
      <c r="A43" s="199">
        <v>52325.432882070083</v>
      </c>
      <c r="B43" s="199">
        <v>53104.386458423345</v>
      </c>
      <c r="C43" s="199">
        <v>53912.365691429273</v>
      </c>
      <c r="D43" s="199">
        <v>54750.491457321114</v>
      </c>
      <c r="E43" s="199">
        <v>55619.940469824825</v>
      </c>
      <c r="F43" s="199">
        <v>56521.948041648095</v>
      </c>
      <c r="G43" s="199">
        <v>57436.000617299658</v>
      </c>
      <c r="H43" s="199">
        <v>58364.834921819442</v>
      </c>
      <c r="I43" s="199">
        <v>59308.69</v>
      </c>
      <c r="J43" s="199">
        <v>59991.580449204266</v>
      </c>
      <c r="K43" s="199">
        <v>60682.333816399376</v>
      </c>
      <c r="L43" s="199">
        <v>61381.040636574369</v>
      </c>
      <c r="M43" s="199">
        <v>62087.792487153696</v>
      </c>
      <c r="N43" s="199">
        <v>62802.682000000023</v>
      </c>
      <c r="O43" s="199">
        <v>63421.065342005146</v>
      </c>
      <c r="P43" s="199">
        <v>64045.537563425794</v>
      </c>
      <c r="Q43" s="199">
        <v>64676.158618096451</v>
      </c>
      <c r="R43" s="199">
        <v>65312.989050183925</v>
      </c>
      <c r="S43" s="199">
        <v>65956.09</v>
      </c>
      <c r="T43" s="199">
        <v>66518.97719068767</v>
      </c>
      <c r="U43" s="199">
        <v>67086.668213583107</v>
      </c>
      <c r="V43" s="199">
        <v>67659.20406589545</v>
      </c>
      <c r="W43" s="199">
        <v>68236.62609471516</v>
      </c>
      <c r="X43" s="199">
        <v>68818.97600000001</v>
      </c>
      <c r="Y43" s="199">
        <v>69322.810489383541</v>
      </c>
      <c r="Z43" s="199">
        <v>69830.333629884059</v>
      </c>
      <c r="AA43" s="199">
        <v>70341.572426693441</v>
      </c>
      <c r="AB43" s="199">
        <v>70856.554082712813</v>
      </c>
      <c r="AC43" s="199">
        <v>71375.305999999997</v>
      </c>
      <c r="AD43" s="199">
        <v>71818.612994947311</v>
      </c>
      <c r="AE43" s="199">
        <v>72264.673338395412</v>
      </c>
      <c r="AF43" s="199">
        <v>72713.504131197798</v>
      </c>
      <c r="AG43" s="199">
        <v>73165.122580420139</v>
      </c>
      <c r="AH43" s="199">
        <v>73619.545999999973</v>
      </c>
      <c r="AI43" s="199">
        <v>73995.362001779533</v>
      </c>
      <c r="AJ43" s="199">
        <v>74373.096484110356</v>
      </c>
      <c r="AK43" s="199">
        <v>74752.759240528656</v>
      </c>
      <c r="AL43" s="199">
        <v>75134.360114565105</v>
      </c>
      <c r="AM43" s="199">
        <v>75517.908999999985</v>
      </c>
    </row>
    <row r="49" spans="1:40">
      <c r="A49" s="300"/>
      <c r="B49" s="300"/>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c r="AG49" s="300"/>
      <c r="AH49" s="300"/>
      <c r="AI49" s="300"/>
      <c r="AJ49" s="300"/>
      <c r="AK49" s="300"/>
      <c r="AL49" s="300"/>
      <c r="AM49" s="300"/>
    </row>
    <row r="60" spans="1:40">
      <c r="B60" s="36" t="s">
        <v>557</v>
      </c>
      <c r="C60" s="36" t="s">
        <v>566</v>
      </c>
      <c r="D60" s="36" t="s">
        <v>567</v>
      </c>
      <c r="E60" s="36" t="s">
        <v>558</v>
      </c>
      <c r="F60" s="36" t="s">
        <v>568</v>
      </c>
      <c r="G60" s="36" t="s">
        <v>569</v>
      </c>
      <c r="H60" s="36" t="s">
        <v>570</v>
      </c>
      <c r="I60" s="36" t="s">
        <v>571</v>
      </c>
      <c r="J60" s="36" t="s">
        <v>559</v>
      </c>
      <c r="K60" s="36" t="s">
        <v>572</v>
      </c>
      <c r="L60" s="36" t="s">
        <v>573</v>
      </c>
      <c r="M60" s="36" t="s">
        <v>574</v>
      </c>
      <c r="N60" s="36" t="s">
        <v>575</v>
      </c>
      <c r="O60" s="36" t="s">
        <v>560</v>
      </c>
      <c r="P60" s="36" t="s">
        <v>576</v>
      </c>
      <c r="Q60" s="36" t="s">
        <v>577</v>
      </c>
      <c r="R60" s="36" t="s">
        <v>578</v>
      </c>
      <c r="S60" s="36" t="s">
        <v>579</v>
      </c>
      <c r="T60" s="36" t="s">
        <v>561</v>
      </c>
      <c r="U60" s="36" t="s">
        <v>580</v>
      </c>
      <c r="V60" s="36" t="s">
        <v>581</v>
      </c>
      <c r="W60" s="36" t="s">
        <v>582</v>
      </c>
      <c r="X60" s="36" t="s">
        <v>583</v>
      </c>
      <c r="Y60" s="36" t="s">
        <v>562</v>
      </c>
      <c r="Z60" s="36" t="s">
        <v>584</v>
      </c>
      <c r="AA60" s="36" t="s">
        <v>585</v>
      </c>
      <c r="AB60" s="36" t="s">
        <v>586</v>
      </c>
      <c r="AC60" s="36" t="s">
        <v>587</v>
      </c>
      <c r="AD60" s="36" t="s">
        <v>563</v>
      </c>
      <c r="AE60" s="36" t="s">
        <v>588</v>
      </c>
      <c r="AF60" s="36" t="s">
        <v>589</v>
      </c>
      <c r="AG60" s="36" t="s">
        <v>590</v>
      </c>
      <c r="AH60" s="36" t="s">
        <v>591</v>
      </c>
      <c r="AI60" s="36" t="s">
        <v>564</v>
      </c>
      <c r="AJ60" s="36" t="s">
        <v>592</v>
      </c>
      <c r="AK60" s="36" t="s">
        <v>593</v>
      </c>
      <c r="AL60" s="36" t="s">
        <v>594</v>
      </c>
      <c r="AM60" s="36" t="s">
        <v>595</v>
      </c>
      <c r="AN60" s="36" t="s">
        <v>565</v>
      </c>
    </row>
    <row r="61" spans="1:40">
      <c r="A61" s="36" t="s">
        <v>275</v>
      </c>
      <c r="B61" s="199">
        <v>0.50675000000000003</v>
      </c>
      <c r="C61" s="199">
        <v>0.49534</v>
      </c>
      <c r="D61" s="199">
        <v>0.47926999999999997</v>
      </c>
      <c r="E61" s="199">
        <v>0.46598000000000001</v>
      </c>
      <c r="F61" s="199">
        <v>0.45659</v>
      </c>
      <c r="G61" s="199">
        <v>0.4456</v>
      </c>
      <c r="H61" s="199">
        <v>0.43364999999999998</v>
      </c>
      <c r="I61" s="199">
        <v>0.42387999999999998</v>
      </c>
      <c r="J61" s="199">
        <v>0.42914999999999998</v>
      </c>
      <c r="K61" s="199">
        <v>0.43502999999999997</v>
      </c>
      <c r="L61" s="199">
        <v>0.42220999999999997</v>
      </c>
      <c r="M61" s="199">
        <v>0.41015000000000001</v>
      </c>
      <c r="N61" s="199">
        <v>0.39684000000000003</v>
      </c>
      <c r="O61" s="199">
        <v>0.38307000000000002</v>
      </c>
      <c r="P61" s="199">
        <v>0.36964000000000002</v>
      </c>
      <c r="Q61" s="199">
        <v>0.35582000000000003</v>
      </c>
      <c r="R61" s="199">
        <v>0.34215000000000001</v>
      </c>
      <c r="S61" s="199">
        <v>0.32800000000000001</v>
      </c>
      <c r="T61" s="199">
        <v>0.31403999999999999</v>
      </c>
      <c r="U61" s="199">
        <v>0.30116999999999999</v>
      </c>
      <c r="V61" s="199">
        <v>0.28872999999999999</v>
      </c>
      <c r="W61" s="199">
        <v>0.27683000000000002</v>
      </c>
      <c r="X61" s="199">
        <v>0.26540000000000002</v>
      </c>
      <c r="Y61" s="199">
        <v>0.25479000000000002</v>
      </c>
      <c r="Z61" s="199">
        <v>0.24504000000000001</v>
      </c>
      <c r="AA61" s="199">
        <v>0.23477999999999999</v>
      </c>
      <c r="AB61" s="199">
        <v>0.22486</v>
      </c>
      <c r="AC61" s="199">
        <v>0.21551999999999999</v>
      </c>
      <c r="AD61" s="199">
        <v>0.20649999999999999</v>
      </c>
      <c r="AE61" s="199">
        <v>0.19806000000000001</v>
      </c>
      <c r="AF61" s="199">
        <v>0.19006000000000001</v>
      </c>
      <c r="AG61" s="199">
        <v>0.18234</v>
      </c>
      <c r="AH61" s="199">
        <v>0.17487</v>
      </c>
      <c r="AI61" s="199">
        <v>0.16772000000000001</v>
      </c>
      <c r="AJ61" s="199">
        <v>0.16125999999999999</v>
      </c>
      <c r="AK61" s="199">
        <v>0.15518000000000001</v>
      </c>
      <c r="AL61" s="199">
        <v>0.14932000000000001</v>
      </c>
      <c r="AM61" s="199">
        <v>0.14366000000000001</v>
      </c>
      <c r="AN61" s="199">
        <v>0.13816999999999999</v>
      </c>
    </row>
    <row r="62" spans="1:40">
      <c r="A62" s="36" t="s">
        <v>276</v>
      </c>
      <c r="B62" s="199">
        <v>0.30404999999999999</v>
      </c>
      <c r="C62" s="199">
        <v>0.29831000000000002</v>
      </c>
      <c r="D62" s="199">
        <v>0.30127999999999999</v>
      </c>
      <c r="E62" s="199">
        <v>0.30318000000000001</v>
      </c>
      <c r="F62" s="199">
        <v>0.30435000000000001</v>
      </c>
      <c r="G62" s="199">
        <v>0.30362</v>
      </c>
      <c r="H62" s="199">
        <v>0.30426999999999998</v>
      </c>
      <c r="I62" s="199">
        <v>0.30568000000000001</v>
      </c>
      <c r="J62" s="199">
        <v>0.31517000000000001</v>
      </c>
      <c r="K62" s="199">
        <v>0.29937999999999998</v>
      </c>
      <c r="L62" s="199">
        <v>0.30270000000000002</v>
      </c>
      <c r="M62" s="199">
        <v>0.30468000000000001</v>
      </c>
      <c r="N62" s="199">
        <v>0.30664999999999998</v>
      </c>
      <c r="O62" s="199">
        <v>0.30914000000000003</v>
      </c>
      <c r="P62" s="199">
        <v>0.31180000000000002</v>
      </c>
      <c r="Q62" s="199">
        <v>0.31498999999999999</v>
      </c>
      <c r="R62" s="199">
        <v>0.31794</v>
      </c>
      <c r="S62" s="199">
        <v>0.32057000000000002</v>
      </c>
      <c r="T62" s="199">
        <v>0.32377</v>
      </c>
      <c r="U62" s="199">
        <v>0.32697999999999999</v>
      </c>
      <c r="V62" s="199">
        <v>0.33028000000000002</v>
      </c>
      <c r="W62" s="199">
        <v>0.33335999999999999</v>
      </c>
      <c r="X62" s="199">
        <v>0.33631</v>
      </c>
      <c r="Y62" s="199">
        <v>0.33939999999999998</v>
      </c>
      <c r="Z62" s="199">
        <v>0.34238000000000002</v>
      </c>
      <c r="AA62" s="199">
        <v>0.34501999999999999</v>
      </c>
      <c r="AB62" s="199">
        <v>0.34815000000000002</v>
      </c>
      <c r="AC62" s="199">
        <v>0.35088999999999998</v>
      </c>
      <c r="AD62" s="199">
        <v>0.35360999999999998</v>
      </c>
      <c r="AE62" s="199">
        <v>0.35661999999999999</v>
      </c>
      <c r="AF62" s="199">
        <v>0.35938999999999999</v>
      </c>
      <c r="AG62" s="199">
        <v>0.36207</v>
      </c>
      <c r="AH62" s="199">
        <v>0.36464999999999997</v>
      </c>
      <c r="AI62" s="199">
        <v>0.36720000000000003</v>
      </c>
      <c r="AJ62" s="199">
        <v>0.37013000000000001</v>
      </c>
      <c r="AK62" s="199">
        <v>0.37287999999999999</v>
      </c>
      <c r="AL62" s="199">
        <v>0.37556</v>
      </c>
      <c r="AM62" s="199">
        <v>0.37818000000000002</v>
      </c>
      <c r="AN62" s="199">
        <v>0.38073000000000001</v>
      </c>
    </row>
    <row r="63" spans="1:40">
      <c r="A63" s="36" t="s">
        <v>277</v>
      </c>
      <c r="B63" s="199">
        <v>0.20269999999999999</v>
      </c>
      <c r="C63" s="199">
        <v>0.2142</v>
      </c>
      <c r="D63" s="199">
        <v>0.22137000000000001</v>
      </c>
      <c r="E63" s="199">
        <v>0.22653000000000001</v>
      </c>
      <c r="F63" s="199">
        <v>0.22824</v>
      </c>
      <c r="G63" s="199">
        <v>0.23315</v>
      </c>
      <c r="H63" s="199">
        <v>0.23774000000000001</v>
      </c>
      <c r="I63" s="199">
        <v>0.23943999999999999</v>
      </c>
      <c r="J63" s="199">
        <v>0.21806</v>
      </c>
      <c r="K63" s="199">
        <v>0.2258</v>
      </c>
      <c r="L63" s="199">
        <v>0.23313999999999999</v>
      </c>
      <c r="M63" s="199">
        <v>0.24106</v>
      </c>
      <c r="N63" s="199">
        <v>0.25023000000000001</v>
      </c>
      <c r="O63" s="199">
        <v>0.25935999999999998</v>
      </c>
      <c r="P63" s="199">
        <v>0.26955000000000001</v>
      </c>
      <c r="Q63" s="199">
        <v>0.27961000000000003</v>
      </c>
      <c r="R63" s="199">
        <v>0.28974</v>
      </c>
      <c r="S63" s="199">
        <v>0.30069000000000001</v>
      </c>
      <c r="T63" s="199">
        <v>0.31086999999999998</v>
      </c>
      <c r="U63" s="199">
        <v>0.32118000000000002</v>
      </c>
      <c r="V63" s="199">
        <v>0.33098</v>
      </c>
      <c r="W63" s="199">
        <v>0.34045999999999998</v>
      </c>
      <c r="X63" s="199">
        <v>0.34960000000000002</v>
      </c>
      <c r="Y63" s="199">
        <v>0.35777999999999999</v>
      </c>
      <c r="Z63" s="199">
        <v>0.36635000000000001</v>
      </c>
      <c r="AA63" s="199">
        <v>0.37579000000000001</v>
      </c>
      <c r="AB63" s="199">
        <v>0.38438</v>
      </c>
      <c r="AC63" s="199">
        <v>0.39279999999999998</v>
      </c>
      <c r="AD63" s="199">
        <v>0.40092</v>
      </c>
      <c r="AE63" s="199">
        <v>0.40922999999999998</v>
      </c>
      <c r="AF63" s="199">
        <v>0.41735</v>
      </c>
      <c r="AG63" s="199">
        <v>0.42531000000000002</v>
      </c>
      <c r="AH63" s="199">
        <v>0.43309999999999998</v>
      </c>
      <c r="AI63" s="199">
        <v>0.44062000000000001</v>
      </c>
      <c r="AJ63" s="199">
        <v>0.44814999999999999</v>
      </c>
      <c r="AK63" s="199">
        <v>0.45551000000000003</v>
      </c>
      <c r="AL63" s="199">
        <v>0.46272999999999997</v>
      </c>
      <c r="AM63" s="199">
        <v>0.46983000000000003</v>
      </c>
      <c r="AN63" s="199">
        <v>0.47682999999999998</v>
      </c>
    </row>
    <row r="64" spans="1:40">
      <c r="A64" s="36"/>
    </row>
    <row r="65" spans="1:39">
      <c r="A65" s="36"/>
    </row>
    <row r="66" spans="1:39">
      <c r="A66" s="36"/>
    </row>
    <row r="70" spans="1:39">
      <c r="A70" s="36" t="s">
        <v>557</v>
      </c>
      <c r="B70" s="36" t="s">
        <v>566</v>
      </c>
      <c r="C70" s="36" t="s">
        <v>567</v>
      </c>
      <c r="D70" s="36" t="s">
        <v>558</v>
      </c>
      <c r="E70" s="36" t="s">
        <v>568</v>
      </c>
      <c r="F70" s="36" t="s">
        <v>569</v>
      </c>
      <c r="G70" s="36" t="s">
        <v>570</v>
      </c>
      <c r="H70" s="36" t="s">
        <v>571</v>
      </c>
      <c r="I70" s="36" t="s">
        <v>559</v>
      </c>
      <c r="J70" s="36" t="s">
        <v>572</v>
      </c>
      <c r="K70" s="36" t="s">
        <v>573</v>
      </c>
      <c r="L70" s="36" t="s">
        <v>574</v>
      </c>
      <c r="M70" s="36" t="s">
        <v>575</v>
      </c>
      <c r="N70" s="36" t="s">
        <v>560</v>
      </c>
      <c r="O70" s="36" t="s">
        <v>576</v>
      </c>
      <c r="P70" s="36" t="s">
        <v>577</v>
      </c>
      <c r="Q70" s="36" t="s">
        <v>578</v>
      </c>
      <c r="R70" s="36" t="s">
        <v>579</v>
      </c>
      <c r="S70" s="36" t="s">
        <v>561</v>
      </c>
      <c r="T70" s="36" t="s">
        <v>580</v>
      </c>
      <c r="U70" s="36" t="s">
        <v>581</v>
      </c>
      <c r="V70" s="36" t="s">
        <v>582</v>
      </c>
      <c r="W70" s="36" t="s">
        <v>583</v>
      </c>
      <c r="X70" s="36" t="s">
        <v>562</v>
      </c>
      <c r="Y70" s="36" t="s">
        <v>584</v>
      </c>
      <c r="Z70" s="36" t="s">
        <v>585</v>
      </c>
      <c r="AA70" s="36" t="s">
        <v>586</v>
      </c>
      <c r="AB70" s="36" t="s">
        <v>587</v>
      </c>
      <c r="AC70" s="36" t="s">
        <v>563</v>
      </c>
      <c r="AD70" s="36" t="s">
        <v>588</v>
      </c>
      <c r="AE70" s="36" t="s">
        <v>589</v>
      </c>
      <c r="AF70" s="36" t="s">
        <v>590</v>
      </c>
      <c r="AG70" s="36" t="s">
        <v>591</v>
      </c>
      <c r="AH70" s="36" t="s">
        <v>564</v>
      </c>
      <c r="AI70" s="36" t="s">
        <v>592</v>
      </c>
      <c r="AJ70" s="36" t="s">
        <v>593</v>
      </c>
      <c r="AK70" s="36" t="s">
        <v>594</v>
      </c>
      <c r="AL70" s="36" t="s">
        <v>595</v>
      </c>
      <c r="AM70" s="36" t="s">
        <v>565</v>
      </c>
    </row>
    <row r="71" spans="1:39">
      <c r="A71" s="300">
        <v>0.29762</v>
      </c>
      <c r="B71" s="300">
        <v>0.30654999999999999</v>
      </c>
      <c r="C71" s="300">
        <v>0.31126999999999999</v>
      </c>
      <c r="D71" s="300">
        <v>0.31520999999999999</v>
      </c>
      <c r="E71" s="300">
        <v>0.31698999999999999</v>
      </c>
      <c r="F71" s="300">
        <v>0.32124000000000003</v>
      </c>
      <c r="G71" s="300">
        <v>0.32573999999999997</v>
      </c>
      <c r="H71" s="300">
        <v>0.32751000000000002</v>
      </c>
      <c r="I71" s="300">
        <v>0.30095</v>
      </c>
      <c r="J71" s="300">
        <v>0.31369000000000002</v>
      </c>
      <c r="K71" s="300">
        <v>0.32084000000000001</v>
      </c>
      <c r="L71" s="300">
        <v>0.32922000000000001</v>
      </c>
      <c r="M71" s="300">
        <v>0.33937</v>
      </c>
      <c r="N71" s="300">
        <v>0.35</v>
      </c>
      <c r="O71" s="300">
        <v>0.36220999999999998</v>
      </c>
      <c r="P71" s="300">
        <v>0.37487999999999999</v>
      </c>
      <c r="Q71" s="300">
        <v>0.42403000000000002</v>
      </c>
      <c r="R71" s="300">
        <v>0.44179000000000002</v>
      </c>
      <c r="S71" s="300">
        <v>0.45938000000000001</v>
      </c>
      <c r="T71" s="300">
        <v>0.47815999999999997</v>
      </c>
      <c r="U71" s="300">
        <v>0.49725000000000003</v>
      </c>
      <c r="V71" s="300">
        <v>0.51702999999999999</v>
      </c>
      <c r="W71" s="300">
        <v>0.53776999999999997</v>
      </c>
      <c r="X71" s="300">
        <v>0.55723999999999996</v>
      </c>
      <c r="Y71" s="300">
        <v>0.57845000000000002</v>
      </c>
      <c r="Z71" s="300">
        <v>0.60424999999999995</v>
      </c>
      <c r="AA71" s="300">
        <v>0.66962999999999995</v>
      </c>
      <c r="AB71" s="300">
        <v>0.69779000000000002</v>
      </c>
      <c r="AC71" s="300">
        <v>0.72692999999999997</v>
      </c>
      <c r="AD71" s="300">
        <v>0.75688999999999995</v>
      </c>
      <c r="AE71" s="300">
        <v>0.78854000000000002</v>
      </c>
      <c r="AF71" s="300">
        <v>0.82191999999999998</v>
      </c>
      <c r="AG71" s="300">
        <v>0.85719000000000001</v>
      </c>
      <c r="AH71" s="300">
        <v>0.89366000000000001</v>
      </c>
      <c r="AI71" s="300">
        <v>0.92981999999999998</v>
      </c>
      <c r="AJ71" s="300">
        <v>0.96765000000000001</v>
      </c>
      <c r="AK71" s="300">
        <v>1.0073099999999999</v>
      </c>
      <c r="AL71" s="300">
        <v>1.04895</v>
      </c>
      <c r="AM71" s="300">
        <v>1.09287</v>
      </c>
    </row>
    <row r="81" spans="1:4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1:46">
      <c r="A82" s="36"/>
    </row>
    <row r="83" spans="1:46">
      <c r="A83" s="36"/>
    </row>
    <row r="84" spans="1:46">
      <c r="A84" s="36"/>
    </row>
    <row r="91" spans="1:4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row>
    <row r="92" spans="1:46">
      <c r="A92" s="36"/>
    </row>
    <row r="93" spans="1:46">
      <c r="A93" s="36"/>
    </row>
    <row r="94" spans="1:46">
      <c r="A94" s="36"/>
    </row>
    <row r="95" spans="1:46">
      <c r="A95" s="36"/>
    </row>
    <row r="96" spans="1:46">
      <c r="A96" s="36"/>
    </row>
    <row r="97" spans="1:47">
      <c r="A97" s="36"/>
    </row>
    <row r="98" spans="1:47">
      <c r="A98" s="36"/>
    </row>
    <row r="99" spans="1:47">
      <c r="A99" s="36"/>
    </row>
    <row r="100" spans="1:47">
      <c r="A100" s="36"/>
    </row>
    <row r="101" spans="1:47">
      <c r="C101" s="36" t="s">
        <v>557</v>
      </c>
      <c r="D101" s="36" t="s">
        <v>566</v>
      </c>
      <c r="E101" s="36" t="s">
        <v>567</v>
      </c>
      <c r="F101" s="36" t="s">
        <v>558</v>
      </c>
      <c r="G101" s="36" t="s">
        <v>568</v>
      </c>
      <c r="H101" s="36" t="s">
        <v>569</v>
      </c>
      <c r="I101" s="36" t="s">
        <v>570</v>
      </c>
      <c r="J101" s="36" t="s">
        <v>571</v>
      </c>
      <c r="K101" s="36" t="s">
        <v>559</v>
      </c>
      <c r="L101" s="36" t="s">
        <v>572</v>
      </c>
      <c r="M101" s="36" t="s">
        <v>573</v>
      </c>
      <c r="N101" s="36" t="s">
        <v>574</v>
      </c>
      <c r="O101" s="36" t="s">
        <v>575</v>
      </c>
      <c r="P101" s="36" t="s">
        <v>560</v>
      </c>
      <c r="Q101" s="36" t="s">
        <v>576</v>
      </c>
      <c r="R101" s="36" t="s">
        <v>577</v>
      </c>
      <c r="S101" s="36" t="s">
        <v>578</v>
      </c>
      <c r="T101" s="36" t="s">
        <v>579</v>
      </c>
      <c r="U101" s="36" t="s">
        <v>561</v>
      </c>
      <c r="V101" s="36" t="s">
        <v>580</v>
      </c>
      <c r="W101" s="36" t="s">
        <v>581</v>
      </c>
      <c r="X101" s="36" t="s">
        <v>582</v>
      </c>
      <c r="Y101" s="36" t="s">
        <v>583</v>
      </c>
      <c r="Z101" s="36" t="s">
        <v>562</v>
      </c>
      <c r="AA101" s="36" t="s">
        <v>584</v>
      </c>
      <c r="AB101" s="36" t="s">
        <v>585</v>
      </c>
      <c r="AC101" s="36" t="s">
        <v>586</v>
      </c>
      <c r="AD101" s="36" t="s">
        <v>587</v>
      </c>
      <c r="AE101" s="36" t="s">
        <v>563</v>
      </c>
      <c r="AF101" s="36" t="s">
        <v>588</v>
      </c>
      <c r="AG101" s="36" t="s">
        <v>589</v>
      </c>
      <c r="AH101" s="36" t="s">
        <v>590</v>
      </c>
      <c r="AI101" s="36" t="s">
        <v>591</v>
      </c>
      <c r="AJ101" s="36" t="s">
        <v>564</v>
      </c>
      <c r="AK101" s="36" t="s">
        <v>592</v>
      </c>
      <c r="AL101" s="36" t="s">
        <v>593</v>
      </c>
      <c r="AM101" s="36" t="s">
        <v>594</v>
      </c>
      <c r="AN101" s="36" t="s">
        <v>595</v>
      </c>
      <c r="AO101" s="36" t="s">
        <v>565</v>
      </c>
      <c r="AP101" s="36"/>
      <c r="AQ101" s="36"/>
      <c r="AR101" s="36"/>
      <c r="AS101" s="36"/>
      <c r="AT101" s="36"/>
      <c r="AU101" s="36"/>
    </row>
    <row r="102" spans="1:47">
      <c r="A102" s="300" t="s">
        <v>275</v>
      </c>
      <c r="B102" s="300" t="s">
        <v>531</v>
      </c>
      <c r="C102" s="300" t="s">
        <v>395</v>
      </c>
      <c r="D102" s="300" t="s">
        <v>395</v>
      </c>
      <c r="E102" s="300" t="s">
        <v>395</v>
      </c>
      <c r="F102" s="300" t="s">
        <v>395</v>
      </c>
      <c r="G102" s="300" t="s">
        <v>395</v>
      </c>
      <c r="H102" s="300" t="s">
        <v>395</v>
      </c>
      <c r="I102" s="300" t="s">
        <v>395</v>
      </c>
      <c r="J102" s="300" t="s">
        <v>395</v>
      </c>
      <c r="K102" s="300" t="s">
        <v>395</v>
      </c>
      <c r="L102" s="300" t="s">
        <v>395</v>
      </c>
      <c r="M102" s="300" t="s">
        <v>395</v>
      </c>
      <c r="N102" s="300" t="s">
        <v>395</v>
      </c>
      <c r="O102" s="300" t="s">
        <v>395</v>
      </c>
      <c r="P102" s="300" t="s">
        <v>395</v>
      </c>
      <c r="Q102" s="300" t="s">
        <v>395</v>
      </c>
      <c r="R102" s="300" t="s">
        <v>395</v>
      </c>
      <c r="S102" s="300" t="s">
        <v>395</v>
      </c>
      <c r="T102" s="300" t="s">
        <v>395</v>
      </c>
      <c r="U102" s="300" t="s">
        <v>395</v>
      </c>
      <c r="V102" s="300" t="s">
        <v>395</v>
      </c>
      <c r="W102" s="300" t="s">
        <v>395</v>
      </c>
      <c r="X102" s="300" t="s">
        <v>395</v>
      </c>
      <c r="Y102" s="300" t="s">
        <v>395</v>
      </c>
      <c r="Z102" s="300" t="s">
        <v>395</v>
      </c>
      <c r="AA102" s="300" t="s">
        <v>395</v>
      </c>
      <c r="AB102" s="300" t="s">
        <v>395</v>
      </c>
      <c r="AC102" s="300" t="s">
        <v>395</v>
      </c>
      <c r="AD102" s="300" t="s">
        <v>395</v>
      </c>
      <c r="AE102" s="300" t="s">
        <v>395</v>
      </c>
      <c r="AF102" s="300" t="s">
        <v>395</v>
      </c>
      <c r="AG102" s="300" t="s">
        <v>395</v>
      </c>
      <c r="AH102" s="300" t="s">
        <v>395</v>
      </c>
      <c r="AI102" s="300" t="s">
        <v>395</v>
      </c>
      <c r="AJ102" s="300" t="s">
        <v>395</v>
      </c>
      <c r="AK102" s="300" t="s">
        <v>395</v>
      </c>
      <c r="AL102" s="300" t="s">
        <v>395</v>
      </c>
      <c r="AM102" s="300" t="s">
        <v>395</v>
      </c>
      <c r="AN102" s="300" t="s">
        <v>395</v>
      </c>
      <c r="AO102" s="300" t="s">
        <v>395</v>
      </c>
    </row>
    <row r="103" spans="1:47">
      <c r="A103" s="300" t="s">
        <v>275</v>
      </c>
      <c r="B103" s="300" t="s">
        <v>532</v>
      </c>
      <c r="C103" s="300" t="s">
        <v>395</v>
      </c>
      <c r="D103" s="300" t="s">
        <v>395</v>
      </c>
      <c r="E103" s="300" t="s">
        <v>395</v>
      </c>
      <c r="F103" s="300" t="s">
        <v>395</v>
      </c>
      <c r="G103" s="300" t="s">
        <v>395</v>
      </c>
      <c r="H103" s="300" t="s">
        <v>395</v>
      </c>
      <c r="I103" s="300" t="s">
        <v>395</v>
      </c>
      <c r="J103" s="300" t="s">
        <v>395</v>
      </c>
      <c r="K103" s="300" t="s">
        <v>395</v>
      </c>
      <c r="L103" s="300" t="s">
        <v>395</v>
      </c>
      <c r="M103" s="300" t="s">
        <v>395</v>
      </c>
      <c r="N103" s="300" t="s">
        <v>395</v>
      </c>
      <c r="O103" s="300" t="s">
        <v>395</v>
      </c>
      <c r="P103" s="300" t="s">
        <v>395</v>
      </c>
      <c r="Q103" s="300" t="s">
        <v>395</v>
      </c>
      <c r="R103" s="300" t="s">
        <v>395</v>
      </c>
      <c r="S103" s="300" t="s">
        <v>395</v>
      </c>
      <c r="T103" s="300" t="s">
        <v>395</v>
      </c>
      <c r="U103" s="300" t="s">
        <v>395</v>
      </c>
      <c r="V103" s="300" t="s">
        <v>395</v>
      </c>
      <c r="W103" s="300" t="s">
        <v>395</v>
      </c>
      <c r="X103" s="300" t="s">
        <v>395</v>
      </c>
      <c r="Y103" s="300" t="s">
        <v>395</v>
      </c>
      <c r="Z103" s="300" t="s">
        <v>395</v>
      </c>
      <c r="AA103" s="300" t="s">
        <v>395</v>
      </c>
      <c r="AB103" s="300" t="s">
        <v>395</v>
      </c>
      <c r="AC103" s="300" t="s">
        <v>395</v>
      </c>
      <c r="AD103" s="300" t="s">
        <v>395</v>
      </c>
      <c r="AE103" s="300" t="s">
        <v>395</v>
      </c>
      <c r="AF103" s="300" t="s">
        <v>395</v>
      </c>
      <c r="AG103" s="300"/>
      <c r="AH103" s="300"/>
      <c r="AI103" s="300"/>
      <c r="AJ103" s="300"/>
      <c r="AK103" s="300"/>
      <c r="AL103" s="300"/>
      <c r="AM103" s="300"/>
      <c r="AN103" s="300"/>
      <c r="AO103" s="300"/>
    </row>
    <row r="104" spans="1:47">
      <c r="A104" s="300" t="s">
        <v>275</v>
      </c>
      <c r="B104" s="300" t="s">
        <v>533</v>
      </c>
      <c r="C104" s="300" t="s">
        <v>395</v>
      </c>
      <c r="D104" s="300" t="s">
        <v>395</v>
      </c>
      <c r="E104" s="300" t="s">
        <v>395</v>
      </c>
      <c r="F104" s="300" t="s">
        <v>395</v>
      </c>
      <c r="G104" s="300" t="s">
        <v>395</v>
      </c>
      <c r="H104" s="300" t="s">
        <v>395</v>
      </c>
      <c r="I104" s="300" t="s">
        <v>395</v>
      </c>
      <c r="J104" s="300" t="s">
        <v>395</v>
      </c>
      <c r="K104" s="300" t="s">
        <v>395</v>
      </c>
      <c r="L104" s="300" t="s">
        <v>395</v>
      </c>
      <c r="M104" s="300" t="s">
        <v>395</v>
      </c>
      <c r="N104" s="300" t="s">
        <v>395</v>
      </c>
      <c r="O104" s="300" t="s">
        <v>395</v>
      </c>
      <c r="P104" s="300" t="s">
        <v>395</v>
      </c>
      <c r="Q104" s="300" t="s">
        <v>395</v>
      </c>
      <c r="R104" s="300" t="s">
        <v>395</v>
      </c>
      <c r="S104" s="300" t="s">
        <v>395</v>
      </c>
      <c r="T104" s="300" t="s">
        <v>395</v>
      </c>
      <c r="U104" s="300" t="s">
        <v>395</v>
      </c>
      <c r="V104" s="300" t="s">
        <v>395</v>
      </c>
      <c r="W104" s="300" t="s">
        <v>395</v>
      </c>
      <c r="X104" s="300"/>
      <c r="Y104" s="300"/>
      <c r="Z104" s="300"/>
      <c r="AA104" s="300"/>
      <c r="AB104" s="300"/>
      <c r="AC104" s="300"/>
      <c r="AD104" s="300"/>
      <c r="AE104" s="300"/>
      <c r="AF104" s="300"/>
      <c r="AG104" s="300"/>
      <c r="AH104" s="300"/>
      <c r="AI104" s="300"/>
      <c r="AJ104" s="300"/>
      <c r="AK104" s="300"/>
      <c r="AL104" s="300"/>
      <c r="AM104" s="300"/>
      <c r="AN104" s="300"/>
      <c r="AO104" s="300"/>
    </row>
    <row r="105" spans="1:47">
      <c r="A105" s="300" t="s">
        <v>275</v>
      </c>
      <c r="B105" s="300" t="s">
        <v>534</v>
      </c>
      <c r="C105" s="300" t="s">
        <v>395</v>
      </c>
      <c r="D105" s="300" t="s">
        <v>395</v>
      </c>
      <c r="E105" s="300" t="s">
        <v>395</v>
      </c>
      <c r="F105" s="300" t="s">
        <v>395</v>
      </c>
      <c r="G105" s="300" t="s">
        <v>395</v>
      </c>
      <c r="H105" s="300" t="s">
        <v>395</v>
      </c>
      <c r="I105" s="300" t="s">
        <v>395</v>
      </c>
      <c r="J105" s="300" t="s">
        <v>395</v>
      </c>
      <c r="K105" s="300" t="s">
        <v>395</v>
      </c>
      <c r="L105" s="300" t="s">
        <v>395</v>
      </c>
      <c r="M105" s="300" t="s">
        <v>395</v>
      </c>
      <c r="N105" s="300" t="s">
        <v>395</v>
      </c>
      <c r="O105" s="300" t="s">
        <v>395</v>
      </c>
      <c r="P105" s="300" t="s">
        <v>395</v>
      </c>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row>
    <row r="106" spans="1:47">
      <c r="A106" s="300" t="s">
        <v>276</v>
      </c>
      <c r="B106" s="300" t="s">
        <v>532</v>
      </c>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t="s">
        <v>395</v>
      </c>
      <c r="AH106" s="300" t="s">
        <v>395</v>
      </c>
      <c r="AI106" s="300" t="s">
        <v>395</v>
      </c>
      <c r="AJ106" s="300" t="s">
        <v>395</v>
      </c>
      <c r="AK106" s="300" t="s">
        <v>395</v>
      </c>
      <c r="AL106" s="300" t="s">
        <v>395</v>
      </c>
      <c r="AM106" s="300" t="s">
        <v>395</v>
      </c>
      <c r="AN106" s="300" t="s">
        <v>395</v>
      </c>
      <c r="AO106" s="300" t="s">
        <v>395</v>
      </c>
    </row>
    <row r="107" spans="1:47">
      <c r="A107" s="300" t="s">
        <v>276</v>
      </c>
      <c r="B107" s="300" t="s">
        <v>533</v>
      </c>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t="s">
        <v>395</v>
      </c>
      <c r="Y107" s="300" t="s">
        <v>395</v>
      </c>
      <c r="Z107" s="300" t="s">
        <v>395</v>
      </c>
      <c r="AA107" s="300" t="s">
        <v>395</v>
      </c>
      <c r="AB107" s="300" t="s">
        <v>395</v>
      </c>
      <c r="AC107" s="300" t="s">
        <v>395</v>
      </c>
      <c r="AD107" s="300" t="s">
        <v>395</v>
      </c>
      <c r="AE107" s="300" t="s">
        <v>395</v>
      </c>
      <c r="AF107" s="300" t="s">
        <v>395</v>
      </c>
      <c r="AG107" s="300" t="s">
        <v>395</v>
      </c>
      <c r="AH107" s="300" t="s">
        <v>395</v>
      </c>
      <c r="AI107" s="300" t="s">
        <v>395</v>
      </c>
      <c r="AJ107" s="300" t="s">
        <v>395</v>
      </c>
      <c r="AK107" s="300" t="s">
        <v>395</v>
      </c>
      <c r="AL107" s="300" t="s">
        <v>395</v>
      </c>
      <c r="AM107" s="300" t="s">
        <v>395</v>
      </c>
      <c r="AN107" s="300" t="s">
        <v>395</v>
      </c>
      <c r="AO107" s="300" t="s">
        <v>395</v>
      </c>
    </row>
    <row r="108" spans="1:47">
      <c r="A108" s="300" t="s">
        <v>276</v>
      </c>
      <c r="B108" s="300" t="s">
        <v>534</v>
      </c>
      <c r="C108" s="300"/>
      <c r="D108" s="300"/>
      <c r="E108" s="300"/>
      <c r="F108" s="300"/>
      <c r="G108" s="300"/>
      <c r="H108" s="300"/>
      <c r="I108" s="300"/>
      <c r="J108" s="300"/>
      <c r="K108" s="300"/>
      <c r="L108" s="300"/>
      <c r="M108" s="300"/>
      <c r="N108" s="300"/>
      <c r="O108" s="300"/>
      <c r="P108" s="300"/>
      <c r="Q108" s="300" t="s">
        <v>395</v>
      </c>
      <c r="R108" s="300" t="s">
        <v>395</v>
      </c>
      <c r="S108" s="300" t="s">
        <v>395</v>
      </c>
      <c r="T108" s="300" t="s">
        <v>395</v>
      </c>
      <c r="U108" s="300" t="s">
        <v>395</v>
      </c>
      <c r="V108" s="300" t="s">
        <v>395</v>
      </c>
      <c r="W108" s="300" t="s">
        <v>395</v>
      </c>
      <c r="X108" s="300" t="s">
        <v>395</v>
      </c>
      <c r="Y108" s="300" t="s">
        <v>395</v>
      </c>
      <c r="Z108" s="300" t="s">
        <v>395</v>
      </c>
      <c r="AA108" s="300" t="s">
        <v>395</v>
      </c>
      <c r="AB108" s="300" t="s">
        <v>395</v>
      </c>
      <c r="AC108" s="300" t="s">
        <v>395</v>
      </c>
      <c r="AD108" s="300" t="s">
        <v>395</v>
      </c>
      <c r="AE108" s="300" t="s">
        <v>395</v>
      </c>
      <c r="AF108" s="300" t="s">
        <v>395</v>
      </c>
      <c r="AG108" s="300" t="s">
        <v>395</v>
      </c>
      <c r="AH108" s="300" t="s">
        <v>395</v>
      </c>
      <c r="AI108" s="300" t="s">
        <v>395</v>
      </c>
      <c r="AJ108" s="300" t="s">
        <v>395</v>
      </c>
      <c r="AK108" s="300" t="s">
        <v>395</v>
      </c>
      <c r="AL108" s="300" t="s">
        <v>395</v>
      </c>
      <c r="AM108" s="300" t="s">
        <v>395</v>
      </c>
      <c r="AN108" s="300" t="s">
        <v>395</v>
      </c>
      <c r="AO108" s="300" t="s">
        <v>395</v>
      </c>
    </row>
    <row r="109" spans="1:47">
      <c r="A109" s="300" t="s">
        <v>276</v>
      </c>
      <c r="B109" s="300" t="s">
        <v>535</v>
      </c>
      <c r="C109" s="300" t="s">
        <v>395</v>
      </c>
      <c r="D109" s="300" t="s">
        <v>395</v>
      </c>
      <c r="E109" s="300" t="s">
        <v>395</v>
      </c>
      <c r="F109" s="300" t="s">
        <v>395</v>
      </c>
      <c r="G109" s="300" t="s">
        <v>395</v>
      </c>
      <c r="H109" s="300" t="s">
        <v>395</v>
      </c>
      <c r="I109" s="300" t="s">
        <v>395</v>
      </c>
      <c r="J109" s="300" t="s">
        <v>395</v>
      </c>
      <c r="K109" s="300" t="s">
        <v>395</v>
      </c>
      <c r="L109" s="300" t="s">
        <v>395</v>
      </c>
      <c r="M109" s="300" t="s">
        <v>395</v>
      </c>
      <c r="N109" s="300" t="s">
        <v>395</v>
      </c>
      <c r="O109" s="300" t="s">
        <v>395</v>
      </c>
      <c r="P109" s="300" t="s">
        <v>395</v>
      </c>
      <c r="Q109" s="300" t="s">
        <v>395</v>
      </c>
      <c r="R109" s="300" t="s">
        <v>395</v>
      </c>
      <c r="S109" s="300" t="s">
        <v>395</v>
      </c>
      <c r="T109" s="300" t="s">
        <v>395</v>
      </c>
      <c r="U109" s="300" t="s">
        <v>395</v>
      </c>
      <c r="V109" s="300" t="s">
        <v>395</v>
      </c>
      <c r="W109" s="300" t="s">
        <v>395</v>
      </c>
      <c r="X109" s="300" t="s">
        <v>395</v>
      </c>
      <c r="Y109" s="300" t="s">
        <v>395</v>
      </c>
      <c r="Z109" s="300" t="s">
        <v>395</v>
      </c>
      <c r="AA109" s="300" t="s">
        <v>395</v>
      </c>
      <c r="AB109" s="300" t="s">
        <v>395</v>
      </c>
      <c r="AC109" s="300" t="s">
        <v>395</v>
      </c>
      <c r="AD109" s="300" t="s">
        <v>395</v>
      </c>
      <c r="AE109" s="300" t="s">
        <v>395</v>
      </c>
      <c r="AF109" s="300" t="s">
        <v>395</v>
      </c>
      <c r="AG109" s="300" t="s">
        <v>395</v>
      </c>
      <c r="AH109" s="300" t="s">
        <v>395</v>
      </c>
      <c r="AI109" s="300" t="s">
        <v>395</v>
      </c>
      <c r="AJ109" s="300" t="s">
        <v>395</v>
      </c>
      <c r="AK109" s="300" t="s">
        <v>395</v>
      </c>
      <c r="AL109" s="300" t="s">
        <v>395</v>
      </c>
      <c r="AM109" s="300" t="s">
        <v>395</v>
      </c>
      <c r="AN109" s="300" t="s">
        <v>395</v>
      </c>
      <c r="AO109" s="300" t="s">
        <v>395</v>
      </c>
    </row>
    <row r="110" spans="1:47">
      <c r="A110" s="300" t="s">
        <v>276</v>
      </c>
      <c r="B110" s="300" t="s">
        <v>536</v>
      </c>
      <c r="C110" s="300" t="s">
        <v>395</v>
      </c>
      <c r="D110" s="300" t="s">
        <v>395</v>
      </c>
      <c r="E110" s="300" t="s">
        <v>395</v>
      </c>
      <c r="F110" s="300" t="s">
        <v>395</v>
      </c>
      <c r="G110" s="300" t="s">
        <v>395</v>
      </c>
      <c r="H110" s="300" t="s">
        <v>395</v>
      </c>
      <c r="I110" s="300" t="s">
        <v>395</v>
      </c>
      <c r="J110" s="300" t="s">
        <v>395</v>
      </c>
      <c r="K110" s="300" t="s">
        <v>395</v>
      </c>
      <c r="L110" s="300" t="s">
        <v>395</v>
      </c>
      <c r="M110" s="300" t="s">
        <v>395</v>
      </c>
      <c r="N110" s="300" t="s">
        <v>395</v>
      </c>
      <c r="O110" s="300" t="s">
        <v>395</v>
      </c>
      <c r="P110" s="300" t="s">
        <v>395</v>
      </c>
      <c r="Q110" s="300" t="s">
        <v>395</v>
      </c>
      <c r="R110" s="300" t="s">
        <v>395</v>
      </c>
      <c r="S110" s="300" t="s">
        <v>395</v>
      </c>
      <c r="T110" s="300" t="s">
        <v>395</v>
      </c>
      <c r="U110" s="300" t="s">
        <v>395</v>
      </c>
      <c r="V110" s="300" t="s">
        <v>395</v>
      </c>
      <c r="W110" s="300" t="s">
        <v>395</v>
      </c>
      <c r="X110" s="300" t="s">
        <v>395</v>
      </c>
      <c r="Y110" s="300" t="s">
        <v>395</v>
      </c>
      <c r="Z110" s="300" t="s">
        <v>395</v>
      </c>
      <c r="AA110" s="300" t="s">
        <v>395</v>
      </c>
      <c r="AB110" s="300" t="s">
        <v>395</v>
      </c>
      <c r="AC110" s="300"/>
      <c r="AD110" s="300"/>
      <c r="AE110" s="300"/>
      <c r="AF110" s="300"/>
      <c r="AG110" s="300"/>
      <c r="AH110" s="300"/>
      <c r="AI110" s="300"/>
      <c r="AJ110" s="300"/>
      <c r="AK110" s="300"/>
      <c r="AL110" s="300"/>
      <c r="AM110" s="300"/>
      <c r="AN110" s="300"/>
      <c r="AO110" s="300"/>
    </row>
    <row r="111" spans="1:47">
      <c r="A111" s="300" t="s">
        <v>276</v>
      </c>
      <c r="B111" s="300" t="s">
        <v>537</v>
      </c>
      <c r="C111" s="300" t="s">
        <v>395</v>
      </c>
      <c r="D111" s="300" t="s">
        <v>395</v>
      </c>
      <c r="E111" s="300" t="s">
        <v>395</v>
      </c>
      <c r="F111" s="300" t="s">
        <v>395</v>
      </c>
      <c r="G111" s="300" t="s">
        <v>395</v>
      </c>
      <c r="H111" s="300" t="s">
        <v>395</v>
      </c>
      <c r="I111" s="300" t="s">
        <v>395</v>
      </c>
      <c r="J111" s="300" t="s">
        <v>395</v>
      </c>
      <c r="K111" s="300" t="s">
        <v>395</v>
      </c>
      <c r="L111" s="300" t="s">
        <v>395</v>
      </c>
      <c r="M111" s="300" t="s">
        <v>395</v>
      </c>
      <c r="N111" s="300" t="s">
        <v>395</v>
      </c>
      <c r="O111" s="300" t="s">
        <v>395</v>
      </c>
      <c r="P111" s="300" t="s">
        <v>395</v>
      </c>
      <c r="Q111" s="300" t="s">
        <v>395</v>
      </c>
      <c r="R111" s="300" t="s">
        <v>395</v>
      </c>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row>
    <row r="112" spans="1:47">
      <c r="A112" s="300" t="s">
        <v>277</v>
      </c>
      <c r="B112" s="300" t="s">
        <v>536</v>
      </c>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t="s">
        <v>395</v>
      </c>
      <c r="AD112" s="300" t="s">
        <v>395</v>
      </c>
      <c r="AE112" s="300" t="s">
        <v>395</v>
      </c>
      <c r="AF112" s="300" t="s">
        <v>395</v>
      </c>
      <c r="AG112" s="300" t="s">
        <v>395</v>
      </c>
      <c r="AH112" s="300" t="s">
        <v>395</v>
      </c>
      <c r="AI112" s="300" t="s">
        <v>395</v>
      </c>
      <c r="AJ112" s="300" t="s">
        <v>395</v>
      </c>
      <c r="AK112" s="300" t="s">
        <v>395</v>
      </c>
      <c r="AL112" s="300" t="s">
        <v>395</v>
      </c>
      <c r="AM112" s="300" t="s">
        <v>395</v>
      </c>
      <c r="AN112" s="300" t="s">
        <v>395</v>
      </c>
      <c r="AO112" s="300" t="s">
        <v>395</v>
      </c>
    </row>
    <row r="113" spans="1:41">
      <c r="A113" s="300" t="s">
        <v>277</v>
      </c>
      <c r="B113" s="300" t="s">
        <v>537</v>
      </c>
      <c r="C113" s="300"/>
      <c r="D113" s="300"/>
      <c r="E113" s="300"/>
      <c r="F113" s="300"/>
      <c r="G113" s="300"/>
      <c r="H113" s="300"/>
      <c r="I113" s="300"/>
      <c r="J113" s="300"/>
      <c r="K113" s="300"/>
      <c r="L113" s="300"/>
      <c r="M113" s="300"/>
      <c r="N113" s="300"/>
      <c r="O113" s="300"/>
      <c r="P113" s="300"/>
      <c r="Q113" s="300"/>
      <c r="R113" s="300"/>
      <c r="S113" s="300" t="s">
        <v>395</v>
      </c>
      <c r="T113" s="300" t="s">
        <v>395</v>
      </c>
      <c r="U113" s="300" t="s">
        <v>395</v>
      </c>
      <c r="V113" s="300" t="s">
        <v>395</v>
      </c>
      <c r="W113" s="300" t="s">
        <v>395</v>
      </c>
      <c r="X113" s="300" t="s">
        <v>395</v>
      </c>
      <c r="Y113" s="300" t="s">
        <v>395</v>
      </c>
      <c r="Z113" s="300" t="s">
        <v>395</v>
      </c>
      <c r="AA113" s="300" t="s">
        <v>395</v>
      </c>
      <c r="AB113" s="300" t="s">
        <v>395</v>
      </c>
      <c r="AC113" s="300" t="s">
        <v>395</v>
      </c>
      <c r="AD113" s="300" t="s">
        <v>395</v>
      </c>
      <c r="AE113" s="300" t="s">
        <v>395</v>
      </c>
      <c r="AF113" s="300" t="s">
        <v>395</v>
      </c>
      <c r="AG113" s="300" t="s">
        <v>395</v>
      </c>
      <c r="AH113" s="300" t="s">
        <v>395</v>
      </c>
      <c r="AI113" s="300" t="s">
        <v>395</v>
      </c>
      <c r="AJ113" s="300" t="s">
        <v>395</v>
      </c>
      <c r="AK113" s="300" t="s">
        <v>395</v>
      </c>
      <c r="AL113" s="300" t="s">
        <v>395</v>
      </c>
      <c r="AM113" s="300" t="s">
        <v>395</v>
      </c>
      <c r="AN113" s="300" t="s">
        <v>395</v>
      </c>
      <c r="AO113" s="300" t="s">
        <v>395</v>
      </c>
    </row>
    <row r="114" spans="1:41">
      <c r="A114" s="300" t="s">
        <v>277</v>
      </c>
      <c r="B114" s="300" t="s">
        <v>538</v>
      </c>
      <c r="C114" s="300" t="s">
        <v>395</v>
      </c>
      <c r="D114" s="300" t="s">
        <v>395</v>
      </c>
      <c r="E114" s="300" t="s">
        <v>395</v>
      </c>
      <c r="F114" s="300" t="s">
        <v>395</v>
      </c>
      <c r="G114" s="300" t="s">
        <v>395</v>
      </c>
      <c r="H114" s="300" t="s">
        <v>395</v>
      </c>
      <c r="I114" s="300" t="s">
        <v>395</v>
      </c>
      <c r="J114" s="300" t="s">
        <v>395</v>
      </c>
      <c r="K114" s="300" t="s">
        <v>395</v>
      </c>
      <c r="L114" s="300" t="s">
        <v>395</v>
      </c>
      <c r="M114" s="300" t="s">
        <v>395</v>
      </c>
      <c r="N114" s="300" t="s">
        <v>395</v>
      </c>
      <c r="O114" s="300" t="s">
        <v>395</v>
      </c>
      <c r="P114" s="300" t="s">
        <v>395</v>
      </c>
      <c r="Q114" s="300" t="s">
        <v>395</v>
      </c>
      <c r="R114" s="300" t="s">
        <v>395</v>
      </c>
      <c r="S114" s="300" t="s">
        <v>395</v>
      </c>
      <c r="T114" s="300" t="s">
        <v>395</v>
      </c>
      <c r="U114" s="300" t="s">
        <v>395</v>
      </c>
      <c r="V114" s="300" t="s">
        <v>395</v>
      </c>
      <c r="W114" s="300" t="s">
        <v>395</v>
      </c>
      <c r="X114" s="300" t="s">
        <v>395</v>
      </c>
      <c r="Y114" s="300" t="s">
        <v>395</v>
      </c>
      <c r="Z114" s="300" t="s">
        <v>395</v>
      </c>
      <c r="AA114" s="300" t="s">
        <v>395</v>
      </c>
      <c r="AB114" s="300" t="s">
        <v>395</v>
      </c>
      <c r="AC114" s="300" t="s">
        <v>395</v>
      </c>
      <c r="AD114" s="300" t="s">
        <v>395</v>
      </c>
      <c r="AE114" s="300" t="s">
        <v>395</v>
      </c>
      <c r="AF114" s="300" t="s">
        <v>395</v>
      </c>
      <c r="AG114" s="300" t="s">
        <v>395</v>
      </c>
      <c r="AH114" s="300" t="s">
        <v>395</v>
      </c>
      <c r="AI114" s="300" t="s">
        <v>395</v>
      </c>
      <c r="AJ114" s="300" t="s">
        <v>395</v>
      </c>
      <c r="AK114" s="300" t="s">
        <v>395</v>
      </c>
      <c r="AL114" s="300" t="s">
        <v>395</v>
      </c>
      <c r="AM114" s="300" t="s">
        <v>395</v>
      </c>
      <c r="AN114" s="300" t="s">
        <v>395</v>
      </c>
      <c r="AO114" s="300" t="s">
        <v>395</v>
      </c>
    </row>
    <row r="115" spans="1:41">
      <c r="A115" s="300" t="s">
        <v>277</v>
      </c>
      <c r="B115" s="300" t="s">
        <v>539</v>
      </c>
      <c r="C115" s="300" t="s">
        <v>395</v>
      </c>
      <c r="D115" s="300" t="s">
        <v>395</v>
      </c>
      <c r="E115" s="300" t="s">
        <v>395</v>
      </c>
      <c r="F115" s="300" t="s">
        <v>395</v>
      </c>
      <c r="G115" s="300" t="s">
        <v>395</v>
      </c>
      <c r="H115" s="300" t="s">
        <v>395</v>
      </c>
      <c r="I115" s="300" t="s">
        <v>395</v>
      </c>
      <c r="J115" s="300" t="s">
        <v>395</v>
      </c>
      <c r="K115" s="300" t="s">
        <v>395</v>
      </c>
      <c r="L115" s="300" t="s">
        <v>395</v>
      </c>
      <c r="M115" s="300" t="s">
        <v>395</v>
      </c>
      <c r="N115" s="300" t="s">
        <v>395</v>
      </c>
      <c r="O115" s="300" t="s">
        <v>395</v>
      </c>
      <c r="P115" s="300" t="s">
        <v>395</v>
      </c>
      <c r="Q115" s="300" t="s">
        <v>395</v>
      </c>
      <c r="R115" s="300" t="s">
        <v>395</v>
      </c>
      <c r="S115" s="300" t="s">
        <v>395</v>
      </c>
      <c r="T115" s="300" t="s">
        <v>395</v>
      </c>
      <c r="U115" s="300" t="s">
        <v>395</v>
      </c>
      <c r="V115" s="300" t="s">
        <v>395</v>
      </c>
      <c r="W115" s="300" t="s">
        <v>395</v>
      </c>
      <c r="X115" s="300" t="s">
        <v>395</v>
      </c>
      <c r="Y115" s="300" t="s">
        <v>395</v>
      </c>
      <c r="Z115" s="300" t="s">
        <v>395</v>
      </c>
      <c r="AA115" s="300" t="s">
        <v>395</v>
      </c>
      <c r="AB115" s="300" t="s">
        <v>395</v>
      </c>
      <c r="AC115" s="300" t="s">
        <v>395</v>
      </c>
      <c r="AD115" s="300" t="s">
        <v>395</v>
      </c>
      <c r="AE115" s="300" t="s">
        <v>395</v>
      </c>
      <c r="AF115" s="300" t="s">
        <v>395</v>
      </c>
      <c r="AG115" s="300" t="s">
        <v>395</v>
      </c>
      <c r="AH115" s="300" t="s">
        <v>395</v>
      </c>
      <c r="AI115" s="300" t="s">
        <v>395</v>
      </c>
      <c r="AJ115" s="300" t="s">
        <v>395</v>
      </c>
      <c r="AK115" s="300" t="s">
        <v>395</v>
      </c>
      <c r="AL115" s="300" t="s">
        <v>395</v>
      </c>
      <c r="AM115" s="300" t="s">
        <v>395</v>
      </c>
      <c r="AN115" s="300" t="s">
        <v>395</v>
      </c>
      <c r="AO115" s="300" t="s">
        <v>395</v>
      </c>
    </row>
    <row r="116" spans="1:41">
      <c r="A116" s="300" t="s">
        <v>277</v>
      </c>
      <c r="B116" s="300" t="s">
        <v>605</v>
      </c>
      <c r="C116" s="300" t="s">
        <v>395</v>
      </c>
      <c r="D116" s="300" t="s">
        <v>395</v>
      </c>
      <c r="E116" s="300" t="s">
        <v>395</v>
      </c>
      <c r="F116" s="300" t="s">
        <v>395</v>
      </c>
      <c r="G116" s="300" t="s">
        <v>395</v>
      </c>
      <c r="H116" s="300" t="s">
        <v>395</v>
      </c>
      <c r="I116" s="300" t="s">
        <v>395</v>
      </c>
      <c r="J116" s="300" t="s">
        <v>395</v>
      </c>
      <c r="K116" s="300" t="s">
        <v>395</v>
      </c>
      <c r="L116" s="300" t="s">
        <v>395</v>
      </c>
      <c r="M116" s="300" t="s">
        <v>395</v>
      </c>
      <c r="N116" s="300" t="s">
        <v>395</v>
      </c>
      <c r="O116" s="300" t="s">
        <v>395</v>
      </c>
      <c r="P116" s="300" t="s">
        <v>395</v>
      </c>
      <c r="Q116" s="300" t="s">
        <v>395</v>
      </c>
      <c r="R116" s="300" t="s">
        <v>395</v>
      </c>
      <c r="S116" s="300" t="s">
        <v>395</v>
      </c>
      <c r="T116" s="300" t="s">
        <v>395</v>
      </c>
      <c r="U116" s="300" t="s">
        <v>395</v>
      </c>
      <c r="V116" s="300" t="s">
        <v>395</v>
      </c>
      <c r="W116" s="300" t="s">
        <v>395</v>
      </c>
      <c r="X116" s="300" t="s">
        <v>395</v>
      </c>
      <c r="Y116" s="300" t="s">
        <v>395</v>
      </c>
      <c r="Z116" s="300" t="s">
        <v>395</v>
      </c>
      <c r="AA116" s="300" t="s">
        <v>395</v>
      </c>
      <c r="AB116" s="300" t="s">
        <v>395</v>
      </c>
      <c r="AC116" s="300" t="s">
        <v>395</v>
      </c>
      <c r="AD116" s="300" t="s">
        <v>395</v>
      </c>
      <c r="AE116" s="300" t="s">
        <v>395</v>
      </c>
      <c r="AF116" s="300" t="s">
        <v>395</v>
      </c>
      <c r="AG116" s="300" t="s">
        <v>395</v>
      </c>
      <c r="AH116" s="300" t="s">
        <v>395</v>
      </c>
      <c r="AI116" s="300" t="s">
        <v>395</v>
      </c>
      <c r="AJ116" s="300" t="s">
        <v>395</v>
      </c>
      <c r="AK116" s="300" t="s">
        <v>395</v>
      </c>
      <c r="AL116" s="300" t="s">
        <v>395</v>
      </c>
      <c r="AM116" s="300" t="s">
        <v>395</v>
      </c>
      <c r="AN116" s="300" t="s">
        <v>395</v>
      </c>
      <c r="AO116" s="300" t="s">
        <v>395</v>
      </c>
    </row>
    <row r="117" spans="1:41">
      <c r="A117" s="36"/>
      <c r="B117" s="36"/>
    </row>
    <row r="118" spans="1:41">
      <c r="A118" s="36"/>
      <c r="B118" s="36"/>
    </row>
    <row r="119" spans="1:41">
      <c r="A119" s="36"/>
      <c r="B119" s="36"/>
    </row>
    <row r="120" spans="1:41">
      <c r="A120" s="36"/>
      <c r="B120" s="36"/>
    </row>
    <row r="121" spans="1:41">
      <c r="A121" s="36"/>
      <c r="B121" s="36"/>
    </row>
    <row r="122" spans="1:41">
      <c r="A122" s="36"/>
      <c r="B122" s="36"/>
    </row>
    <row r="123" spans="1:41">
      <c r="A123" s="36"/>
      <c r="B123" s="36"/>
    </row>
    <row r="124" spans="1:41">
      <c r="A124" s="36"/>
      <c r="B124" s="36"/>
    </row>
    <row r="125" spans="1:41">
      <c r="A125" s="36"/>
      <c r="B125" s="36"/>
    </row>
    <row r="126" spans="1:41">
      <c r="A126" s="36"/>
      <c r="B126" s="36"/>
    </row>
    <row r="127" spans="1:41">
      <c r="A127" s="36"/>
      <c r="B127" s="36"/>
    </row>
    <row r="128" spans="1:41">
      <c r="A128" s="36"/>
      <c r="B128" s="36"/>
    </row>
    <row r="129" spans="1:15">
      <c r="A129" s="36"/>
      <c r="B129" s="36"/>
    </row>
    <row r="130" spans="1:15">
      <c r="A130" s="36"/>
      <c r="B130" s="36"/>
    </row>
    <row r="131" spans="1:15">
      <c r="A131" s="36"/>
      <c r="B131" s="36"/>
      <c r="C131" s="211"/>
      <c r="D131" s="212"/>
      <c r="E131" s="212"/>
      <c r="F131" s="212"/>
      <c r="G131" s="212"/>
      <c r="H131" s="212"/>
      <c r="I131" s="212"/>
      <c r="J131" s="212"/>
      <c r="K131" s="212"/>
      <c r="L131" s="36"/>
      <c r="M131" s="212"/>
      <c r="N131" s="193"/>
      <c r="O131" s="193"/>
    </row>
    <row r="132" spans="1:15">
      <c r="A132" s="36"/>
      <c r="B132" s="36"/>
    </row>
    <row r="133" spans="1:15">
      <c r="A133" s="36"/>
      <c r="B133" s="36"/>
    </row>
    <row r="134" spans="1:15">
      <c r="A134" s="36"/>
      <c r="B134" s="36"/>
    </row>
    <row r="161" spans="1:13">
      <c r="A161" s="36"/>
      <c r="B161" s="36"/>
      <c r="C161" s="36"/>
      <c r="D161" s="36"/>
      <c r="E161" s="36"/>
      <c r="F161" s="36"/>
      <c r="G161" s="36"/>
      <c r="H161" s="36"/>
      <c r="I161" s="36"/>
      <c r="J161" s="36"/>
      <c r="K161" s="36"/>
      <c r="L161" s="36"/>
      <c r="M161" s="36"/>
    </row>
    <row r="162" spans="1:13">
      <c r="A162" s="36" t="s">
        <v>649</v>
      </c>
      <c r="B162" s="36" t="s">
        <v>4</v>
      </c>
      <c r="C162" s="36" t="s">
        <v>650</v>
      </c>
      <c r="D162" s="36" t="s">
        <v>651</v>
      </c>
      <c r="E162" s="36" t="s">
        <v>652</v>
      </c>
      <c r="F162" s="296"/>
      <c r="G162" s="296"/>
      <c r="H162" s="296"/>
      <c r="I162" s="296"/>
      <c r="J162" s="296"/>
      <c r="K162" s="296"/>
      <c r="L162" s="296"/>
      <c r="M162" s="296"/>
    </row>
    <row r="163" spans="1:13">
      <c r="A163" s="199">
        <v>-1</v>
      </c>
      <c r="B163" s="199">
        <v>4</v>
      </c>
      <c r="C163" s="199">
        <v>2</v>
      </c>
      <c r="D163" s="199">
        <v>1</v>
      </c>
      <c r="E163" s="199">
        <v>3</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election activeCell="C34" sqref="C34"/>
    </sheetView>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c r="C3" s="36" t="s">
        <v>557</v>
      </c>
      <c r="D3" s="36" t="s">
        <v>566</v>
      </c>
      <c r="E3" s="36" t="s">
        <v>567</v>
      </c>
      <c r="F3" s="36" t="s">
        <v>558</v>
      </c>
      <c r="G3" s="36" t="s">
        <v>568</v>
      </c>
      <c r="H3" s="36" t="s">
        <v>569</v>
      </c>
      <c r="I3" s="36" t="s">
        <v>570</v>
      </c>
      <c r="J3" s="36" t="s">
        <v>571</v>
      </c>
      <c r="K3" s="36" t="s">
        <v>559</v>
      </c>
      <c r="L3" s="36" t="s">
        <v>572</v>
      </c>
      <c r="M3" s="36" t="s">
        <v>573</v>
      </c>
      <c r="N3" s="36" t="s">
        <v>574</v>
      </c>
      <c r="O3" s="36" t="s">
        <v>575</v>
      </c>
      <c r="P3" s="36" t="s">
        <v>560</v>
      </c>
      <c r="Q3" s="36" t="s">
        <v>576</v>
      </c>
      <c r="R3" s="36" t="s">
        <v>577</v>
      </c>
      <c r="S3" s="36" t="s">
        <v>578</v>
      </c>
      <c r="T3" s="36" t="s">
        <v>579</v>
      </c>
      <c r="U3" s="36" t="s">
        <v>561</v>
      </c>
      <c r="V3" s="36" t="s">
        <v>580</v>
      </c>
      <c r="W3" s="36" t="s">
        <v>581</v>
      </c>
      <c r="X3" s="36" t="s">
        <v>582</v>
      </c>
      <c r="Y3" s="36" t="s">
        <v>583</v>
      </c>
      <c r="Z3" s="36" t="s">
        <v>562</v>
      </c>
      <c r="AA3" s="36" t="s">
        <v>584</v>
      </c>
      <c r="AB3" s="36" t="s">
        <v>585</v>
      </c>
      <c r="AC3" s="36" t="s">
        <v>586</v>
      </c>
      <c r="AD3" s="36" t="s">
        <v>587</v>
      </c>
      <c r="AE3" s="36" t="s">
        <v>563</v>
      </c>
      <c r="AF3" s="36" t="s">
        <v>564</v>
      </c>
      <c r="AG3" s="36" t="s">
        <v>565</v>
      </c>
      <c r="AH3" s="36"/>
      <c r="AI3" s="36"/>
      <c r="AJ3" s="36"/>
      <c r="AK3" s="36"/>
      <c r="AL3" s="36"/>
      <c r="AM3" s="36"/>
      <c r="AN3" s="36"/>
      <c r="AO3" s="36"/>
    </row>
    <row r="4" spans="1:41" s="4" customFormat="1"/>
    <row r="5" spans="1:41" s="4" customFormat="1">
      <c r="A5" s="4" t="s">
        <v>613</v>
      </c>
      <c r="C5" s="297">
        <v>2012</v>
      </c>
      <c r="D5" s="297">
        <v>2013</v>
      </c>
      <c r="E5" s="297">
        <v>2014</v>
      </c>
      <c r="F5" s="297">
        <v>2015</v>
      </c>
      <c r="G5" s="297">
        <v>2016</v>
      </c>
      <c r="H5" s="297">
        <v>2017</v>
      </c>
      <c r="I5" s="297">
        <v>2018</v>
      </c>
      <c r="J5" s="297">
        <v>2019</v>
      </c>
      <c r="K5" s="297">
        <v>2020</v>
      </c>
      <c r="L5" s="297">
        <v>2021</v>
      </c>
      <c r="M5" s="297">
        <v>2022</v>
      </c>
      <c r="N5" s="297">
        <v>2023</v>
      </c>
      <c r="O5" s="297">
        <v>2024</v>
      </c>
      <c r="P5" s="297">
        <v>2025</v>
      </c>
      <c r="Q5" s="297">
        <v>2026</v>
      </c>
      <c r="R5" s="297">
        <v>2027</v>
      </c>
      <c r="S5" s="297">
        <v>2028</v>
      </c>
      <c r="T5" s="297">
        <v>2029</v>
      </c>
      <c r="U5" s="297">
        <v>2030</v>
      </c>
      <c r="V5" s="297">
        <v>2031</v>
      </c>
      <c r="W5" s="297">
        <v>2032</v>
      </c>
      <c r="X5" s="297">
        <v>2033</v>
      </c>
      <c r="Y5" s="297">
        <v>2034</v>
      </c>
      <c r="Z5" s="297">
        <v>2035</v>
      </c>
      <c r="AA5" s="297">
        <v>2036</v>
      </c>
      <c r="AB5" s="297">
        <v>2037</v>
      </c>
      <c r="AC5" s="297">
        <v>2038</v>
      </c>
      <c r="AD5" s="297">
        <v>2039</v>
      </c>
      <c r="AE5" s="297">
        <v>2040</v>
      </c>
      <c r="AF5" s="297">
        <v>2045</v>
      </c>
      <c r="AG5" s="297">
        <v>2050</v>
      </c>
      <c r="AN5" s="5"/>
    </row>
    <row r="6" spans="1:41">
      <c r="A6" t="s">
        <v>614</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46" t="s">
        <v>138</v>
      </c>
      <c r="B7" s="4">
        <v>1</v>
      </c>
      <c r="C7" s="10">
        <f>INDEX(DriversGams!$A$5:$AN$23,MATCH(Drivers!$A7,DriversGams!$A$5:$A$23,0),MATCH(Drivers!C$3,DriversGams!$A$5:$AN$5,0))</f>
        <v>69.819999999999993</v>
      </c>
      <c r="D7" s="10">
        <f>INDEX(DriversGams!$A$5:$AN$23,MATCH(Drivers!$A7,DriversGams!$A$5:$A$23,0),MATCH(Drivers!D$3,DriversGams!$A$5:$AN$5,0))</f>
        <v>73.13</v>
      </c>
      <c r="E7" s="10">
        <f>INDEX(DriversGams!$A$5:$AN$23,MATCH(Drivers!$A7,DriversGams!$A$5:$A$23,0),MATCH(Drivers!E$3,DriversGams!$A$5:$AN$5,0))</f>
        <v>76.08</v>
      </c>
      <c r="F7" s="10">
        <f>INDEX(DriversGams!$A$5:$AN$23,MATCH(Drivers!$A7,DriversGams!$A$5:$A$23,0),MATCH(Drivers!F$3,DriversGams!$A$5:$AN$5,0))</f>
        <v>75.09</v>
      </c>
      <c r="G7" s="10">
        <f>INDEX(DriversGams!$A$5:$AN$23,MATCH(Drivers!$A7,DriversGams!$A$5:$A$23,0),MATCH(Drivers!G$3,DriversGams!$A$5:$AN$5,0))</f>
        <v>74.27</v>
      </c>
      <c r="H7" s="10">
        <f>INDEX(DriversGams!$A$5:$AN$23,MATCH(Drivers!$A7,DriversGams!$A$5:$A$23,0),MATCH(Drivers!H$3,DriversGams!$A$5:$AN$5,0))</f>
        <v>76.78</v>
      </c>
      <c r="I7" s="10">
        <f>INDEX(DriversGams!$A$5:$AN$23,MATCH(Drivers!$A7,DriversGams!$A$5:$A$23,0),MATCH(Drivers!I$3,DriversGams!$A$5:$AN$5,0))</f>
        <v>75.78</v>
      </c>
      <c r="J7" s="10">
        <f>INDEX(DriversGams!$A$5:$AN$23,MATCH(Drivers!$A7,DriversGams!$A$5:$A$23,0),MATCH(Drivers!J$3,DriversGams!$A$5:$AN$5,0))</f>
        <v>74.900000000000006</v>
      </c>
      <c r="K7" s="10">
        <f>INDEX(DriversGams!$A$5:$AN$23,MATCH(Drivers!$A7,DriversGams!$A$5:$A$23,0),MATCH(Drivers!K$3,DriversGams!$A$5:$AN$5,0))</f>
        <v>72.39</v>
      </c>
      <c r="L7" s="10">
        <f>INDEX(DriversGams!$A$5:$AN$23,MATCH(Drivers!$A7,DriversGams!$A$5:$A$23,0),MATCH(Drivers!L$3,DriversGams!$A$5:$AN$5,0))</f>
        <v>75.459999999999994</v>
      </c>
      <c r="M7" s="10">
        <f>INDEX(DriversGams!$A$5:$AN$23,MATCH(Drivers!$A7,DriversGams!$A$5:$A$23,0),MATCH(Drivers!M$3,DriversGams!$A$5:$AN$5,0))</f>
        <v>78.09</v>
      </c>
      <c r="N7" s="10">
        <f>INDEX(DriversGams!$A$5:$AN$23,MATCH(Drivers!$A7,DriversGams!$A$5:$A$23,0),MATCH(Drivers!N$3,DriversGams!$A$5:$AN$5,0))</f>
        <v>80.540000000000006</v>
      </c>
      <c r="O7" s="10">
        <f>INDEX(DriversGams!$A$5:$AN$23,MATCH(Drivers!$A7,DriversGams!$A$5:$A$23,0),MATCH(Drivers!O$3,DriversGams!$A$5:$AN$5,0))</f>
        <v>83.29</v>
      </c>
      <c r="P7" s="10">
        <f>INDEX(DriversGams!$A$5:$AN$23,MATCH(Drivers!$A7,DriversGams!$A$5:$A$23,0),MATCH(Drivers!P$3,DriversGams!$A$5:$AN$5,0))</f>
        <v>86.31</v>
      </c>
      <c r="Q7" s="10">
        <f>INDEX(DriversGams!$A$5:$AN$23,MATCH(Drivers!$A7,DriversGams!$A$5:$A$23,0),MATCH(Drivers!Q$3,DriversGams!$A$5:$AN$5,0))</f>
        <v>89.52</v>
      </c>
      <c r="R7" s="10">
        <f>INDEX(DriversGams!$A$5:$AN$23,MATCH(Drivers!$A7,DriversGams!$A$5:$A$23,0),MATCH(Drivers!R$3,DriversGams!$A$5:$AN$5,0))</f>
        <v>92.83</v>
      </c>
      <c r="S7" s="10">
        <f>INDEX(DriversGams!$A$5:$AN$23,MATCH(Drivers!$A7,DriversGams!$A$5:$A$23,0),MATCH(Drivers!S$3,DriversGams!$A$5:$AN$5,0))</f>
        <v>96.13</v>
      </c>
      <c r="T7" s="10">
        <f>INDEX(DriversGams!$A$5:$AN$23,MATCH(Drivers!$A7,DriversGams!$A$5:$A$23,0),MATCH(Drivers!T$3,DriversGams!$A$5:$AN$5,0))</f>
        <v>99.86</v>
      </c>
      <c r="U7" s="10">
        <f>INDEX(DriversGams!$A$5:$AN$23,MATCH(Drivers!$A7,DriversGams!$A$5:$A$23,0),MATCH(Drivers!U$3,DriversGams!$A$5:$AN$5,0))</f>
        <v>103.6</v>
      </c>
      <c r="V7" s="10">
        <f>INDEX(DriversGams!$A$5:$AN$23,MATCH(Drivers!$A7,DriversGams!$A$5:$A$23,0),MATCH(Drivers!V$3,DriversGams!$A$5:$AN$5,0))</f>
        <v>107.31</v>
      </c>
      <c r="W7" s="10">
        <f>INDEX(DriversGams!$A$5:$AN$23,MATCH(Drivers!$A7,DriversGams!$A$5:$A$23,0),MATCH(Drivers!W$3,DriversGams!$A$5:$AN$5,0))</f>
        <v>111.1</v>
      </c>
      <c r="X7" s="10">
        <f>INDEX(DriversGams!$A$5:$AN$23,MATCH(Drivers!$A7,DriversGams!$A$5:$A$23,0),MATCH(Drivers!X$3,DriversGams!$A$5:$AN$5,0))</f>
        <v>114.89</v>
      </c>
      <c r="Y7" s="10">
        <f>INDEX(DriversGams!$A$5:$AN$23,MATCH(Drivers!$A7,DriversGams!$A$5:$A$23,0),MATCH(Drivers!Y$3,DriversGams!$A$5:$AN$5,0))</f>
        <v>118.93</v>
      </c>
      <c r="Z7" s="10">
        <f>INDEX(DriversGams!$A$5:$AN$23,MATCH(Drivers!$A7,DriversGams!$A$5:$A$23,0),MATCH(Drivers!Z$3,DriversGams!$A$5:$AN$5,0))</f>
        <v>122.67</v>
      </c>
      <c r="AA7" s="10">
        <f>INDEX(DriversGams!$A$5:$AN$23,MATCH(Drivers!$A7,DriversGams!$A$5:$A$23,0),MATCH(Drivers!AA$3,DriversGams!$A$5:$AN$5,0))</f>
        <v>126.57</v>
      </c>
      <c r="AB7" s="10">
        <f>INDEX(DriversGams!$A$5:$AN$23,MATCH(Drivers!$A7,DriversGams!$A$5:$A$23,0),MATCH(Drivers!AB$3,DriversGams!$A$5:$AN$5,0))</f>
        <v>131.19999999999999</v>
      </c>
      <c r="AC7" s="10">
        <f>INDEX(DriversGams!$A$5:$AN$23,MATCH(Drivers!$A7,DriversGams!$A$5:$A$23,0),MATCH(Drivers!AC$3,DriversGams!$A$5:$AN$5,0))</f>
        <v>136.22999999999999</v>
      </c>
      <c r="AD7" s="10">
        <f>INDEX(DriversGams!$A$5:$AN$23,MATCH(Drivers!$A7,DriversGams!$A$5:$A$23,0),MATCH(Drivers!AD$3,DriversGams!$A$5:$AN$5,0))</f>
        <v>141.56</v>
      </c>
      <c r="AE7" s="10">
        <f>INDEX(DriversGams!$A$5:$AN$23,MATCH(Drivers!$A7,DriversGams!$A$5:$A$23,0),MATCH(Drivers!AE$3,DriversGams!$A$5:$AN$5,0))</f>
        <v>147.22999999999999</v>
      </c>
      <c r="AF7" s="10">
        <f>INDEX(DriversGams!$A$5:$AN$23,MATCH(Drivers!$A7,DriversGams!$A$5:$A$23,0),MATCH(Drivers!AF$3,DriversGams!$A$5:$AN$5,0))</f>
        <v>181.25</v>
      </c>
      <c r="AG7" s="10">
        <f>INDEX(DriversGams!$A$5:$AN$23,MATCH(Drivers!$A7,DriversGams!$A$5:$A$23,0),MATCH(Drivers!AG$3,DriversGams!$A$5:$AN$5,0))</f>
        <v>224.71</v>
      </c>
      <c r="AH7" s="138"/>
      <c r="AI7" s="138"/>
      <c r="AJ7" s="138"/>
      <c r="AK7" s="138"/>
      <c r="AL7" s="138"/>
      <c r="AM7" s="138"/>
      <c r="AO7">
        <v>1</v>
      </c>
    </row>
    <row r="8" spans="1:41">
      <c r="A8" s="146" t="s">
        <v>4</v>
      </c>
      <c r="B8" s="4">
        <f>B7+1</f>
        <v>2</v>
      </c>
      <c r="C8" s="10">
        <f>INDEX(DriversGams!$A$5:$AN$23,MATCH(Drivers!$A8,DriversGams!$A$5:$A$23,0),MATCH(Drivers!C$3,DriversGams!$A$5:$AN$5,0))</f>
        <v>1833.85</v>
      </c>
      <c r="D8" s="10">
        <f>INDEX(DriversGams!$A$5:$AN$23,MATCH(Drivers!$A8,DriversGams!$A$5:$A$23,0),MATCH(Drivers!D$3,DriversGams!$A$5:$AN$5,0))</f>
        <v>1887.04</v>
      </c>
      <c r="E8" s="10">
        <f>INDEX(DriversGams!$A$5:$AN$23,MATCH(Drivers!$A8,DriversGams!$A$5:$A$23,0),MATCH(Drivers!E$3,DriversGams!$A$5:$AN$5,0))</f>
        <v>1934.79</v>
      </c>
      <c r="F8" s="10">
        <f>INDEX(DriversGams!$A$5:$AN$23,MATCH(Drivers!$A8,DriversGams!$A$5:$A$23,0),MATCH(Drivers!F$3,DriversGams!$A$5:$AN$5,0))</f>
        <v>1971.74</v>
      </c>
      <c r="G8" s="10">
        <f>INDEX(DriversGams!$A$5:$AN$23,MATCH(Drivers!$A8,DriversGams!$A$5:$A$23,0),MATCH(Drivers!G$3,DriversGams!$A$5:$AN$5,0))</f>
        <v>2001.88</v>
      </c>
      <c r="H8" s="10">
        <f>INDEX(DriversGams!$A$5:$AN$23,MATCH(Drivers!$A8,DriversGams!$A$5:$A$23,0),MATCH(Drivers!H$3,DriversGams!$A$5:$AN$5,0))</f>
        <v>2032.99</v>
      </c>
      <c r="I8" s="10">
        <f>INDEX(DriversGams!$A$5:$AN$23,MATCH(Drivers!$A8,DriversGams!$A$5:$A$23,0),MATCH(Drivers!I$3,DriversGams!$A$5:$AN$5,0))</f>
        <v>2075.61</v>
      </c>
      <c r="J8" s="10">
        <f>INDEX(DriversGams!$A$5:$AN$23,MATCH(Drivers!$A8,DriversGams!$A$5:$A$23,0),MATCH(Drivers!J$3,DriversGams!$A$5:$AN$5,0))</f>
        <v>2127.88</v>
      </c>
      <c r="K8" s="10">
        <f>INDEX(DriversGams!$A$5:$AN$23,MATCH(Drivers!$A8,DriversGams!$A$5:$A$23,0),MATCH(Drivers!K$3,DriversGams!$A$5:$AN$5,0))</f>
        <v>1981.33</v>
      </c>
      <c r="L8" s="10">
        <f>INDEX(DriversGams!$A$5:$AN$23,MATCH(Drivers!$A8,DriversGams!$A$5:$A$23,0),MATCH(Drivers!L$3,DriversGams!$A$5:$AN$5,0))</f>
        <v>2063.31</v>
      </c>
      <c r="M8" s="10">
        <f>INDEX(DriversGams!$A$5:$AN$23,MATCH(Drivers!$A8,DriversGams!$A$5:$A$23,0),MATCH(Drivers!M$3,DriversGams!$A$5:$AN$5,0))</f>
        <v>2137.7800000000002</v>
      </c>
      <c r="N8" s="10">
        <f>INDEX(DriversGams!$A$5:$AN$23,MATCH(Drivers!$A8,DriversGams!$A$5:$A$23,0),MATCH(Drivers!N$3,DriversGams!$A$5:$AN$5,0))</f>
        <v>2218.42</v>
      </c>
      <c r="O8" s="10">
        <f>INDEX(DriversGams!$A$5:$AN$23,MATCH(Drivers!$A8,DriversGams!$A$5:$A$23,0),MATCH(Drivers!O$3,DriversGams!$A$5:$AN$5,0))</f>
        <v>2311.4499999999998</v>
      </c>
      <c r="P8" s="10">
        <f>INDEX(DriversGams!$A$5:$AN$23,MATCH(Drivers!$A8,DriversGams!$A$5:$A$23,0),MATCH(Drivers!P$3,DriversGams!$A$5:$AN$5,0))</f>
        <v>2413.14</v>
      </c>
      <c r="Q8" s="10">
        <f>INDEX(DriversGams!$A$5:$AN$23,MATCH(Drivers!$A8,DriversGams!$A$5:$A$23,0),MATCH(Drivers!Q$3,DriversGams!$A$5:$AN$5,0))</f>
        <v>2527.2600000000002</v>
      </c>
      <c r="R8" s="10">
        <f>INDEX(DriversGams!$A$5:$AN$23,MATCH(Drivers!$A8,DriversGams!$A$5:$A$23,0),MATCH(Drivers!R$3,DriversGams!$A$5:$AN$5,0))</f>
        <v>2650.81</v>
      </c>
      <c r="S8" s="10">
        <f>INDEX(DriversGams!$A$5:$AN$23,MATCH(Drivers!$A8,DriversGams!$A$5:$A$23,0),MATCH(Drivers!S$3,DriversGams!$A$5:$AN$5,0))</f>
        <v>2784.91</v>
      </c>
      <c r="T8" s="10">
        <f>INDEX(DriversGams!$A$5:$AN$23,MATCH(Drivers!$A8,DriversGams!$A$5:$A$23,0),MATCH(Drivers!T$3,DriversGams!$A$5:$AN$5,0))</f>
        <v>2936.65</v>
      </c>
      <c r="U8" s="10">
        <f>INDEX(DriversGams!$A$5:$AN$23,MATCH(Drivers!$A8,DriversGams!$A$5:$A$23,0),MATCH(Drivers!U$3,DriversGams!$A$5:$AN$5,0))</f>
        <v>3098.4</v>
      </c>
      <c r="V8" s="10">
        <f>INDEX(DriversGams!$A$5:$AN$23,MATCH(Drivers!$A8,DriversGams!$A$5:$A$23,0),MATCH(Drivers!V$3,DriversGams!$A$5:$AN$5,0))</f>
        <v>3264.46</v>
      </c>
      <c r="W8" s="10">
        <f>INDEX(DriversGams!$A$5:$AN$23,MATCH(Drivers!$A8,DriversGams!$A$5:$A$23,0),MATCH(Drivers!W$3,DriversGams!$A$5:$AN$5,0))</f>
        <v>3442.1</v>
      </c>
      <c r="X8" s="10">
        <f>INDEX(DriversGams!$A$5:$AN$23,MATCH(Drivers!$A8,DriversGams!$A$5:$A$23,0),MATCH(Drivers!X$3,DriversGams!$A$5:$AN$5,0))</f>
        <v>3630.22</v>
      </c>
      <c r="Y8" s="10">
        <f>INDEX(DriversGams!$A$5:$AN$23,MATCH(Drivers!$A8,DriversGams!$A$5:$A$23,0),MATCH(Drivers!Y$3,DriversGams!$A$5:$AN$5,0))</f>
        <v>3829.94</v>
      </c>
      <c r="Z8" s="10">
        <f>INDEX(DriversGams!$A$5:$AN$23,MATCH(Drivers!$A8,DriversGams!$A$5:$A$23,0),MATCH(Drivers!Z$3,DriversGams!$A$5:$AN$5,0))</f>
        <v>4029.27</v>
      </c>
      <c r="AA8" s="10">
        <f>INDEX(DriversGams!$A$5:$AN$23,MATCH(Drivers!$A8,DriversGams!$A$5:$A$23,0),MATCH(Drivers!AA$3,DriversGams!$A$5:$AN$5,0))</f>
        <v>4237.8100000000004</v>
      </c>
      <c r="AB8" s="10">
        <f>INDEX(DriversGams!$A$5:$AN$23,MATCH(Drivers!$A8,DriversGams!$A$5:$A$23,0),MATCH(Drivers!AB$3,DriversGams!$A$5:$AN$5,0))</f>
        <v>4470.5200000000004</v>
      </c>
      <c r="AC8" s="10">
        <f>INDEX(DriversGams!$A$5:$AN$23,MATCH(Drivers!$A8,DriversGams!$A$5:$A$23,0),MATCH(Drivers!AC$3,DriversGams!$A$5:$AN$5,0))</f>
        <v>4720.5</v>
      </c>
      <c r="AD8" s="10">
        <f>INDEX(DriversGams!$A$5:$AN$23,MATCH(Drivers!$A8,DriversGams!$A$5:$A$23,0),MATCH(Drivers!AD$3,DriversGams!$A$5:$AN$5,0))</f>
        <v>4986.2700000000004</v>
      </c>
      <c r="AE8" s="10">
        <f>INDEX(DriversGams!$A$5:$AN$23,MATCH(Drivers!$A8,DriversGams!$A$5:$A$23,0),MATCH(Drivers!AE$3,DriversGams!$A$5:$AN$5,0))</f>
        <v>5265.47</v>
      </c>
      <c r="AF8" s="10">
        <f>INDEX(DriversGams!$A$5:$AN$23,MATCH(Drivers!$A8,DriversGams!$A$5:$A$23,0),MATCH(Drivers!AF$3,DriversGams!$A$5:$AN$5,0))</f>
        <v>6912.43</v>
      </c>
      <c r="AG8" s="10">
        <f>INDEX(DriversGams!$A$5:$AN$23,MATCH(Drivers!$A8,DriversGams!$A$5:$A$23,0),MATCH(Drivers!AG$3,DriversGams!$A$5:$AN$5,0))</f>
        <v>8994.11</v>
      </c>
      <c r="AH8" s="138"/>
      <c r="AI8" s="138"/>
      <c r="AJ8" s="138"/>
      <c r="AK8" s="138"/>
      <c r="AL8" s="138"/>
      <c r="AM8" s="138"/>
      <c r="AO8">
        <f>AO7+1</f>
        <v>2</v>
      </c>
    </row>
    <row r="9" spans="1:41">
      <c r="A9" s="146" t="s">
        <v>526</v>
      </c>
      <c r="B9" s="199">
        <f t="shared" ref="B9:B34" si="1">B8+1</f>
        <v>3</v>
      </c>
      <c r="C9" s="10">
        <f>INDEX(DriversGams!$A$5:$AN$23,MATCH(Drivers!$A9,DriversGams!$A$5:$A$23,0),MATCH(Drivers!C$3,DriversGams!$A$5:$AN$5,0))</f>
        <v>52.81</v>
      </c>
      <c r="D9" s="10">
        <f>INDEX(DriversGams!$A$5:$AN$23,MATCH(Drivers!$A9,DriversGams!$A$5:$A$23,0),MATCH(Drivers!D$3,DriversGams!$A$5:$AN$5,0))</f>
        <v>54.42</v>
      </c>
      <c r="E9" s="10">
        <f>INDEX(DriversGams!$A$5:$AN$23,MATCH(Drivers!$A9,DriversGams!$A$5:$A$23,0),MATCH(Drivers!E$3,DriversGams!$A$5:$AN$5,0))</f>
        <v>55.54</v>
      </c>
      <c r="F9" s="10">
        <f>INDEX(DriversGams!$A$5:$AN$23,MATCH(Drivers!$A9,DriversGams!$A$5:$A$23,0),MATCH(Drivers!F$3,DriversGams!$A$5:$AN$5,0))</f>
        <v>56.23</v>
      </c>
      <c r="G9" s="10">
        <f>INDEX(DriversGams!$A$5:$AN$23,MATCH(Drivers!$A9,DriversGams!$A$5:$A$23,0),MATCH(Drivers!G$3,DriversGams!$A$5:$AN$5,0))</f>
        <v>56.92</v>
      </c>
      <c r="H9" s="10">
        <f>INDEX(DriversGams!$A$5:$AN$23,MATCH(Drivers!$A9,DriversGams!$A$5:$A$23,0),MATCH(Drivers!H$3,DriversGams!$A$5:$AN$5,0))</f>
        <v>57.4</v>
      </c>
      <c r="I9" s="10">
        <f>INDEX(DriversGams!$A$5:$AN$23,MATCH(Drivers!$A9,DriversGams!$A$5:$A$23,0),MATCH(Drivers!I$3,DriversGams!$A$5:$AN$5,0))</f>
        <v>58.26</v>
      </c>
      <c r="J9" s="10">
        <f>INDEX(DriversGams!$A$5:$AN$23,MATCH(Drivers!$A9,DriversGams!$A$5:$A$23,0),MATCH(Drivers!J$3,DriversGams!$A$5:$AN$5,0))</f>
        <v>58.61</v>
      </c>
      <c r="K9" s="10">
        <f>INDEX(DriversGams!$A$5:$AN$23,MATCH(Drivers!$A9,DriversGams!$A$5:$A$23,0),MATCH(Drivers!K$3,DriversGams!$A$5:$AN$5,0))</f>
        <v>54.23</v>
      </c>
      <c r="L9" s="10">
        <f>INDEX(DriversGams!$A$5:$AN$23,MATCH(Drivers!$A9,DriversGams!$A$5:$A$23,0),MATCH(Drivers!L$3,DriversGams!$A$5:$AN$5,0))</f>
        <v>56.56</v>
      </c>
      <c r="M9" s="10">
        <f>INDEX(DriversGams!$A$5:$AN$23,MATCH(Drivers!$A9,DriversGams!$A$5:$A$23,0),MATCH(Drivers!M$3,DriversGams!$A$5:$AN$5,0))</f>
        <v>58.58</v>
      </c>
      <c r="N9" s="10">
        <f>INDEX(DriversGams!$A$5:$AN$23,MATCH(Drivers!$A9,DriversGams!$A$5:$A$23,0),MATCH(Drivers!N$3,DriversGams!$A$5:$AN$5,0))</f>
        <v>60.71</v>
      </c>
      <c r="O9" s="10">
        <f>INDEX(DriversGams!$A$5:$AN$23,MATCH(Drivers!$A9,DriversGams!$A$5:$A$23,0),MATCH(Drivers!O$3,DriversGams!$A$5:$AN$5,0))</f>
        <v>63.17</v>
      </c>
      <c r="P9" s="10">
        <f>INDEX(DriversGams!$A$5:$AN$23,MATCH(Drivers!$A9,DriversGams!$A$5:$A$23,0),MATCH(Drivers!P$3,DriversGams!$A$5:$AN$5,0))</f>
        <v>65.87</v>
      </c>
      <c r="Q9" s="10">
        <f>INDEX(DriversGams!$A$5:$AN$23,MATCH(Drivers!$A9,DriversGams!$A$5:$A$23,0),MATCH(Drivers!Q$3,DriversGams!$A$5:$AN$5,0))</f>
        <v>68.75</v>
      </c>
      <c r="R9" s="10">
        <f>INDEX(DriversGams!$A$5:$AN$23,MATCH(Drivers!$A9,DriversGams!$A$5:$A$23,0),MATCH(Drivers!R$3,DriversGams!$A$5:$AN$5,0))</f>
        <v>71.84</v>
      </c>
      <c r="S9" s="10">
        <f>INDEX(DriversGams!$A$5:$AN$23,MATCH(Drivers!$A9,DriversGams!$A$5:$A$23,0),MATCH(Drivers!S$3,DriversGams!$A$5:$AN$5,0))</f>
        <v>75.19</v>
      </c>
      <c r="T9" s="10">
        <f>INDEX(DriversGams!$A$5:$AN$23,MATCH(Drivers!$A9,DriversGams!$A$5:$A$23,0),MATCH(Drivers!T$3,DriversGams!$A$5:$AN$5,0))</f>
        <v>78.97</v>
      </c>
      <c r="U9" s="10">
        <f>INDEX(DriversGams!$A$5:$AN$23,MATCH(Drivers!$A9,DriversGams!$A$5:$A$23,0),MATCH(Drivers!U$3,DriversGams!$A$5:$AN$5,0))</f>
        <v>82.97</v>
      </c>
      <c r="V9" s="10">
        <f>INDEX(DriversGams!$A$5:$AN$23,MATCH(Drivers!$A9,DriversGams!$A$5:$A$23,0),MATCH(Drivers!V$3,DriversGams!$A$5:$AN$5,0))</f>
        <v>86.85</v>
      </c>
      <c r="W9" s="10">
        <f>INDEX(DriversGams!$A$5:$AN$23,MATCH(Drivers!$A9,DriversGams!$A$5:$A$23,0),MATCH(Drivers!W$3,DriversGams!$A$5:$AN$5,0))</f>
        <v>90.96</v>
      </c>
      <c r="X9" s="10">
        <f>INDEX(DriversGams!$A$5:$AN$23,MATCH(Drivers!$A9,DriversGams!$A$5:$A$23,0),MATCH(Drivers!X$3,DriversGams!$A$5:$AN$5,0))</f>
        <v>95.23</v>
      </c>
      <c r="Y9" s="10">
        <f>INDEX(DriversGams!$A$5:$AN$23,MATCH(Drivers!$A9,DriversGams!$A$5:$A$23,0),MATCH(Drivers!Y$3,DriversGams!$A$5:$AN$5,0))</f>
        <v>99.76</v>
      </c>
      <c r="Z9" s="10">
        <f>INDEX(DriversGams!$A$5:$AN$23,MATCH(Drivers!$A9,DriversGams!$A$5:$A$23,0),MATCH(Drivers!Z$3,DriversGams!$A$5:$AN$5,0))</f>
        <v>104.17</v>
      </c>
      <c r="AA9" s="10">
        <f>INDEX(DriversGams!$A$5:$AN$23,MATCH(Drivers!$A9,DriversGams!$A$5:$A$23,0),MATCH(Drivers!AA$3,DriversGams!$A$5:$AN$5,0))</f>
        <v>108.73</v>
      </c>
      <c r="AB9" s="10">
        <f>INDEX(DriversGams!$A$5:$AN$23,MATCH(Drivers!$A9,DriversGams!$A$5:$A$23,0),MATCH(Drivers!AB$3,DriversGams!$A$5:$AN$5,0))</f>
        <v>113.82</v>
      </c>
      <c r="AC9" s="10">
        <f>INDEX(DriversGams!$A$5:$AN$23,MATCH(Drivers!$A9,DriversGams!$A$5:$A$23,0),MATCH(Drivers!AC$3,DriversGams!$A$5:$AN$5,0))</f>
        <v>119.24</v>
      </c>
      <c r="AD9" s="10">
        <f>INDEX(DriversGams!$A$5:$AN$23,MATCH(Drivers!$A9,DriversGams!$A$5:$A$23,0),MATCH(Drivers!AD$3,DriversGams!$A$5:$AN$5,0))</f>
        <v>125</v>
      </c>
      <c r="AE9" s="10">
        <f>INDEX(DriversGams!$A$5:$AN$23,MATCH(Drivers!$A9,DriversGams!$A$5:$A$23,0),MATCH(Drivers!AE$3,DriversGams!$A$5:$AN$5,0))</f>
        <v>131.04</v>
      </c>
      <c r="AF9" s="10">
        <f>INDEX(DriversGams!$A$5:$AN$23,MATCH(Drivers!$A9,DriversGams!$A$5:$A$23,0),MATCH(Drivers!AF$3,DriversGams!$A$5:$AN$5,0))</f>
        <v>168.26</v>
      </c>
      <c r="AG9" s="10">
        <f>INDEX(DriversGams!$A$5:$AN$23,MATCH(Drivers!$A9,DriversGams!$A$5:$A$23,0),MATCH(Drivers!AG$3,DriversGams!$A$5:$AN$5,0))</f>
        <v>216.25</v>
      </c>
      <c r="AH9" s="138"/>
      <c r="AI9" s="138"/>
      <c r="AJ9" s="138"/>
      <c r="AK9" s="138"/>
      <c r="AL9" s="138"/>
      <c r="AM9" s="138"/>
      <c r="AO9" s="4">
        <f t="shared" ref="AO9:AO22" si="2">AO8+1</f>
        <v>3</v>
      </c>
    </row>
    <row r="10" spans="1:41">
      <c r="A10" s="146" t="s">
        <v>523</v>
      </c>
      <c r="B10" s="199">
        <f t="shared" si="1"/>
        <v>4</v>
      </c>
      <c r="C10" s="10">
        <f>INDEX(DriversGams!$A$5:$AN$23,MATCH(Drivers!$A10,DriversGams!$A$5:$A$23,0),MATCH(Drivers!C$3,DriversGams!$A$5:$AN$5,0))</f>
        <v>93.1</v>
      </c>
      <c r="D10" s="10">
        <f>INDEX(DriversGams!$A$5:$AN$23,MATCH(Drivers!$A10,DriversGams!$A$5:$A$23,0),MATCH(Drivers!D$3,DriversGams!$A$5:$AN$5,0))</f>
        <v>96.58</v>
      </c>
      <c r="E10" s="10">
        <f>INDEX(DriversGams!$A$5:$AN$23,MATCH(Drivers!$A10,DriversGams!$A$5:$A$23,0),MATCH(Drivers!E$3,DriversGams!$A$5:$AN$5,0))</f>
        <v>99.16</v>
      </c>
      <c r="F10" s="10">
        <f>INDEX(DriversGams!$A$5:$AN$23,MATCH(Drivers!$A10,DriversGams!$A$5:$A$23,0),MATCH(Drivers!F$3,DriversGams!$A$5:$AN$5,0))</f>
        <v>100.5</v>
      </c>
      <c r="G10" s="10">
        <f>INDEX(DriversGams!$A$5:$AN$23,MATCH(Drivers!$A10,DriversGams!$A$5:$A$23,0),MATCH(Drivers!G$3,DriversGams!$A$5:$AN$5,0))</f>
        <v>102.67</v>
      </c>
      <c r="H10" s="10">
        <f>INDEX(DriversGams!$A$5:$AN$23,MATCH(Drivers!$A10,DriversGams!$A$5:$A$23,0),MATCH(Drivers!H$3,DriversGams!$A$5:$AN$5,0))</f>
        <v>103.77</v>
      </c>
      <c r="I10" s="10">
        <f>INDEX(DriversGams!$A$5:$AN$23,MATCH(Drivers!$A10,DriversGams!$A$5:$A$23,0),MATCH(Drivers!I$3,DriversGams!$A$5:$AN$5,0))</f>
        <v>105.55</v>
      </c>
      <c r="J10" s="10">
        <f>INDEX(DriversGams!$A$5:$AN$23,MATCH(Drivers!$A10,DriversGams!$A$5:$A$23,0),MATCH(Drivers!J$3,DriversGams!$A$5:$AN$5,0))</f>
        <v>105.8</v>
      </c>
      <c r="K10" s="10">
        <f>INDEX(DriversGams!$A$5:$AN$23,MATCH(Drivers!$A10,DriversGams!$A$5:$A$23,0),MATCH(Drivers!K$3,DriversGams!$A$5:$AN$5,0))</f>
        <v>101.17</v>
      </c>
      <c r="L10" s="10">
        <f>INDEX(DriversGams!$A$5:$AN$23,MATCH(Drivers!$A10,DriversGams!$A$5:$A$23,0),MATCH(Drivers!L$3,DriversGams!$A$5:$AN$5,0))</f>
        <v>105.94</v>
      </c>
      <c r="M10" s="10">
        <f>INDEX(DriversGams!$A$5:$AN$23,MATCH(Drivers!$A10,DriversGams!$A$5:$A$23,0),MATCH(Drivers!M$3,DriversGams!$A$5:$AN$5,0))</f>
        <v>109.95</v>
      </c>
      <c r="N10" s="10">
        <f>INDEX(DriversGams!$A$5:$AN$23,MATCH(Drivers!$A10,DriversGams!$A$5:$A$23,0),MATCH(Drivers!N$3,DriversGams!$A$5:$AN$5,0))</f>
        <v>113.88</v>
      </c>
      <c r="O10" s="10">
        <f>INDEX(DriversGams!$A$5:$AN$23,MATCH(Drivers!$A10,DriversGams!$A$5:$A$23,0),MATCH(Drivers!O$3,DriversGams!$A$5:$AN$5,0))</f>
        <v>118.34</v>
      </c>
      <c r="P10" s="10">
        <f>INDEX(DriversGams!$A$5:$AN$23,MATCH(Drivers!$A10,DriversGams!$A$5:$A$23,0),MATCH(Drivers!P$3,DriversGams!$A$5:$AN$5,0))</f>
        <v>123.16</v>
      </c>
      <c r="Q10" s="10">
        <f>INDEX(DriversGams!$A$5:$AN$23,MATCH(Drivers!$A10,DriversGams!$A$5:$A$23,0),MATCH(Drivers!Q$3,DriversGams!$A$5:$AN$5,0))</f>
        <v>128.15</v>
      </c>
      <c r="R10" s="10">
        <f>INDEX(DriversGams!$A$5:$AN$23,MATCH(Drivers!$A10,DriversGams!$A$5:$A$23,0),MATCH(Drivers!R$3,DriversGams!$A$5:$AN$5,0))</f>
        <v>133.38999999999999</v>
      </c>
      <c r="S10" s="10">
        <f>INDEX(DriversGams!$A$5:$AN$23,MATCH(Drivers!$A10,DriversGams!$A$5:$A$23,0),MATCH(Drivers!S$3,DriversGams!$A$5:$AN$5,0))</f>
        <v>138.88999999999999</v>
      </c>
      <c r="T10" s="10">
        <f>INDEX(DriversGams!$A$5:$AN$23,MATCH(Drivers!$A10,DriversGams!$A$5:$A$23,0),MATCH(Drivers!T$3,DriversGams!$A$5:$AN$5,0))</f>
        <v>145.15</v>
      </c>
      <c r="U10" s="10">
        <f>INDEX(DriversGams!$A$5:$AN$23,MATCH(Drivers!$A10,DriversGams!$A$5:$A$23,0),MATCH(Drivers!U$3,DriversGams!$A$5:$AN$5,0))</f>
        <v>151.62</v>
      </c>
      <c r="V10" s="10">
        <f>INDEX(DriversGams!$A$5:$AN$23,MATCH(Drivers!$A10,DriversGams!$A$5:$A$23,0),MATCH(Drivers!V$3,DriversGams!$A$5:$AN$5,0))</f>
        <v>157.66</v>
      </c>
      <c r="W10" s="10">
        <f>INDEX(DriversGams!$A$5:$AN$23,MATCH(Drivers!$A10,DriversGams!$A$5:$A$23,0),MATCH(Drivers!W$3,DriversGams!$A$5:$AN$5,0))</f>
        <v>163.97</v>
      </c>
      <c r="X10" s="10">
        <f>INDEX(DriversGams!$A$5:$AN$23,MATCH(Drivers!$A10,DriversGams!$A$5:$A$23,0),MATCH(Drivers!X$3,DriversGams!$A$5:$AN$5,0))</f>
        <v>170.17</v>
      </c>
      <c r="Y10" s="10">
        <f>INDEX(DriversGams!$A$5:$AN$23,MATCH(Drivers!$A10,DriversGams!$A$5:$A$23,0),MATCH(Drivers!Y$3,DriversGams!$A$5:$AN$5,0))</f>
        <v>176.9</v>
      </c>
      <c r="Z10" s="10">
        <f>INDEX(DriversGams!$A$5:$AN$23,MATCH(Drivers!$A10,DriversGams!$A$5:$A$23,0),MATCH(Drivers!Z$3,DriversGams!$A$5:$AN$5,0))</f>
        <v>183.28</v>
      </c>
      <c r="AA10" s="10">
        <f>INDEX(DriversGams!$A$5:$AN$23,MATCH(Drivers!$A10,DriversGams!$A$5:$A$23,0),MATCH(Drivers!AA$3,DriversGams!$A$5:$AN$5,0))</f>
        <v>189.7</v>
      </c>
      <c r="AB10" s="10">
        <f>INDEX(DriversGams!$A$5:$AN$23,MATCH(Drivers!$A10,DriversGams!$A$5:$A$23,0),MATCH(Drivers!AB$3,DriversGams!$A$5:$AN$5,0))</f>
        <v>196.91</v>
      </c>
      <c r="AC10" s="10">
        <f>INDEX(DriversGams!$A$5:$AN$23,MATCH(Drivers!$A10,DriversGams!$A$5:$A$23,0),MATCH(Drivers!AC$3,DriversGams!$A$5:$AN$5,0))</f>
        <v>204.55</v>
      </c>
      <c r="AD10" s="10">
        <f>INDEX(DriversGams!$A$5:$AN$23,MATCH(Drivers!$A10,DriversGams!$A$5:$A$23,0),MATCH(Drivers!AD$3,DriversGams!$A$5:$AN$5,0))</f>
        <v>212.82</v>
      </c>
      <c r="AE10" s="10">
        <f>INDEX(DriversGams!$A$5:$AN$23,MATCH(Drivers!$A10,DriversGams!$A$5:$A$23,0),MATCH(Drivers!AE$3,DriversGams!$A$5:$AN$5,0))</f>
        <v>221.76</v>
      </c>
      <c r="AF10" s="10">
        <f>INDEX(DriversGams!$A$5:$AN$23,MATCH(Drivers!$A10,DriversGams!$A$5:$A$23,0),MATCH(Drivers!AF$3,DriversGams!$A$5:$AN$5,0))</f>
        <v>274.19</v>
      </c>
      <c r="AG10" s="10">
        <f>INDEX(DriversGams!$A$5:$AN$23,MATCH(Drivers!$A10,DriversGams!$A$5:$A$23,0),MATCH(Drivers!AG$3,DriversGams!$A$5:$AN$5,0))</f>
        <v>337.54</v>
      </c>
      <c r="AH10" s="138"/>
      <c r="AI10" s="138"/>
      <c r="AJ10" s="138"/>
      <c r="AK10" s="138"/>
      <c r="AL10" s="138"/>
      <c r="AM10" s="138"/>
      <c r="AO10" s="4">
        <f t="shared" si="2"/>
        <v>4</v>
      </c>
    </row>
    <row r="11" spans="1:41">
      <c r="A11" s="146" t="s">
        <v>603</v>
      </c>
      <c r="B11" s="199">
        <f t="shared" si="1"/>
        <v>5</v>
      </c>
      <c r="C11" s="10">
        <f>INDEX(DriversGams!$A$5:$AN$23,MATCH(Drivers!$A11,DriversGams!$A$5:$A$23,0),MATCH(Drivers!C$3,DriversGams!$A$5:$AN$5,0))</f>
        <v>0</v>
      </c>
      <c r="D11" s="10">
        <f>INDEX(DriversGams!$A$5:$AN$23,MATCH(Drivers!$A11,DriversGams!$A$5:$A$23,0),MATCH(Drivers!D$3,DriversGams!$A$5:$AN$5,0))</f>
        <v>0</v>
      </c>
      <c r="E11" s="10">
        <f>INDEX(DriversGams!$A$5:$AN$23,MATCH(Drivers!$A11,DriversGams!$A$5:$A$23,0),MATCH(Drivers!E$3,DriversGams!$A$5:$AN$5,0))</f>
        <v>0</v>
      </c>
      <c r="F11" s="10">
        <f>INDEX(DriversGams!$A$5:$AN$23,MATCH(Drivers!$A11,DriversGams!$A$5:$A$23,0),MATCH(Drivers!F$3,DriversGams!$A$5:$AN$5,0))</f>
        <v>0</v>
      </c>
      <c r="G11" s="10">
        <f>INDEX(DriversGams!$A$5:$AN$23,MATCH(Drivers!$A11,DriversGams!$A$5:$A$23,0),MATCH(Drivers!G$3,DriversGams!$A$5:$AN$5,0))</f>
        <v>0</v>
      </c>
      <c r="H11" s="10">
        <f>INDEX(DriversGams!$A$5:$AN$23,MATCH(Drivers!$A11,DriversGams!$A$5:$A$23,0),MATCH(Drivers!H$3,DriversGams!$A$5:$AN$5,0))</f>
        <v>0</v>
      </c>
      <c r="I11" s="10">
        <f>INDEX(DriversGams!$A$5:$AN$23,MATCH(Drivers!$A11,DriversGams!$A$5:$A$23,0),MATCH(Drivers!I$3,DriversGams!$A$5:$AN$5,0))</f>
        <v>0</v>
      </c>
      <c r="J11" s="10">
        <f>INDEX(DriversGams!$A$5:$AN$23,MATCH(Drivers!$A11,DriversGams!$A$5:$A$23,0),MATCH(Drivers!J$3,DriversGams!$A$5:$AN$5,0))</f>
        <v>0</v>
      </c>
      <c r="K11" s="10">
        <f>INDEX(DriversGams!$A$5:$AN$23,MATCH(Drivers!$A11,DriversGams!$A$5:$A$23,0),MATCH(Drivers!K$3,DriversGams!$A$5:$AN$5,0))</f>
        <v>0</v>
      </c>
      <c r="L11" s="10">
        <f>INDEX(DriversGams!$A$5:$AN$23,MATCH(Drivers!$A11,DriversGams!$A$5:$A$23,0),MATCH(Drivers!L$3,DriversGams!$A$5:$AN$5,0))</f>
        <v>0</v>
      </c>
      <c r="M11" s="10">
        <f>INDEX(DriversGams!$A$5:$AN$23,MATCH(Drivers!$A11,DriversGams!$A$5:$A$23,0),MATCH(Drivers!M$3,DriversGams!$A$5:$AN$5,0))</f>
        <v>0</v>
      </c>
      <c r="N11" s="10">
        <f>INDEX(DriversGams!$A$5:$AN$23,MATCH(Drivers!$A11,DriversGams!$A$5:$A$23,0),MATCH(Drivers!N$3,DriversGams!$A$5:$AN$5,0))</f>
        <v>0</v>
      </c>
      <c r="O11" s="10">
        <f>INDEX(DriversGams!$A$5:$AN$23,MATCH(Drivers!$A11,DriversGams!$A$5:$A$23,0),MATCH(Drivers!O$3,DriversGams!$A$5:$AN$5,0))</f>
        <v>0</v>
      </c>
      <c r="P11" s="10">
        <f>INDEX(DriversGams!$A$5:$AN$23,MATCH(Drivers!$A11,DriversGams!$A$5:$A$23,0),MATCH(Drivers!P$3,DriversGams!$A$5:$AN$5,0))</f>
        <v>0</v>
      </c>
      <c r="Q11" s="10">
        <f>INDEX(DriversGams!$A$5:$AN$23,MATCH(Drivers!$A11,DriversGams!$A$5:$A$23,0),MATCH(Drivers!Q$3,DriversGams!$A$5:$AN$5,0))</f>
        <v>0</v>
      </c>
      <c r="R11" s="10">
        <f>INDEX(DriversGams!$A$5:$AN$23,MATCH(Drivers!$A11,DriversGams!$A$5:$A$23,0),MATCH(Drivers!R$3,DriversGams!$A$5:$AN$5,0))</f>
        <v>0</v>
      </c>
      <c r="S11" s="10">
        <f>INDEX(DriversGams!$A$5:$AN$23,MATCH(Drivers!$A11,DriversGams!$A$5:$A$23,0),MATCH(Drivers!S$3,DriversGams!$A$5:$AN$5,0))</f>
        <v>0</v>
      </c>
      <c r="T11" s="10">
        <f>INDEX(DriversGams!$A$5:$AN$23,MATCH(Drivers!$A11,DriversGams!$A$5:$A$23,0),MATCH(Drivers!T$3,DriversGams!$A$5:$AN$5,0))</f>
        <v>0</v>
      </c>
      <c r="U11" s="10">
        <f>INDEX(DriversGams!$A$5:$AN$23,MATCH(Drivers!$A11,DriversGams!$A$5:$A$23,0),MATCH(Drivers!U$3,DriversGams!$A$5:$AN$5,0))</f>
        <v>0</v>
      </c>
      <c r="V11" s="10">
        <f>INDEX(DriversGams!$A$5:$AN$23,MATCH(Drivers!$A11,DriversGams!$A$5:$A$23,0),MATCH(Drivers!V$3,DriversGams!$A$5:$AN$5,0))</f>
        <v>0</v>
      </c>
      <c r="W11" s="10">
        <f>INDEX(DriversGams!$A$5:$AN$23,MATCH(Drivers!$A11,DriversGams!$A$5:$A$23,0),MATCH(Drivers!W$3,DriversGams!$A$5:$AN$5,0))</f>
        <v>0</v>
      </c>
      <c r="X11" s="10">
        <f>INDEX(DriversGams!$A$5:$AN$23,MATCH(Drivers!$A11,DriversGams!$A$5:$A$23,0),MATCH(Drivers!X$3,DriversGams!$A$5:$AN$5,0))</f>
        <v>0</v>
      </c>
      <c r="Y11" s="10">
        <f>INDEX(DriversGams!$A$5:$AN$23,MATCH(Drivers!$A11,DriversGams!$A$5:$A$23,0),MATCH(Drivers!Y$3,DriversGams!$A$5:$AN$5,0))</f>
        <v>0</v>
      </c>
      <c r="Z11" s="10">
        <f>INDEX(DriversGams!$A$5:$AN$23,MATCH(Drivers!$A11,DriversGams!$A$5:$A$23,0),MATCH(Drivers!Z$3,DriversGams!$A$5:$AN$5,0))</f>
        <v>0</v>
      </c>
      <c r="AA11" s="10">
        <f>INDEX(DriversGams!$A$5:$AN$23,MATCH(Drivers!$A11,DriversGams!$A$5:$A$23,0),MATCH(Drivers!AA$3,DriversGams!$A$5:$AN$5,0))</f>
        <v>0</v>
      </c>
      <c r="AB11" s="10">
        <f>INDEX(DriversGams!$A$5:$AN$23,MATCH(Drivers!$A11,DriversGams!$A$5:$A$23,0),MATCH(Drivers!AB$3,DriversGams!$A$5:$AN$5,0))</f>
        <v>0</v>
      </c>
      <c r="AC11" s="10">
        <f>INDEX(DriversGams!$A$5:$AN$23,MATCH(Drivers!$A11,DriversGams!$A$5:$A$23,0),MATCH(Drivers!AC$3,DriversGams!$A$5:$AN$5,0))</f>
        <v>0</v>
      </c>
      <c r="AD11" s="10">
        <f>INDEX(DriversGams!$A$5:$AN$23,MATCH(Drivers!$A11,DriversGams!$A$5:$A$23,0),MATCH(Drivers!AD$3,DriversGams!$A$5:$AN$5,0))</f>
        <v>0</v>
      </c>
      <c r="AE11" s="10">
        <f>INDEX(DriversGams!$A$5:$AN$23,MATCH(Drivers!$A11,DriversGams!$A$5:$A$23,0),MATCH(Drivers!AE$3,DriversGams!$A$5:$AN$5,0))</f>
        <v>0</v>
      </c>
      <c r="AF11" s="10">
        <f>INDEX(DriversGams!$A$5:$AN$23,MATCH(Drivers!$A11,DriversGams!$A$5:$A$23,0),MATCH(Drivers!AF$3,DriversGams!$A$5:$AN$5,0))</f>
        <v>0</v>
      </c>
      <c r="AG11" s="10">
        <f>INDEX(DriversGams!$A$5:$AN$23,MATCH(Drivers!$A11,DriversGams!$A$5:$A$23,0),MATCH(Drivers!AG$3,DriversGams!$A$5:$AN$5,0))</f>
        <v>0</v>
      </c>
      <c r="AH11" s="138"/>
      <c r="AI11" s="138"/>
      <c r="AJ11" s="138"/>
      <c r="AK11" s="138"/>
      <c r="AL11" s="138"/>
      <c r="AM11" s="138"/>
      <c r="AO11" s="4">
        <f t="shared" si="2"/>
        <v>5</v>
      </c>
    </row>
    <row r="12" spans="1:41">
      <c r="A12" s="146" t="s">
        <v>388</v>
      </c>
      <c r="B12" s="199">
        <f t="shared" si="1"/>
        <v>6</v>
      </c>
      <c r="C12" s="10">
        <f>INDEX(DriversGams!$A$5:$AN$23,MATCH(Drivers!$A12,DriversGams!$A$5:$A$23,0),MATCH(Drivers!C$3,DriversGams!$A$5:$AN$5,0))</f>
        <v>13.35</v>
      </c>
      <c r="D12" s="10">
        <f>INDEX(DriversGams!$A$5:$AN$23,MATCH(Drivers!$A12,DriversGams!$A$5:$A$23,0),MATCH(Drivers!D$3,DriversGams!$A$5:$AN$5,0))</f>
        <v>13.76</v>
      </c>
      <c r="E12" s="10">
        <f>INDEX(DriversGams!$A$5:$AN$23,MATCH(Drivers!$A12,DriversGams!$A$5:$A$23,0),MATCH(Drivers!E$3,DriversGams!$A$5:$AN$5,0))</f>
        <v>14.01</v>
      </c>
      <c r="F12" s="10">
        <f>INDEX(DriversGams!$A$5:$AN$23,MATCH(Drivers!$A12,DriversGams!$A$5:$A$23,0),MATCH(Drivers!F$3,DriversGams!$A$5:$AN$5,0))</f>
        <v>14.36</v>
      </c>
      <c r="G12" s="10">
        <f>INDEX(DriversGams!$A$5:$AN$23,MATCH(Drivers!$A12,DriversGams!$A$5:$A$23,0),MATCH(Drivers!G$3,DriversGams!$A$5:$AN$5,0))</f>
        <v>14.42</v>
      </c>
      <c r="H12" s="10">
        <f>INDEX(DriversGams!$A$5:$AN$23,MATCH(Drivers!$A12,DriversGams!$A$5:$A$23,0),MATCH(Drivers!H$3,DriversGams!$A$5:$AN$5,0))</f>
        <v>14.53</v>
      </c>
      <c r="I12" s="10">
        <f>INDEX(DriversGams!$A$5:$AN$23,MATCH(Drivers!$A12,DriversGams!$A$5:$A$23,0),MATCH(Drivers!I$3,DriversGams!$A$5:$AN$5,0))</f>
        <v>14.55</v>
      </c>
      <c r="J12" s="10">
        <f>INDEX(DriversGams!$A$5:$AN$23,MATCH(Drivers!$A12,DriversGams!$A$5:$A$23,0),MATCH(Drivers!J$3,DriversGams!$A$5:$AN$5,0))</f>
        <v>14.49</v>
      </c>
      <c r="K12" s="10">
        <f>INDEX(DriversGams!$A$5:$AN$23,MATCH(Drivers!$A12,DriversGams!$A$5:$A$23,0),MATCH(Drivers!K$3,DriversGams!$A$5:$AN$5,0))</f>
        <v>12.76</v>
      </c>
      <c r="L12" s="10">
        <f>INDEX(DriversGams!$A$5:$AN$23,MATCH(Drivers!$A12,DriversGams!$A$5:$A$23,0),MATCH(Drivers!L$3,DriversGams!$A$5:$AN$5,0))</f>
        <v>13.3</v>
      </c>
      <c r="M12" s="10">
        <f>INDEX(DriversGams!$A$5:$AN$23,MATCH(Drivers!$A12,DriversGams!$A$5:$A$23,0),MATCH(Drivers!M$3,DriversGams!$A$5:$AN$5,0))</f>
        <v>13.7</v>
      </c>
      <c r="N12" s="10">
        <f>INDEX(DriversGams!$A$5:$AN$23,MATCH(Drivers!$A12,DriversGams!$A$5:$A$23,0),MATCH(Drivers!N$3,DriversGams!$A$5:$AN$5,0))</f>
        <v>14.11</v>
      </c>
      <c r="O12" s="10">
        <f>INDEX(DriversGams!$A$5:$AN$23,MATCH(Drivers!$A12,DriversGams!$A$5:$A$23,0),MATCH(Drivers!O$3,DriversGams!$A$5:$AN$5,0))</f>
        <v>14.59</v>
      </c>
      <c r="P12" s="10">
        <f>INDEX(DriversGams!$A$5:$AN$23,MATCH(Drivers!$A12,DriversGams!$A$5:$A$23,0),MATCH(Drivers!P$3,DriversGams!$A$5:$AN$5,0))</f>
        <v>15.11</v>
      </c>
      <c r="Q12" s="10">
        <f>INDEX(DriversGams!$A$5:$AN$23,MATCH(Drivers!$A12,DriversGams!$A$5:$A$23,0),MATCH(Drivers!Q$3,DriversGams!$A$5:$AN$5,0))</f>
        <v>15.67</v>
      </c>
      <c r="R12" s="10">
        <f>INDEX(DriversGams!$A$5:$AN$23,MATCH(Drivers!$A12,DriversGams!$A$5:$A$23,0),MATCH(Drivers!R$3,DriversGams!$A$5:$AN$5,0))</f>
        <v>16.27</v>
      </c>
      <c r="S12" s="10">
        <f>INDEX(DriversGams!$A$5:$AN$23,MATCH(Drivers!$A12,DriversGams!$A$5:$A$23,0),MATCH(Drivers!S$3,DriversGams!$A$5:$AN$5,0))</f>
        <v>16.899999999999999</v>
      </c>
      <c r="T12" s="10">
        <f>INDEX(DriversGams!$A$5:$AN$23,MATCH(Drivers!$A12,DriversGams!$A$5:$A$23,0),MATCH(Drivers!T$3,DriversGams!$A$5:$AN$5,0))</f>
        <v>17.61</v>
      </c>
      <c r="U12" s="10">
        <f>INDEX(DriversGams!$A$5:$AN$23,MATCH(Drivers!$A12,DriversGams!$A$5:$A$23,0),MATCH(Drivers!U$3,DriversGams!$A$5:$AN$5,0))</f>
        <v>18.34</v>
      </c>
      <c r="V12" s="10">
        <f>INDEX(DriversGams!$A$5:$AN$23,MATCH(Drivers!$A12,DriversGams!$A$5:$A$23,0),MATCH(Drivers!V$3,DriversGams!$A$5:$AN$5,0))</f>
        <v>19.02</v>
      </c>
      <c r="W12" s="10">
        <f>INDEX(DriversGams!$A$5:$AN$23,MATCH(Drivers!$A12,DriversGams!$A$5:$A$23,0),MATCH(Drivers!W$3,DriversGams!$A$5:$AN$5,0))</f>
        <v>19.72</v>
      </c>
      <c r="X12" s="10">
        <f>INDEX(DriversGams!$A$5:$AN$23,MATCH(Drivers!$A12,DriversGams!$A$5:$A$23,0),MATCH(Drivers!X$3,DriversGams!$A$5:$AN$5,0))</f>
        <v>20.45</v>
      </c>
      <c r="Y12" s="10">
        <f>INDEX(DriversGams!$A$5:$AN$23,MATCH(Drivers!$A12,DriversGams!$A$5:$A$23,0),MATCH(Drivers!Y$3,DriversGams!$A$5:$AN$5,0))</f>
        <v>21.19</v>
      </c>
      <c r="Z12" s="10">
        <f>INDEX(DriversGams!$A$5:$AN$23,MATCH(Drivers!$A12,DriversGams!$A$5:$A$23,0),MATCH(Drivers!Z$3,DriversGams!$A$5:$AN$5,0))</f>
        <v>21.89</v>
      </c>
      <c r="AA12" s="10">
        <f>INDEX(DriversGams!$A$5:$AN$23,MATCH(Drivers!$A12,DriversGams!$A$5:$A$23,0),MATCH(Drivers!AA$3,DriversGams!$A$5:$AN$5,0))</f>
        <v>22.58</v>
      </c>
      <c r="AB12" s="10">
        <f>INDEX(DriversGams!$A$5:$AN$23,MATCH(Drivers!$A12,DriversGams!$A$5:$A$23,0),MATCH(Drivers!AB$3,DriversGams!$A$5:$AN$5,0))</f>
        <v>23.26</v>
      </c>
      <c r="AC12" s="10">
        <f>INDEX(DriversGams!$A$5:$AN$23,MATCH(Drivers!$A12,DriversGams!$A$5:$A$23,0),MATCH(Drivers!AC$3,DriversGams!$A$5:$AN$5,0))</f>
        <v>24.08</v>
      </c>
      <c r="AD12" s="10">
        <f>INDEX(DriversGams!$A$5:$AN$23,MATCH(Drivers!$A12,DriversGams!$A$5:$A$23,0),MATCH(Drivers!AD$3,DriversGams!$A$5:$AN$5,0))</f>
        <v>24.94</v>
      </c>
      <c r="AE12" s="10">
        <f>INDEX(DriversGams!$A$5:$AN$23,MATCH(Drivers!$A12,DriversGams!$A$5:$A$23,0),MATCH(Drivers!AE$3,DriversGams!$A$5:$AN$5,0))</f>
        <v>25.83</v>
      </c>
      <c r="AF12" s="10">
        <f>INDEX(DriversGams!$A$5:$AN$23,MATCH(Drivers!$A12,DriversGams!$A$5:$A$23,0),MATCH(Drivers!AF$3,DriversGams!$A$5:$AN$5,0))</f>
        <v>32.130000000000003</v>
      </c>
      <c r="AG12" s="10">
        <f>INDEX(DriversGams!$A$5:$AN$23,MATCH(Drivers!$A12,DriversGams!$A$5:$A$23,0),MATCH(Drivers!AG$3,DriversGams!$A$5:$AN$5,0))</f>
        <v>40.78</v>
      </c>
      <c r="AH12" s="138"/>
      <c r="AI12" s="138"/>
      <c r="AJ12" s="138"/>
      <c r="AK12" s="138"/>
      <c r="AL12" s="138"/>
      <c r="AM12" s="138"/>
      <c r="AO12" s="4">
        <f t="shared" si="2"/>
        <v>6</v>
      </c>
    </row>
    <row r="13" spans="1:41">
      <c r="A13" s="146" t="s">
        <v>387</v>
      </c>
      <c r="B13" s="199">
        <f t="shared" si="1"/>
        <v>7</v>
      </c>
      <c r="C13" s="10">
        <f>INDEX(DriversGams!$A$5:$AN$23,MATCH(Drivers!$A13,DriversGams!$A$5:$A$23,0),MATCH(Drivers!C$3,DriversGams!$A$5:$AN$5,0))</f>
        <v>205.45</v>
      </c>
      <c r="D13" s="10">
        <f>INDEX(DriversGams!$A$5:$AN$23,MATCH(Drivers!$A13,DriversGams!$A$5:$A$23,0),MATCH(Drivers!D$3,DriversGams!$A$5:$AN$5,0))</f>
        <v>210.75</v>
      </c>
      <c r="E13" s="10">
        <f>INDEX(DriversGams!$A$5:$AN$23,MATCH(Drivers!$A13,DriversGams!$A$5:$A$23,0),MATCH(Drivers!E$3,DriversGams!$A$5:$AN$5,0))</f>
        <v>211.85</v>
      </c>
      <c r="F13" s="10">
        <f>INDEX(DriversGams!$A$5:$AN$23,MATCH(Drivers!$A13,DriversGams!$A$5:$A$23,0),MATCH(Drivers!F$3,DriversGams!$A$5:$AN$5,0))</f>
        <v>218.73</v>
      </c>
      <c r="G13" s="10">
        <f>INDEX(DriversGams!$A$5:$AN$23,MATCH(Drivers!$A13,DriversGams!$A$5:$A$23,0),MATCH(Drivers!G$3,DriversGams!$A$5:$AN$5,0))</f>
        <v>215.69</v>
      </c>
      <c r="H13" s="10">
        <f>INDEX(DriversGams!$A$5:$AN$23,MATCH(Drivers!$A13,DriversGams!$A$5:$A$23,0),MATCH(Drivers!H$3,DriversGams!$A$5:$AN$5,0))</f>
        <v>222.46</v>
      </c>
      <c r="I13" s="10">
        <f>INDEX(DriversGams!$A$5:$AN$23,MATCH(Drivers!$A13,DriversGams!$A$5:$A$23,0),MATCH(Drivers!I$3,DriversGams!$A$5:$AN$5,0))</f>
        <v>221.28</v>
      </c>
      <c r="J13" s="10">
        <f>INDEX(DriversGams!$A$5:$AN$23,MATCH(Drivers!$A13,DriversGams!$A$5:$A$23,0),MATCH(Drivers!J$3,DriversGams!$A$5:$AN$5,0))</f>
        <v>219.02</v>
      </c>
      <c r="K13" s="10">
        <f>INDEX(DriversGams!$A$5:$AN$23,MATCH(Drivers!$A13,DriversGams!$A$5:$A$23,0),MATCH(Drivers!K$3,DriversGams!$A$5:$AN$5,0))</f>
        <v>202.16</v>
      </c>
      <c r="L13" s="10">
        <f>INDEX(DriversGams!$A$5:$AN$23,MATCH(Drivers!$A13,DriversGams!$A$5:$A$23,0),MATCH(Drivers!L$3,DriversGams!$A$5:$AN$5,0))</f>
        <v>207.63</v>
      </c>
      <c r="M13" s="10">
        <f>INDEX(DriversGams!$A$5:$AN$23,MATCH(Drivers!$A13,DriversGams!$A$5:$A$23,0),MATCH(Drivers!M$3,DriversGams!$A$5:$AN$5,0))</f>
        <v>212.19</v>
      </c>
      <c r="N13" s="10">
        <f>INDEX(DriversGams!$A$5:$AN$23,MATCH(Drivers!$A13,DriversGams!$A$5:$A$23,0),MATCH(Drivers!N$3,DriversGams!$A$5:$AN$5,0))</f>
        <v>217.01</v>
      </c>
      <c r="O13" s="10">
        <f>INDEX(DriversGams!$A$5:$AN$23,MATCH(Drivers!$A13,DriversGams!$A$5:$A$23,0),MATCH(Drivers!O$3,DriversGams!$A$5:$AN$5,0))</f>
        <v>222.76</v>
      </c>
      <c r="P13" s="10">
        <f>INDEX(DriversGams!$A$5:$AN$23,MATCH(Drivers!$A13,DriversGams!$A$5:$A$23,0),MATCH(Drivers!P$3,DriversGams!$A$5:$AN$5,0))</f>
        <v>229</v>
      </c>
      <c r="Q13" s="10">
        <f>INDEX(DriversGams!$A$5:$AN$23,MATCH(Drivers!$A13,DriversGams!$A$5:$A$23,0),MATCH(Drivers!Q$3,DriversGams!$A$5:$AN$5,0))</f>
        <v>236.39</v>
      </c>
      <c r="R13" s="10">
        <f>INDEX(DriversGams!$A$5:$AN$23,MATCH(Drivers!$A13,DriversGams!$A$5:$A$23,0),MATCH(Drivers!R$3,DriversGams!$A$5:$AN$5,0))</f>
        <v>244.65</v>
      </c>
      <c r="S13" s="10">
        <f>INDEX(DriversGams!$A$5:$AN$23,MATCH(Drivers!$A13,DriversGams!$A$5:$A$23,0),MATCH(Drivers!S$3,DriversGams!$A$5:$AN$5,0))</f>
        <v>253.78</v>
      </c>
      <c r="T13" s="10">
        <f>INDEX(DriversGams!$A$5:$AN$23,MATCH(Drivers!$A13,DriversGams!$A$5:$A$23,0),MATCH(Drivers!T$3,DriversGams!$A$5:$AN$5,0))</f>
        <v>263.83</v>
      </c>
      <c r="U13" s="10">
        <f>INDEX(DriversGams!$A$5:$AN$23,MATCH(Drivers!$A13,DriversGams!$A$5:$A$23,0),MATCH(Drivers!U$3,DriversGams!$A$5:$AN$5,0))</f>
        <v>274.29000000000002</v>
      </c>
      <c r="V13" s="10">
        <f>INDEX(DriversGams!$A$5:$AN$23,MATCH(Drivers!$A13,DriversGams!$A$5:$A$23,0),MATCH(Drivers!V$3,DriversGams!$A$5:$AN$5,0))</f>
        <v>284.43</v>
      </c>
      <c r="W13" s="10">
        <f>INDEX(DriversGams!$A$5:$AN$23,MATCH(Drivers!$A13,DriversGams!$A$5:$A$23,0),MATCH(Drivers!W$3,DriversGams!$A$5:$AN$5,0))</f>
        <v>295.33999999999997</v>
      </c>
      <c r="X13" s="10">
        <f>INDEX(DriversGams!$A$5:$AN$23,MATCH(Drivers!$A13,DriversGams!$A$5:$A$23,0),MATCH(Drivers!X$3,DriversGams!$A$5:$AN$5,0))</f>
        <v>306.58</v>
      </c>
      <c r="Y13" s="10">
        <f>INDEX(DriversGams!$A$5:$AN$23,MATCH(Drivers!$A13,DriversGams!$A$5:$A$23,0),MATCH(Drivers!Y$3,DriversGams!$A$5:$AN$5,0))</f>
        <v>318.20999999999998</v>
      </c>
      <c r="Z13" s="10">
        <f>INDEX(DriversGams!$A$5:$AN$23,MATCH(Drivers!$A13,DriversGams!$A$5:$A$23,0),MATCH(Drivers!Z$3,DriversGams!$A$5:$AN$5,0))</f>
        <v>329.72</v>
      </c>
      <c r="AA13" s="10">
        <f>INDEX(DriversGams!$A$5:$AN$23,MATCH(Drivers!$A13,DriversGams!$A$5:$A$23,0),MATCH(Drivers!AA$3,DriversGams!$A$5:$AN$5,0))</f>
        <v>340.93</v>
      </c>
      <c r="AB13" s="10">
        <f>INDEX(DriversGams!$A$5:$AN$23,MATCH(Drivers!$A13,DriversGams!$A$5:$A$23,0),MATCH(Drivers!AB$3,DriversGams!$A$5:$AN$5,0))</f>
        <v>352.48</v>
      </c>
      <c r="AC13" s="10">
        <f>INDEX(DriversGams!$A$5:$AN$23,MATCH(Drivers!$A13,DriversGams!$A$5:$A$23,0),MATCH(Drivers!AC$3,DriversGams!$A$5:$AN$5,0))</f>
        <v>365.68</v>
      </c>
      <c r="AD13" s="10">
        <f>INDEX(DriversGams!$A$5:$AN$23,MATCH(Drivers!$A13,DriversGams!$A$5:$A$23,0),MATCH(Drivers!AD$3,DriversGams!$A$5:$AN$5,0))</f>
        <v>379.82</v>
      </c>
      <c r="AE13" s="10">
        <f>INDEX(DriversGams!$A$5:$AN$23,MATCH(Drivers!$A13,DriversGams!$A$5:$A$23,0),MATCH(Drivers!AE$3,DriversGams!$A$5:$AN$5,0))</f>
        <v>394.64</v>
      </c>
      <c r="AF13" s="10">
        <f>INDEX(DriversGams!$A$5:$AN$23,MATCH(Drivers!$A13,DriversGams!$A$5:$A$23,0),MATCH(Drivers!AF$3,DriversGams!$A$5:$AN$5,0))</f>
        <v>490.61</v>
      </c>
      <c r="AG13" s="10">
        <f>INDEX(DriversGams!$A$5:$AN$23,MATCH(Drivers!$A13,DriversGams!$A$5:$A$23,0),MATCH(Drivers!AG$3,DriversGams!$A$5:$AN$5,0))</f>
        <v>627.37</v>
      </c>
      <c r="AH13" s="138"/>
      <c r="AI13" s="138"/>
      <c r="AJ13" s="138"/>
      <c r="AK13" s="138"/>
      <c r="AL13" s="138"/>
      <c r="AM13" s="138"/>
      <c r="AO13" s="4">
        <f t="shared" si="2"/>
        <v>7</v>
      </c>
    </row>
    <row r="14" spans="1:41">
      <c r="A14" s="146" t="s">
        <v>528</v>
      </c>
      <c r="B14" s="199">
        <f t="shared" si="1"/>
        <v>8</v>
      </c>
      <c r="C14" s="10">
        <f>INDEX(DriversGams!$A$5:$AN$23,MATCH(Drivers!$A14,DriversGams!$A$5:$A$23,0),MATCH(Drivers!C$3,DriversGams!$A$5:$AN$5,0))</f>
        <v>10.11</v>
      </c>
      <c r="D14" s="10">
        <f>INDEX(DriversGams!$A$5:$AN$23,MATCH(Drivers!$A14,DriversGams!$A$5:$A$23,0),MATCH(Drivers!D$3,DriversGams!$A$5:$AN$5,0))</f>
        <v>8.57</v>
      </c>
      <c r="E14" s="10">
        <f>INDEX(DriversGams!$A$5:$AN$23,MATCH(Drivers!$A14,DriversGams!$A$5:$A$23,0),MATCH(Drivers!E$3,DriversGams!$A$5:$AN$5,0))</f>
        <v>7.79</v>
      </c>
      <c r="F14" s="10">
        <f>INDEX(DriversGams!$A$5:$AN$23,MATCH(Drivers!$A14,DriversGams!$A$5:$A$23,0),MATCH(Drivers!F$3,DriversGams!$A$5:$AN$5,0))</f>
        <v>7.87</v>
      </c>
      <c r="G14" s="10">
        <f>INDEX(DriversGams!$A$5:$AN$23,MATCH(Drivers!$A14,DriversGams!$A$5:$A$23,0),MATCH(Drivers!G$3,DriversGams!$A$5:$AN$5,0))</f>
        <v>7.63</v>
      </c>
      <c r="H14" s="10">
        <f>INDEX(DriversGams!$A$5:$AN$23,MATCH(Drivers!$A14,DriversGams!$A$5:$A$23,0),MATCH(Drivers!H$3,DriversGams!$A$5:$AN$5,0))</f>
        <v>7.31</v>
      </c>
      <c r="I14" s="10">
        <f>INDEX(DriversGams!$A$5:$AN$23,MATCH(Drivers!$A14,DriversGams!$A$5:$A$23,0),MATCH(Drivers!I$3,DriversGams!$A$5:$AN$5,0))</f>
        <v>7.14</v>
      </c>
      <c r="J14" s="10">
        <f>INDEX(DriversGams!$A$5:$AN$23,MATCH(Drivers!$A14,DriversGams!$A$5:$A$23,0),MATCH(Drivers!J$3,DriversGams!$A$5:$AN$5,0))</f>
        <v>6.85</v>
      </c>
      <c r="K14" s="10">
        <f>INDEX(DriversGams!$A$5:$AN$23,MATCH(Drivers!$A14,DriversGams!$A$5:$A$23,0),MATCH(Drivers!K$3,DriversGams!$A$5:$AN$5,0))</f>
        <v>5.64</v>
      </c>
      <c r="L14" s="10">
        <f>INDEX(DriversGams!$A$5:$AN$23,MATCH(Drivers!$A14,DriversGams!$A$5:$A$23,0),MATCH(Drivers!L$3,DriversGams!$A$5:$AN$5,0))</f>
        <v>5.89</v>
      </c>
      <c r="M14" s="10">
        <f>INDEX(DriversGams!$A$5:$AN$23,MATCH(Drivers!$A14,DriversGams!$A$5:$A$23,0),MATCH(Drivers!M$3,DriversGams!$A$5:$AN$5,0))</f>
        <v>6</v>
      </c>
      <c r="N14" s="10">
        <f>INDEX(DriversGams!$A$5:$AN$23,MATCH(Drivers!$A14,DriversGams!$A$5:$A$23,0),MATCH(Drivers!N$3,DriversGams!$A$5:$AN$5,0))</f>
        <v>6.11</v>
      </c>
      <c r="O14" s="10">
        <f>INDEX(DriversGams!$A$5:$AN$23,MATCH(Drivers!$A14,DriversGams!$A$5:$A$23,0),MATCH(Drivers!O$3,DriversGams!$A$5:$AN$5,0))</f>
        <v>6.29</v>
      </c>
      <c r="P14" s="10">
        <f>INDEX(DriversGams!$A$5:$AN$23,MATCH(Drivers!$A14,DriversGams!$A$5:$A$23,0),MATCH(Drivers!P$3,DriversGams!$A$5:$AN$5,0))</f>
        <v>6.51</v>
      </c>
      <c r="Q14" s="10">
        <f>INDEX(DriversGams!$A$5:$AN$23,MATCH(Drivers!$A14,DriversGams!$A$5:$A$23,0),MATCH(Drivers!Q$3,DriversGams!$A$5:$AN$5,0))</f>
        <v>6.75</v>
      </c>
      <c r="R14" s="10">
        <f>INDEX(DriversGams!$A$5:$AN$23,MATCH(Drivers!$A14,DriversGams!$A$5:$A$23,0),MATCH(Drivers!R$3,DriversGams!$A$5:$AN$5,0))</f>
        <v>7.02</v>
      </c>
      <c r="S14" s="10">
        <f>INDEX(DriversGams!$A$5:$AN$23,MATCH(Drivers!$A14,DriversGams!$A$5:$A$23,0),MATCH(Drivers!S$3,DriversGams!$A$5:$AN$5,0))</f>
        <v>7.3</v>
      </c>
      <c r="T14" s="10">
        <f>INDEX(DriversGams!$A$5:$AN$23,MATCH(Drivers!$A14,DriversGams!$A$5:$A$23,0),MATCH(Drivers!T$3,DriversGams!$A$5:$AN$5,0))</f>
        <v>7.64</v>
      </c>
      <c r="U14" s="10">
        <f>INDEX(DriversGams!$A$5:$AN$23,MATCH(Drivers!$A14,DriversGams!$A$5:$A$23,0),MATCH(Drivers!U$3,DriversGams!$A$5:$AN$5,0))</f>
        <v>8.02</v>
      </c>
      <c r="V14" s="10">
        <f>INDEX(DriversGams!$A$5:$AN$23,MATCH(Drivers!$A14,DriversGams!$A$5:$A$23,0),MATCH(Drivers!V$3,DriversGams!$A$5:$AN$5,0))</f>
        <v>8.36</v>
      </c>
      <c r="W14" s="10">
        <f>INDEX(DriversGams!$A$5:$AN$23,MATCH(Drivers!$A14,DriversGams!$A$5:$A$23,0),MATCH(Drivers!W$3,DriversGams!$A$5:$AN$5,0))</f>
        <v>8.69</v>
      </c>
      <c r="X14" s="10">
        <f>INDEX(DriversGams!$A$5:$AN$23,MATCH(Drivers!$A14,DriversGams!$A$5:$A$23,0),MATCH(Drivers!X$3,DriversGams!$A$5:$AN$5,0))</f>
        <v>8.9700000000000006</v>
      </c>
      <c r="Y14" s="10">
        <f>INDEX(DriversGams!$A$5:$AN$23,MATCH(Drivers!$A14,DriversGams!$A$5:$A$23,0),MATCH(Drivers!Y$3,DriversGams!$A$5:$AN$5,0))</f>
        <v>9.2200000000000006</v>
      </c>
      <c r="Z14" s="10">
        <f>INDEX(DriversGams!$A$5:$AN$23,MATCH(Drivers!$A14,DriversGams!$A$5:$A$23,0),MATCH(Drivers!Z$3,DriversGams!$A$5:$AN$5,0))</f>
        <v>9.43</v>
      </c>
      <c r="AA14" s="10">
        <f>INDEX(DriversGams!$A$5:$AN$23,MATCH(Drivers!$A14,DriversGams!$A$5:$A$23,0),MATCH(Drivers!AA$3,DriversGams!$A$5:$AN$5,0))</f>
        <v>9.59</v>
      </c>
      <c r="AB14" s="10">
        <f>INDEX(DriversGams!$A$5:$AN$23,MATCH(Drivers!$A14,DriversGams!$A$5:$A$23,0),MATCH(Drivers!AB$3,DriversGams!$A$5:$AN$5,0))</f>
        <v>9.7200000000000006</v>
      </c>
      <c r="AC14" s="10">
        <f>INDEX(DriversGams!$A$5:$AN$23,MATCH(Drivers!$A14,DriversGams!$A$5:$A$23,0),MATCH(Drivers!AC$3,DriversGams!$A$5:$AN$5,0))</f>
        <v>9.82</v>
      </c>
      <c r="AD14" s="10">
        <f>INDEX(DriversGams!$A$5:$AN$23,MATCH(Drivers!$A14,DriversGams!$A$5:$A$23,0),MATCH(Drivers!AD$3,DriversGams!$A$5:$AN$5,0))</f>
        <v>9.93</v>
      </c>
      <c r="AE14" s="10">
        <f>INDEX(DriversGams!$A$5:$AN$23,MATCH(Drivers!$A14,DriversGams!$A$5:$A$23,0),MATCH(Drivers!AE$3,DriversGams!$A$5:$AN$5,0))</f>
        <v>10.039999999999999</v>
      </c>
      <c r="AF14" s="10">
        <f>INDEX(DriversGams!$A$5:$AN$23,MATCH(Drivers!$A14,DriversGams!$A$5:$A$23,0),MATCH(Drivers!AF$3,DriversGams!$A$5:$AN$5,0))</f>
        <v>11.66</v>
      </c>
      <c r="AG14" s="10">
        <f>INDEX(DriversGams!$A$5:$AN$23,MATCH(Drivers!$A14,DriversGams!$A$5:$A$23,0),MATCH(Drivers!AG$3,DriversGams!$A$5:$AN$5,0))</f>
        <v>14.85</v>
      </c>
      <c r="AH14" s="138"/>
      <c r="AI14" s="138"/>
      <c r="AJ14" s="138"/>
      <c r="AK14" s="138"/>
      <c r="AL14" s="138"/>
      <c r="AM14" s="138"/>
      <c r="AO14" s="4">
        <f t="shared" si="2"/>
        <v>8</v>
      </c>
    </row>
    <row r="15" spans="1:41">
      <c r="A15" s="146" t="s">
        <v>527</v>
      </c>
      <c r="B15" s="199">
        <f t="shared" si="1"/>
        <v>9</v>
      </c>
      <c r="C15" s="10">
        <f>INDEX(DriversGams!$A$5:$AN$23,MATCH(Drivers!$A15,DriversGams!$A$5:$A$23,0),MATCH(Drivers!C$3,DriversGams!$A$5:$AN$5,0))</f>
        <v>14.11</v>
      </c>
      <c r="D15" s="10">
        <f>INDEX(DriversGams!$A$5:$AN$23,MATCH(Drivers!$A15,DriversGams!$A$5:$A$23,0),MATCH(Drivers!D$3,DriversGams!$A$5:$AN$5,0))</f>
        <v>14.52</v>
      </c>
      <c r="E15" s="10">
        <f>INDEX(DriversGams!$A$5:$AN$23,MATCH(Drivers!$A15,DriversGams!$A$5:$A$23,0),MATCH(Drivers!E$3,DriversGams!$A$5:$AN$5,0))</f>
        <v>14.78</v>
      </c>
      <c r="F15" s="10">
        <f>INDEX(DriversGams!$A$5:$AN$23,MATCH(Drivers!$A15,DriversGams!$A$5:$A$23,0),MATCH(Drivers!F$3,DriversGams!$A$5:$AN$5,0))</f>
        <v>15.04</v>
      </c>
      <c r="G15" s="10">
        <f>INDEX(DriversGams!$A$5:$AN$23,MATCH(Drivers!$A15,DriversGams!$A$5:$A$23,0),MATCH(Drivers!G$3,DriversGams!$A$5:$AN$5,0))</f>
        <v>15.24</v>
      </c>
      <c r="H15" s="10">
        <f>INDEX(DriversGams!$A$5:$AN$23,MATCH(Drivers!$A15,DriversGams!$A$5:$A$23,0),MATCH(Drivers!H$3,DriversGams!$A$5:$AN$5,0))</f>
        <v>15.41</v>
      </c>
      <c r="I15" s="10">
        <f>INDEX(DriversGams!$A$5:$AN$23,MATCH(Drivers!$A15,DriversGams!$A$5:$A$23,0),MATCH(Drivers!I$3,DriversGams!$A$5:$AN$5,0))</f>
        <v>15.66</v>
      </c>
      <c r="J15" s="10">
        <f>INDEX(DriversGams!$A$5:$AN$23,MATCH(Drivers!$A15,DriversGams!$A$5:$A$23,0),MATCH(Drivers!J$3,DriversGams!$A$5:$AN$5,0))</f>
        <v>15.81</v>
      </c>
      <c r="K15" s="10">
        <f>INDEX(DriversGams!$A$5:$AN$23,MATCH(Drivers!$A15,DriversGams!$A$5:$A$23,0),MATCH(Drivers!K$3,DriversGams!$A$5:$AN$5,0))</f>
        <v>14.58</v>
      </c>
      <c r="L15" s="10">
        <f>INDEX(DriversGams!$A$5:$AN$23,MATCH(Drivers!$A15,DriversGams!$A$5:$A$23,0),MATCH(Drivers!L$3,DriversGams!$A$5:$AN$5,0))</f>
        <v>15.21</v>
      </c>
      <c r="M15" s="10">
        <f>INDEX(DriversGams!$A$5:$AN$23,MATCH(Drivers!$A15,DriversGams!$A$5:$A$23,0),MATCH(Drivers!M$3,DriversGams!$A$5:$AN$5,0))</f>
        <v>15.77</v>
      </c>
      <c r="N15" s="10">
        <f>INDEX(DriversGams!$A$5:$AN$23,MATCH(Drivers!$A15,DriversGams!$A$5:$A$23,0),MATCH(Drivers!N$3,DriversGams!$A$5:$AN$5,0))</f>
        <v>16.38</v>
      </c>
      <c r="O15" s="10">
        <f>INDEX(DriversGams!$A$5:$AN$23,MATCH(Drivers!$A15,DriversGams!$A$5:$A$23,0),MATCH(Drivers!O$3,DriversGams!$A$5:$AN$5,0))</f>
        <v>17.07</v>
      </c>
      <c r="P15" s="10">
        <f>INDEX(DriversGams!$A$5:$AN$23,MATCH(Drivers!$A15,DriversGams!$A$5:$A$23,0),MATCH(Drivers!P$3,DriversGams!$A$5:$AN$5,0))</f>
        <v>17.809999999999999</v>
      </c>
      <c r="Q15" s="10">
        <f>INDEX(DriversGams!$A$5:$AN$23,MATCH(Drivers!$A15,DriversGams!$A$5:$A$23,0),MATCH(Drivers!Q$3,DriversGams!$A$5:$AN$5,0))</f>
        <v>18.64</v>
      </c>
      <c r="R15" s="10">
        <f>INDEX(DriversGams!$A$5:$AN$23,MATCH(Drivers!$A15,DriversGams!$A$5:$A$23,0),MATCH(Drivers!R$3,DriversGams!$A$5:$AN$5,0))</f>
        <v>19.53</v>
      </c>
      <c r="S15" s="10">
        <f>INDEX(DriversGams!$A$5:$AN$23,MATCH(Drivers!$A15,DriversGams!$A$5:$A$23,0),MATCH(Drivers!S$3,DriversGams!$A$5:$AN$5,0))</f>
        <v>20.48</v>
      </c>
      <c r="T15" s="10">
        <f>INDEX(DriversGams!$A$5:$AN$23,MATCH(Drivers!$A15,DriversGams!$A$5:$A$23,0),MATCH(Drivers!T$3,DriversGams!$A$5:$AN$5,0))</f>
        <v>21.56</v>
      </c>
      <c r="U15" s="10">
        <f>INDEX(DriversGams!$A$5:$AN$23,MATCH(Drivers!$A15,DriversGams!$A$5:$A$23,0),MATCH(Drivers!U$3,DriversGams!$A$5:$AN$5,0))</f>
        <v>22.7</v>
      </c>
      <c r="V15" s="10">
        <f>INDEX(DriversGams!$A$5:$AN$23,MATCH(Drivers!$A15,DriversGams!$A$5:$A$23,0),MATCH(Drivers!V$3,DriversGams!$A$5:$AN$5,0))</f>
        <v>23.86</v>
      </c>
      <c r="W15" s="10">
        <f>INDEX(DriversGams!$A$5:$AN$23,MATCH(Drivers!$A15,DriversGams!$A$5:$A$23,0),MATCH(Drivers!W$3,DriversGams!$A$5:$AN$5,0))</f>
        <v>25.08</v>
      </c>
      <c r="X15" s="10">
        <f>INDEX(DriversGams!$A$5:$AN$23,MATCH(Drivers!$A15,DriversGams!$A$5:$A$23,0),MATCH(Drivers!X$3,DriversGams!$A$5:$AN$5,0))</f>
        <v>26.38</v>
      </c>
      <c r="Y15" s="10">
        <f>INDEX(DriversGams!$A$5:$AN$23,MATCH(Drivers!$A15,DriversGams!$A$5:$A$23,0),MATCH(Drivers!Y$3,DriversGams!$A$5:$AN$5,0))</f>
        <v>27.75</v>
      </c>
      <c r="Z15" s="10">
        <f>INDEX(DriversGams!$A$5:$AN$23,MATCH(Drivers!$A15,DriversGams!$A$5:$A$23,0),MATCH(Drivers!Z$3,DriversGams!$A$5:$AN$5,0))</f>
        <v>29.12</v>
      </c>
      <c r="AA15" s="10">
        <f>INDEX(DriversGams!$A$5:$AN$23,MATCH(Drivers!$A15,DriversGams!$A$5:$A$23,0),MATCH(Drivers!AA$3,DriversGams!$A$5:$AN$5,0))</f>
        <v>30.54</v>
      </c>
      <c r="AB15" s="10">
        <f>INDEX(DriversGams!$A$5:$AN$23,MATCH(Drivers!$A15,DriversGams!$A$5:$A$23,0),MATCH(Drivers!AB$3,DriversGams!$A$5:$AN$5,0))</f>
        <v>32.14</v>
      </c>
      <c r="AC15" s="10">
        <f>INDEX(DriversGams!$A$5:$AN$23,MATCH(Drivers!$A15,DriversGams!$A$5:$A$23,0),MATCH(Drivers!AC$3,DriversGams!$A$5:$AN$5,0))</f>
        <v>33.81</v>
      </c>
      <c r="AD15" s="10">
        <f>INDEX(DriversGams!$A$5:$AN$23,MATCH(Drivers!$A15,DriversGams!$A$5:$A$23,0),MATCH(Drivers!AD$3,DriversGams!$A$5:$AN$5,0))</f>
        <v>35.56</v>
      </c>
      <c r="AE15" s="10">
        <f>INDEX(DriversGams!$A$5:$AN$23,MATCH(Drivers!$A15,DriversGams!$A$5:$A$23,0),MATCH(Drivers!AE$3,DriversGams!$A$5:$AN$5,0))</f>
        <v>37.380000000000003</v>
      </c>
      <c r="AF15" s="10">
        <f>INDEX(DriversGams!$A$5:$AN$23,MATCH(Drivers!$A15,DriversGams!$A$5:$A$23,0),MATCH(Drivers!AF$3,DriversGams!$A$5:$AN$5,0))</f>
        <v>48.2</v>
      </c>
      <c r="AG15" s="10">
        <f>INDEX(DriversGams!$A$5:$AN$23,MATCH(Drivers!$A15,DriversGams!$A$5:$A$23,0),MATCH(Drivers!AG$3,DriversGams!$A$5:$AN$5,0))</f>
        <v>61.69</v>
      </c>
      <c r="AH15" s="138"/>
      <c r="AI15" s="138"/>
      <c r="AJ15" s="138"/>
      <c r="AK15" s="138"/>
      <c r="AL15" s="138"/>
      <c r="AM15" s="138"/>
      <c r="AO15" s="4">
        <f t="shared" si="2"/>
        <v>9</v>
      </c>
    </row>
    <row r="16" spans="1:41">
      <c r="A16" s="146" t="s">
        <v>524</v>
      </c>
      <c r="B16" s="199">
        <f t="shared" si="1"/>
        <v>10</v>
      </c>
      <c r="C16" s="10">
        <f>INDEX(DriversGams!$A$5:$AN$23,MATCH(Drivers!$A16,DriversGams!$A$5:$A$23,0),MATCH(Drivers!C$3,DriversGams!$A$5:$AN$5,0))</f>
        <v>235.5</v>
      </c>
      <c r="D16" s="10">
        <f>INDEX(DriversGams!$A$5:$AN$23,MATCH(Drivers!$A16,DriversGams!$A$5:$A$23,0),MATCH(Drivers!D$3,DriversGams!$A$5:$AN$5,0))</f>
        <v>242.24</v>
      </c>
      <c r="E16" s="10">
        <f>INDEX(DriversGams!$A$5:$AN$23,MATCH(Drivers!$A16,DriversGams!$A$5:$A$23,0),MATCH(Drivers!E$3,DriversGams!$A$5:$AN$5,0))</f>
        <v>246.87</v>
      </c>
      <c r="F16" s="10">
        <f>INDEX(DriversGams!$A$5:$AN$23,MATCH(Drivers!$A16,DriversGams!$A$5:$A$23,0),MATCH(Drivers!F$3,DriversGams!$A$5:$AN$5,0))</f>
        <v>250.64</v>
      </c>
      <c r="G16" s="10">
        <f>INDEX(DriversGams!$A$5:$AN$23,MATCH(Drivers!$A16,DriversGams!$A$5:$A$23,0),MATCH(Drivers!G$3,DriversGams!$A$5:$AN$5,0))</f>
        <v>253.65</v>
      </c>
      <c r="H16" s="10">
        <f>INDEX(DriversGams!$A$5:$AN$23,MATCH(Drivers!$A16,DriversGams!$A$5:$A$23,0),MATCH(Drivers!H$3,DriversGams!$A$5:$AN$5,0))</f>
        <v>255.51</v>
      </c>
      <c r="I16" s="10">
        <f>INDEX(DriversGams!$A$5:$AN$23,MATCH(Drivers!$A16,DriversGams!$A$5:$A$23,0),MATCH(Drivers!I$3,DriversGams!$A$5:$AN$5,0))</f>
        <v>259.37</v>
      </c>
      <c r="J16" s="10">
        <f>INDEX(DriversGams!$A$5:$AN$23,MATCH(Drivers!$A16,DriversGams!$A$5:$A$23,0),MATCH(Drivers!J$3,DriversGams!$A$5:$AN$5,0))</f>
        <v>261.33</v>
      </c>
      <c r="K16" s="10">
        <f>INDEX(DriversGams!$A$5:$AN$23,MATCH(Drivers!$A16,DriversGams!$A$5:$A$23,0),MATCH(Drivers!K$3,DriversGams!$A$5:$AN$5,0))</f>
        <v>237.93</v>
      </c>
      <c r="L16" s="10">
        <f>INDEX(DriversGams!$A$5:$AN$23,MATCH(Drivers!$A16,DriversGams!$A$5:$A$23,0),MATCH(Drivers!L$3,DriversGams!$A$5:$AN$5,0))</f>
        <v>248.63</v>
      </c>
      <c r="M16" s="10">
        <f>INDEX(DriversGams!$A$5:$AN$23,MATCH(Drivers!$A16,DriversGams!$A$5:$A$23,0),MATCH(Drivers!M$3,DriversGams!$A$5:$AN$5,0))</f>
        <v>258.14</v>
      </c>
      <c r="N16" s="10">
        <f>INDEX(DriversGams!$A$5:$AN$23,MATCH(Drivers!$A16,DriversGams!$A$5:$A$23,0),MATCH(Drivers!N$3,DriversGams!$A$5:$AN$5,0))</f>
        <v>268.23</v>
      </c>
      <c r="O16" s="10">
        <f>INDEX(DriversGams!$A$5:$AN$23,MATCH(Drivers!$A16,DriversGams!$A$5:$A$23,0),MATCH(Drivers!O$3,DriversGams!$A$5:$AN$5,0))</f>
        <v>279.72000000000003</v>
      </c>
      <c r="P16" s="10">
        <f>INDEX(DriversGams!$A$5:$AN$23,MATCH(Drivers!$A16,DriversGams!$A$5:$A$23,0),MATCH(Drivers!P$3,DriversGams!$A$5:$AN$5,0))</f>
        <v>292.12</v>
      </c>
      <c r="Q16" s="10">
        <f>INDEX(DriversGams!$A$5:$AN$23,MATCH(Drivers!$A16,DriversGams!$A$5:$A$23,0),MATCH(Drivers!Q$3,DriversGams!$A$5:$AN$5,0))</f>
        <v>305.86</v>
      </c>
      <c r="R16" s="10">
        <f>INDEX(DriversGams!$A$5:$AN$23,MATCH(Drivers!$A16,DriversGams!$A$5:$A$23,0),MATCH(Drivers!R$3,DriversGams!$A$5:$AN$5,0))</f>
        <v>320.54000000000002</v>
      </c>
      <c r="S16" s="10">
        <f>INDEX(DriversGams!$A$5:$AN$23,MATCH(Drivers!$A16,DriversGams!$A$5:$A$23,0),MATCH(Drivers!S$3,DriversGams!$A$5:$AN$5,0))</f>
        <v>336.39</v>
      </c>
      <c r="T16" s="10">
        <f>INDEX(DriversGams!$A$5:$AN$23,MATCH(Drivers!$A16,DriversGams!$A$5:$A$23,0),MATCH(Drivers!T$3,DriversGams!$A$5:$AN$5,0))</f>
        <v>354.33</v>
      </c>
      <c r="U16" s="10">
        <f>INDEX(DriversGams!$A$5:$AN$23,MATCH(Drivers!$A16,DriversGams!$A$5:$A$23,0),MATCH(Drivers!U$3,DriversGams!$A$5:$AN$5,0))</f>
        <v>373.14</v>
      </c>
      <c r="V16" s="10">
        <f>INDEX(DriversGams!$A$5:$AN$23,MATCH(Drivers!$A16,DriversGams!$A$5:$A$23,0),MATCH(Drivers!V$3,DriversGams!$A$5:$AN$5,0))</f>
        <v>392.47</v>
      </c>
      <c r="W16" s="10">
        <f>INDEX(DriversGams!$A$5:$AN$23,MATCH(Drivers!$A16,DriversGams!$A$5:$A$23,0),MATCH(Drivers!W$3,DriversGams!$A$5:$AN$5,0))</f>
        <v>412.91</v>
      </c>
      <c r="X16" s="10">
        <f>INDEX(DriversGams!$A$5:$AN$23,MATCH(Drivers!$A16,DriversGams!$A$5:$A$23,0),MATCH(Drivers!X$3,DriversGams!$A$5:$AN$5,0))</f>
        <v>434.3</v>
      </c>
      <c r="Y16" s="10">
        <f>INDEX(DriversGams!$A$5:$AN$23,MATCH(Drivers!$A16,DriversGams!$A$5:$A$23,0),MATCH(Drivers!Y$3,DriversGams!$A$5:$AN$5,0))</f>
        <v>457.12</v>
      </c>
      <c r="Z16" s="10">
        <f>INDEX(DriversGams!$A$5:$AN$23,MATCH(Drivers!$A16,DriversGams!$A$5:$A$23,0),MATCH(Drivers!Z$3,DriversGams!$A$5:$AN$5,0))</f>
        <v>479.82</v>
      </c>
      <c r="AA16" s="10">
        <f>INDEX(DriversGams!$A$5:$AN$23,MATCH(Drivers!$A16,DriversGams!$A$5:$A$23,0),MATCH(Drivers!AA$3,DriversGams!$A$5:$AN$5,0))</f>
        <v>503.56</v>
      </c>
      <c r="AB16" s="10">
        <f>INDEX(DriversGams!$A$5:$AN$23,MATCH(Drivers!$A16,DriversGams!$A$5:$A$23,0),MATCH(Drivers!AB$3,DriversGams!$A$5:$AN$5,0))</f>
        <v>530.24</v>
      </c>
      <c r="AC16" s="10">
        <f>INDEX(DriversGams!$A$5:$AN$23,MATCH(Drivers!$A16,DriversGams!$A$5:$A$23,0),MATCH(Drivers!AC$3,DriversGams!$A$5:$AN$5,0))</f>
        <v>558.29</v>
      </c>
      <c r="AD16" s="10">
        <f>INDEX(DriversGams!$A$5:$AN$23,MATCH(Drivers!$A16,DriversGams!$A$5:$A$23,0),MATCH(Drivers!AD$3,DriversGams!$A$5:$AN$5,0))</f>
        <v>587.79</v>
      </c>
      <c r="AE16" s="10">
        <f>INDEX(DriversGams!$A$5:$AN$23,MATCH(Drivers!$A16,DriversGams!$A$5:$A$23,0),MATCH(Drivers!AE$3,DriversGams!$A$5:$AN$5,0))</f>
        <v>618.39</v>
      </c>
      <c r="AF16" s="10">
        <f>INDEX(DriversGams!$A$5:$AN$23,MATCH(Drivers!$A16,DriversGams!$A$5:$A$23,0),MATCH(Drivers!AF$3,DriversGams!$A$5:$AN$5,0))</f>
        <v>799.67</v>
      </c>
      <c r="AG16" s="10">
        <f>INDEX(DriversGams!$A$5:$AN$23,MATCH(Drivers!$A16,DriversGams!$A$5:$A$23,0),MATCH(Drivers!AG$3,DriversGams!$A$5:$AN$5,0))</f>
        <v>1028.08</v>
      </c>
      <c r="AH16" s="138"/>
      <c r="AI16" s="138"/>
      <c r="AJ16" s="138"/>
      <c r="AK16" s="138"/>
      <c r="AL16" s="138"/>
      <c r="AM16" s="138"/>
      <c r="AO16" s="4">
        <f t="shared" si="2"/>
        <v>10</v>
      </c>
    </row>
    <row r="17" spans="1:41">
      <c r="A17" s="146" t="s">
        <v>530</v>
      </c>
      <c r="B17" s="199">
        <f t="shared" si="1"/>
        <v>11</v>
      </c>
      <c r="C17" s="10">
        <f>INDEX(DriversGams!$A$5:$AN$23,MATCH(Drivers!$A17,DriversGams!$A$5:$A$23,0),MATCH(Drivers!C$3,DriversGams!$A$5:$AN$5,0))</f>
        <v>27.52</v>
      </c>
      <c r="D17" s="10">
        <f>INDEX(DriversGams!$A$5:$AN$23,MATCH(Drivers!$A17,DriversGams!$A$5:$A$23,0),MATCH(Drivers!D$3,DriversGams!$A$5:$AN$5,0))</f>
        <v>26.93</v>
      </c>
      <c r="E17" s="10">
        <f>INDEX(DriversGams!$A$5:$AN$23,MATCH(Drivers!$A17,DriversGams!$A$5:$A$23,0),MATCH(Drivers!E$3,DriversGams!$A$5:$AN$5,0))</f>
        <v>26.36</v>
      </c>
      <c r="F17" s="10">
        <f>INDEX(DriversGams!$A$5:$AN$23,MATCH(Drivers!$A17,DriversGams!$A$5:$A$23,0),MATCH(Drivers!F$3,DriversGams!$A$5:$AN$5,0))</f>
        <v>25.78</v>
      </c>
      <c r="G17" s="10">
        <f>INDEX(DriversGams!$A$5:$AN$23,MATCH(Drivers!$A17,DriversGams!$A$5:$A$23,0),MATCH(Drivers!G$3,DriversGams!$A$5:$AN$5,0))</f>
        <v>25.78</v>
      </c>
      <c r="H17" s="10">
        <f>INDEX(DriversGams!$A$5:$AN$23,MATCH(Drivers!$A17,DriversGams!$A$5:$A$23,0),MATCH(Drivers!H$3,DriversGams!$A$5:$AN$5,0))</f>
        <v>25.79</v>
      </c>
      <c r="I17" s="10">
        <f>INDEX(DriversGams!$A$5:$AN$23,MATCH(Drivers!$A17,DriversGams!$A$5:$A$23,0),MATCH(Drivers!I$3,DriversGams!$A$5:$AN$5,0))</f>
        <v>25.77</v>
      </c>
      <c r="J17" s="10">
        <f>INDEX(DriversGams!$A$5:$AN$23,MATCH(Drivers!$A17,DriversGams!$A$5:$A$23,0),MATCH(Drivers!J$3,DriversGams!$A$5:$AN$5,0))</f>
        <v>25.75</v>
      </c>
      <c r="K17" s="10">
        <f>INDEX(DriversGams!$A$5:$AN$23,MATCH(Drivers!$A17,DriversGams!$A$5:$A$23,0),MATCH(Drivers!K$3,DriversGams!$A$5:$AN$5,0))</f>
        <v>25.76</v>
      </c>
      <c r="L17" s="10">
        <f>INDEX(DriversGams!$A$5:$AN$23,MATCH(Drivers!$A17,DriversGams!$A$5:$A$23,0),MATCH(Drivers!L$3,DriversGams!$A$5:$AN$5,0))</f>
        <v>25.73</v>
      </c>
      <c r="M17" s="10">
        <f>INDEX(DriversGams!$A$5:$AN$23,MATCH(Drivers!$A17,DriversGams!$A$5:$A$23,0),MATCH(Drivers!M$3,DriversGams!$A$5:$AN$5,0))</f>
        <v>25.73</v>
      </c>
      <c r="N17" s="10">
        <f>INDEX(DriversGams!$A$5:$AN$23,MATCH(Drivers!$A17,DriversGams!$A$5:$A$23,0),MATCH(Drivers!N$3,DriversGams!$A$5:$AN$5,0))</f>
        <v>25.72</v>
      </c>
      <c r="O17" s="10">
        <f>INDEX(DriversGams!$A$5:$AN$23,MATCH(Drivers!$A17,DriversGams!$A$5:$A$23,0),MATCH(Drivers!O$3,DriversGams!$A$5:$AN$5,0))</f>
        <v>25.72</v>
      </c>
      <c r="P17" s="10">
        <f>INDEX(DriversGams!$A$5:$AN$23,MATCH(Drivers!$A17,DriversGams!$A$5:$A$23,0),MATCH(Drivers!P$3,DriversGams!$A$5:$AN$5,0))</f>
        <v>25.16</v>
      </c>
      <c r="Q17" s="10">
        <f>INDEX(DriversGams!$A$5:$AN$23,MATCH(Drivers!$A17,DriversGams!$A$5:$A$23,0),MATCH(Drivers!Q$3,DriversGams!$A$5:$AN$5,0))</f>
        <v>25.16</v>
      </c>
      <c r="R17" s="10">
        <f>INDEX(DriversGams!$A$5:$AN$23,MATCH(Drivers!$A17,DriversGams!$A$5:$A$23,0),MATCH(Drivers!R$3,DriversGams!$A$5:$AN$5,0))</f>
        <v>25.15</v>
      </c>
      <c r="S17" s="10">
        <f>INDEX(DriversGams!$A$5:$AN$23,MATCH(Drivers!$A17,DriversGams!$A$5:$A$23,0),MATCH(Drivers!S$3,DriversGams!$A$5:$AN$5,0))</f>
        <v>25.15</v>
      </c>
      <c r="T17" s="10">
        <f>INDEX(DriversGams!$A$5:$AN$23,MATCH(Drivers!$A17,DriversGams!$A$5:$A$23,0),MATCH(Drivers!T$3,DriversGams!$A$5:$AN$5,0))</f>
        <v>25.17</v>
      </c>
      <c r="U17" s="10">
        <f>INDEX(DriversGams!$A$5:$AN$23,MATCH(Drivers!$A17,DriversGams!$A$5:$A$23,0),MATCH(Drivers!U$3,DriversGams!$A$5:$AN$5,0))</f>
        <v>25.14</v>
      </c>
      <c r="V17" s="10">
        <f>INDEX(DriversGams!$A$5:$AN$23,MATCH(Drivers!$A17,DriversGams!$A$5:$A$23,0),MATCH(Drivers!V$3,DriversGams!$A$5:$AN$5,0))</f>
        <v>24.45</v>
      </c>
      <c r="W17" s="10">
        <f>INDEX(DriversGams!$A$5:$AN$23,MATCH(Drivers!$A17,DriversGams!$A$5:$A$23,0),MATCH(Drivers!W$3,DriversGams!$A$5:$AN$5,0))</f>
        <v>23.76</v>
      </c>
      <c r="X17" s="10">
        <f>INDEX(DriversGams!$A$5:$AN$23,MATCH(Drivers!$A17,DriversGams!$A$5:$A$23,0),MATCH(Drivers!X$3,DriversGams!$A$5:$AN$5,0))</f>
        <v>24.34</v>
      </c>
      <c r="Y17" s="10">
        <f>INDEX(DriversGams!$A$5:$AN$23,MATCH(Drivers!$A17,DriversGams!$A$5:$A$23,0),MATCH(Drivers!Y$3,DriversGams!$A$5:$AN$5,0))</f>
        <v>23.79</v>
      </c>
      <c r="Z17" s="10">
        <f>INDEX(DriversGams!$A$5:$AN$23,MATCH(Drivers!$A17,DriversGams!$A$5:$A$23,0),MATCH(Drivers!Z$3,DriversGams!$A$5:$AN$5,0))</f>
        <v>23.25</v>
      </c>
      <c r="AA17" s="10">
        <f>INDEX(DriversGams!$A$5:$AN$23,MATCH(Drivers!$A17,DriversGams!$A$5:$A$23,0),MATCH(Drivers!AA$3,DriversGams!$A$5:$AN$5,0))</f>
        <v>22.59</v>
      </c>
      <c r="AB17" s="10">
        <f>INDEX(DriversGams!$A$5:$AN$23,MATCH(Drivers!$A17,DriversGams!$A$5:$A$23,0),MATCH(Drivers!AB$3,DriversGams!$A$5:$AN$5,0))</f>
        <v>21.53</v>
      </c>
      <c r="AC17" s="10">
        <f>INDEX(DriversGams!$A$5:$AN$23,MATCH(Drivers!$A17,DriversGams!$A$5:$A$23,0),MATCH(Drivers!AC$3,DriversGams!$A$5:$AN$5,0))</f>
        <v>20.29</v>
      </c>
      <c r="AD17" s="10">
        <f>INDEX(DriversGams!$A$5:$AN$23,MATCH(Drivers!$A17,DriversGams!$A$5:$A$23,0),MATCH(Drivers!AD$3,DriversGams!$A$5:$AN$5,0))</f>
        <v>19.059999999999999</v>
      </c>
      <c r="AE17" s="10">
        <f>INDEX(DriversGams!$A$5:$AN$23,MATCH(Drivers!$A17,DriversGams!$A$5:$A$23,0),MATCH(Drivers!AE$3,DriversGams!$A$5:$AN$5,0))</f>
        <v>17.82</v>
      </c>
      <c r="AF17" s="10">
        <f>INDEX(DriversGams!$A$5:$AN$23,MATCH(Drivers!$A17,DriversGams!$A$5:$A$23,0),MATCH(Drivers!AF$3,DriversGams!$A$5:$AN$5,0))</f>
        <v>19.149999999999999</v>
      </c>
      <c r="AG17" s="10">
        <f>INDEX(DriversGams!$A$5:$AN$23,MATCH(Drivers!$A17,DriversGams!$A$5:$A$23,0),MATCH(Drivers!AG$3,DriversGams!$A$5:$AN$5,0))</f>
        <v>20.49</v>
      </c>
      <c r="AH17" s="138"/>
      <c r="AI17" s="138"/>
      <c r="AJ17" s="138"/>
      <c r="AK17" s="138"/>
      <c r="AL17" s="138"/>
      <c r="AM17" s="138"/>
      <c r="AO17" s="4">
        <f t="shared" si="2"/>
        <v>11</v>
      </c>
    </row>
    <row r="18" spans="1:41" s="199" customFormat="1">
      <c r="A18" s="146" t="s">
        <v>525</v>
      </c>
      <c r="B18" s="199">
        <f t="shared" si="1"/>
        <v>12</v>
      </c>
      <c r="C18" s="10">
        <f>INDEX(DriversGams!$A$5:$AN$23,MATCH(Drivers!$A18,DriversGams!$A$5:$A$23,0),MATCH(Drivers!C$3,DriversGams!$A$5:$AN$5,0))</f>
        <v>17.78</v>
      </c>
      <c r="D18" s="10">
        <f>INDEX(DriversGams!$A$5:$AN$23,MATCH(Drivers!$A18,DriversGams!$A$5:$A$23,0),MATCH(Drivers!D$3,DriversGams!$A$5:$AN$5,0))</f>
        <v>18.260000000000002</v>
      </c>
      <c r="E18" s="10">
        <f>INDEX(DriversGams!$A$5:$AN$23,MATCH(Drivers!$A18,DriversGams!$A$5:$A$23,0),MATCH(Drivers!E$3,DriversGams!$A$5:$AN$5,0))</f>
        <v>18.66</v>
      </c>
      <c r="F18" s="10">
        <f>INDEX(DriversGams!$A$5:$AN$23,MATCH(Drivers!$A18,DriversGams!$A$5:$A$23,0),MATCH(Drivers!F$3,DriversGams!$A$5:$AN$5,0))</f>
        <v>18.920000000000002</v>
      </c>
      <c r="G18" s="10">
        <f>INDEX(DriversGams!$A$5:$AN$23,MATCH(Drivers!$A18,DriversGams!$A$5:$A$23,0),MATCH(Drivers!G$3,DriversGams!$A$5:$AN$5,0))</f>
        <v>19.28</v>
      </c>
      <c r="H18" s="10">
        <f>INDEX(DriversGams!$A$5:$AN$23,MATCH(Drivers!$A18,DriversGams!$A$5:$A$23,0),MATCH(Drivers!H$3,DriversGams!$A$5:$AN$5,0))</f>
        <v>19.36</v>
      </c>
      <c r="I18" s="10">
        <f>INDEX(DriversGams!$A$5:$AN$23,MATCH(Drivers!$A18,DriversGams!$A$5:$A$23,0),MATCH(Drivers!I$3,DriversGams!$A$5:$AN$5,0))</f>
        <v>19.82</v>
      </c>
      <c r="J18" s="10">
        <f>INDEX(DriversGams!$A$5:$AN$23,MATCH(Drivers!$A18,DriversGams!$A$5:$A$23,0),MATCH(Drivers!J$3,DriversGams!$A$5:$AN$5,0))</f>
        <v>19.96</v>
      </c>
      <c r="K18" s="10">
        <f>INDEX(DriversGams!$A$5:$AN$23,MATCH(Drivers!$A18,DriversGams!$A$5:$A$23,0),MATCH(Drivers!K$3,DriversGams!$A$5:$AN$5,0))</f>
        <v>18.579999999999998</v>
      </c>
      <c r="L18" s="10">
        <f>INDEX(DriversGams!$A$5:$AN$23,MATCH(Drivers!$A18,DriversGams!$A$5:$A$23,0),MATCH(Drivers!L$3,DriversGams!$A$5:$AN$5,0))</f>
        <v>19.38</v>
      </c>
      <c r="M18" s="10">
        <f>INDEX(DriversGams!$A$5:$AN$23,MATCH(Drivers!$A18,DriversGams!$A$5:$A$23,0),MATCH(Drivers!M$3,DriversGams!$A$5:$AN$5,0))</f>
        <v>20.079999999999998</v>
      </c>
      <c r="N18" s="10">
        <f>INDEX(DriversGams!$A$5:$AN$23,MATCH(Drivers!$A18,DriversGams!$A$5:$A$23,0),MATCH(Drivers!N$3,DriversGams!$A$5:$AN$5,0))</f>
        <v>20.83</v>
      </c>
      <c r="O18" s="10">
        <f>INDEX(DriversGams!$A$5:$AN$23,MATCH(Drivers!$A18,DriversGams!$A$5:$A$23,0),MATCH(Drivers!O$3,DriversGams!$A$5:$AN$5,0))</f>
        <v>21.69</v>
      </c>
      <c r="P18" s="10">
        <f>INDEX(DriversGams!$A$5:$AN$23,MATCH(Drivers!$A18,DriversGams!$A$5:$A$23,0),MATCH(Drivers!P$3,DriversGams!$A$5:$AN$5,0))</f>
        <v>22.7</v>
      </c>
      <c r="Q18" s="10">
        <f>INDEX(DriversGams!$A$5:$AN$23,MATCH(Drivers!$A18,DriversGams!$A$5:$A$23,0),MATCH(Drivers!Q$3,DriversGams!$A$5:$AN$5,0))</f>
        <v>23.72</v>
      </c>
      <c r="R18" s="10">
        <f>INDEX(DriversGams!$A$5:$AN$23,MATCH(Drivers!$A18,DriversGams!$A$5:$A$23,0),MATCH(Drivers!R$3,DriversGams!$A$5:$AN$5,0))</f>
        <v>24.82</v>
      </c>
      <c r="S18" s="10">
        <f>INDEX(DriversGams!$A$5:$AN$23,MATCH(Drivers!$A18,DriversGams!$A$5:$A$23,0),MATCH(Drivers!S$3,DriversGams!$A$5:$AN$5,0))</f>
        <v>26</v>
      </c>
      <c r="T18" s="10">
        <f>INDEX(DriversGams!$A$5:$AN$23,MATCH(Drivers!$A18,DriversGams!$A$5:$A$23,0),MATCH(Drivers!T$3,DriversGams!$A$5:$AN$5,0))</f>
        <v>27.3</v>
      </c>
      <c r="U18" s="10">
        <f>INDEX(DriversGams!$A$5:$AN$23,MATCH(Drivers!$A18,DriversGams!$A$5:$A$23,0),MATCH(Drivers!U$3,DriversGams!$A$5:$AN$5,0))</f>
        <v>28.66</v>
      </c>
      <c r="V18" s="10">
        <f>INDEX(DriversGams!$A$5:$AN$23,MATCH(Drivers!$A18,DriversGams!$A$5:$A$23,0),MATCH(Drivers!V$3,DriversGams!$A$5:$AN$5,0))</f>
        <v>29.99</v>
      </c>
      <c r="W18" s="10">
        <f>INDEX(DriversGams!$A$5:$AN$23,MATCH(Drivers!$A18,DriversGams!$A$5:$A$23,0),MATCH(Drivers!W$3,DriversGams!$A$5:$AN$5,0))</f>
        <v>31.4</v>
      </c>
      <c r="X18" s="10">
        <f>INDEX(DriversGams!$A$5:$AN$23,MATCH(Drivers!$A18,DriversGams!$A$5:$A$23,0),MATCH(Drivers!X$3,DriversGams!$A$5:$AN$5,0))</f>
        <v>32.869999999999997</v>
      </c>
      <c r="Y18" s="10">
        <f>INDEX(DriversGams!$A$5:$AN$23,MATCH(Drivers!$A18,DriversGams!$A$5:$A$23,0),MATCH(Drivers!Y$3,DriversGams!$A$5:$AN$5,0))</f>
        <v>34.4</v>
      </c>
      <c r="Z18" s="10">
        <f>INDEX(DriversGams!$A$5:$AN$23,MATCH(Drivers!$A18,DriversGams!$A$5:$A$23,0),MATCH(Drivers!Z$3,DriversGams!$A$5:$AN$5,0))</f>
        <v>35.76</v>
      </c>
      <c r="AA18" s="10">
        <f>INDEX(DriversGams!$A$5:$AN$23,MATCH(Drivers!$A18,DriversGams!$A$5:$A$23,0),MATCH(Drivers!AA$3,DriversGams!$A$5:$AN$5,0))</f>
        <v>37.28</v>
      </c>
      <c r="AB18" s="10">
        <f>INDEX(DriversGams!$A$5:$AN$23,MATCH(Drivers!$A18,DriversGams!$A$5:$A$23,0),MATCH(Drivers!AB$3,DriversGams!$A$5:$AN$5,0))</f>
        <v>38.96</v>
      </c>
      <c r="AC18" s="10">
        <f>INDEX(DriversGams!$A$5:$AN$23,MATCH(Drivers!$A18,DriversGams!$A$5:$A$23,0),MATCH(Drivers!AC$3,DriversGams!$A$5:$AN$5,0))</f>
        <v>40.770000000000003</v>
      </c>
      <c r="AD18" s="10">
        <f>INDEX(DriversGams!$A$5:$AN$23,MATCH(Drivers!$A18,DriversGams!$A$5:$A$23,0),MATCH(Drivers!AD$3,DriversGams!$A$5:$AN$5,0))</f>
        <v>42.69</v>
      </c>
      <c r="AE18" s="10">
        <f>INDEX(DriversGams!$A$5:$AN$23,MATCH(Drivers!$A18,DriversGams!$A$5:$A$23,0),MATCH(Drivers!AE$3,DriversGams!$A$5:$AN$5,0))</f>
        <v>44.72</v>
      </c>
      <c r="AF18" s="10">
        <f>INDEX(DriversGams!$A$5:$AN$23,MATCH(Drivers!$A18,DriversGams!$A$5:$A$23,0),MATCH(Drivers!AF$3,DriversGams!$A$5:$AN$5,0))</f>
        <v>57.18</v>
      </c>
      <c r="AG18" s="10">
        <f>INDEX(DriversGams!$A$5:$AN$23,MATCH(Drivers!$A18,DriversGams!$A$5:$A$23,0),MATCH(Drivers!AG$3,DriversGams!$A$5:$AN$5,0))</f>
        <v>72.78</v>
      </c>
      <c r="AH18" s="138"/>
      <c r="AI18" s="138"/>
      <c r="AJ18" s="138"/>
      <c r="AK18" s="138"/>
      <c r="AL18" s="138"/>
      <c r="AM18" s="138"/>
      <c r="AO18" s="199">
        <f t="shared" si="2"/>
        <v>12</v>
      </c>
    </row>
    <row r="19" spans="1:41" s="199" customFormat="1">
      <c r="A19" s="146" t="s">
        <v>599</v>
      </c>
      <c r="B19" s="199">
        <f t="shared" si="1"/>
        <v>13</v>
      </c>
      <c r="C19" s="10">
        <f>INDEX(DriversGams!$A$5:$AN$23,MATCH(Drivers!$A19,DriversGams!$A$5:$A$23,0),MATCH(Drivers!C$3,DriversGams!$A$5:$AN$5,0))</f>
        <v>11.26</v>
      </c>
      <c r="D19" s="10">
        <f>INDEX(DriversGams!$A$5:$AN$23,MATCH(Drivers!$A19,DriversGams!$A$5:$A$23,0),MATCH(Drivers!D$3,DriversGams!$A$5:$AN$5,0))</f>
        <v>11.62</v>
      </c>
      <c r="E19" s="10">
        <f>INDEX(DriversGams!$A$5:$AN$23,MATCH(Drivers!$A19,DriversGams!$A$5:$A$23,0),MATCH(Drivers!E$3,DriversGams!$A$5:$AN$5,0))</f>
        <v>12.01</v>
      </c>
      <c r="F19" s="10">
        <f>INDEX(DriversGams!$A$5:$AN$23,MATCH(Drivers!$A19,DriversGams!$A$5:$A$23,0),MATCH(Drivers!F$3,DriversGams!$A$5:$AN$5,0))</f>
        <v>12.28</v>
      </c>
      <c r="G19" s="10">
        <f>INDEX(DriversGams!$A$5:$AN$23,MATCH(Drivers!$A19,DriversGams!$A$5:$A$23,0),MATCH(Drivers!G$3,DriversGams!$A$5:$AN$5,0))</f>
        <v>12.41</v>
      </c>
      <c r="H19" s="10">
        <f>INDEX(DriversGams!$A$5:$AN$23,MATCH(Drivers!$A19,DriversGams!$A$5:$A$23,0),MATCH(Drivers!H$3,DriversGams!$A$5:$AN$5,0))</f>
        <v>12.6</v>
      </c>
      <c r="I19" s="10">
        <f>INDEX(DriversGams!$A$5:$AN$23,MATCH(Drivers!$A19,DriversGams!$A$5:$A$23,0),MATCH(Drivers!I$3,DriversGams!$A$5:$AN$5,0))</f>
        <v>12.95</v>
      </c>
      <c r="J19" s="10">
        <f>INDEX(DriversGams!$A$5:$AN$23,MATCH(Drivers!$A19,DriversGams!$A$5:$A$23,0),MATCH(Drivers!J$3,DriversGams!$A$5:$AN$5,0))</f>
        <v>13.18</v>
      </c>
      <c r="K19" s="10">
        <f>INDEX(DriversGams!$A$5:$AN$23,MATCH(Drivers!$A19,DriversGams!$A$5:$A$23,0),MATCH(Drivers!K$3,DriversGams!$A$5:$AN$5,0))</f>
        <v>12.43</v>
      </c>
      <c r="L19" s="10">
        <f>INDEX(DriversGams!$A$5:$AN$23,MATCH(Drivers!$A19,DriversGams!$A$5:$A$23,0),MATCH(Drivers!L$3,DriversGams!$A$5:$AN$5,0))</f>
        <v>12.98</v>
      </c>
      <c r="M19" s="10">
        <f>INDEX(DriversGams!$A$5:$AN$23,MATCH(Drivers!$A19,DriversGams!$A$5:$A$23,0),MATCH(Drivers!M$3,DriversGams!$A$5:$AN$5,0))</f>
        <v>13.4</v>
      </c>
      <c r="N19" s="10">
        <f>INDEX(DriversGams!$A$5:$AN$23,MATCH(Drivers!$A19,DriversGams!$A$5:$A$23,0),MATCH(Drivers!N$3,DriversGams!$A$5:$AN$5,0))</f>
        <v>13.82</v>
      </c>
      <c r="O19" s="10">
        <f>INDEX(DriversGams!$A$5:$AN$23,MATCH(Drivers!$A19,DriversGams!$A$5:$A$23,0),MATCH(Drivers!O$3,DriversGams!$A$5:$AN$5,0))</f>
        <v>14.29</v>
      </c>
      <c r="P19" s="10">
        <f>INDEX(DriversGams!$A$5:$AN$23,MATCH(Drivers!$A19,DriversGams!$A$5:$A$23,0),MATCH(Drivers!P$3,DriversGams!$A$5:$AN$5,0))</f>
        <v>14.78</v>
      </c>
      <c r="Q19" s="10">
        <f>INDEX(DriversGams!$A$5:$AN$23,MATCH(Drivers!$A19,DriversGams!$A$5:$A$23,0),MATCH(Drivers!Q$3,DriversGams!$A$5:$AN$5,0))</f>
        <v>15.32</v>
      </c>
      <c r="R19" s="10">
        <f>INDEX(DriversGams!$A$5:$AN$23,MATCH(Drivers!$A19,DriversGams!$A$5:$A$23,0),MATCH(Drivers!R$3,DriversGams!$A$5:$AN$5,0))</f>
        <v>15.89</v>
      </c>
      <c r="S19" s="10">
        <f>INDEX(DriversGams!$A$5:$AN$23,MATCH(Drivers!$A19,DriversGams!$A$5:$A$23,0),MATCH(Drivers!S$3,DriversGams!$A$5:$AN$5,0))</f>
        <v>16.46</v>
      </c>
      <c r="T19" s="10">
        <f>INDEX(DriversGams!$A$5:$AN$23,MATCH(Drivers!$A19,DriversGams!$A$5:$A$23,0),MATCH(Drivers!T$3,DriversGams!$A$5:$AN$5,0))</f>
        <v>17.100000000000001</v>
      </c>
      <c r="U19" s="10">
        <f>INDEX(DriversGams!$A$5:$AN$23,MATCH(Drivers!$A19,DriversGams!$A$5:$A$23,0),MATCH(Drivers!U$3,DriversGams!$A$5:$AN$5,0))</f>
        <v>17.77</v>
      </c>
      <c r="V19" s="10">
        <f>INDEX(DriversGams!$A$5:$AN$23,MATCH(Drivers!$A19,DriversGams!$A$5:$A$23,0),MATCH(Drivers!V$3,DriversGams!$A$5:$AN$5,0))</f>
        <v>18.399999999999999</v>
      </c>
      <c r="W19" s="10">
        <f>INDEX(DriversGams!$A$5:$AN$23,MATCH(Drivers!$A19,DriversGams!$A$5:$A$23,0),MATCH(Drivers!W$3,DriversGams!$A$5:$AN$5,0))</f>
        <v>19.079999999999998</v>
      </c>
      <c r="X19" s="10">
        <f>INDEX(DriversGams!$A$5:$AN$23,MATCH(Drivers!$A19,DriversGams!$A$5:$A$23,0),MATCH(Drivers!X$3,DriversGams!$A$5:$AN$5,0))</f>
        <v>19.8</v>
      </c>
      <c r="Y19" s="10">
        <f>INDEX(DriversGams!$A$5:$AN$23,MATCH(Drivers!$A19,DriversGams!$A$5:$A$23,0),MATCH(Drivers!Y$3,DriversGams!$A$5:$AN$5,0))</f>
        <v>20.51</v>
      </c>
      <c r="Z19" s="10">
        <f>INDEX(DriversGams!$A$5:$AN$23,MATCH(Drivers!$A19,DriversGams!$A$5:$A$23,0),MATCH(Drivers!Z$3,DriversGams!$A$5:$AN$5,0))</f>
        <v>21.19</v>
      </c>
      <c r="AA19" s="10">
        <f>INDEX(DriversGams!$A$5:$AN$23,MATCH(Drivers!$A19,DriversGams!$A$5:$A$23,0),MATCH(Drivers!AA$3,DriversGams!$A$5:$AN$5,0))</f>
        <v>21.84</v>
      </c>
      <c r="AB19" s="10">
        <f>INDEX(DriversGams!$A$5:$AN$23,MATCH(Drivers!$A19,DriversGams!$A$5:$A$23,0),MATCH(Drivers!AB$3,DriversGams!$A$5:$AN$5,0))</f>
        <v>22.58</v>
      </c>
      <c r="AC19" s="10">
        <f>INDEX(DriversGams!$A$5:$AN$23,MATCH(Drivers!$A19,DriversGams!$A$5:$A$23,0),MATCH(Drivers!AC$3,DriversGams!$A$5:$AN$5,0))</f>
        <v>23.39</v>
      </c>
      <c r="AD19" s="10">
        <f>INDEX(DriversGams!$A$5:$AN$23,MATCH(Drivers!$A19,DriversGams!$A$5:$A$23,0),MATCH(Drivers!AD$3,DriversGams!$A$5:$AN$5,0))</f>
        <v>24.25</v>
      </c>
      <c r="AE19" s="10">
        <f>INDEX(DriversGams!$A$5:$AN$23,MATCH(Drivers!$A19,DriversGams!$A$5:$A$23,0),MATCH(Drivers!AE$3,DriversGams!$A$5:$AN$5,0))</f>
        <v>25.17</v>
      </c>
      <c r="AF19" s="10">
        <f>INDEX(DriversGams!$A$5:$AN$23,MATCH(Drivers!$A19,DriversGams!$A$5:$A$23,0),MATCH(Drivers!AF$3,DriversGams!$A$5:$AN$5,0))</f>
        <v>30.75</v>
      </c>
      <c r="AG19" s="10">
        <f>INDEX(DriversGams!$A$5:$AN$23,MATCH(Drivers!$A19,DriversGams!$A$5:$A$23,0),MATCH(Drivers!AG$3,DriversGams!$A$5:$AN$5,0))</f>
        <v>37.47</v>
      </c>
      <c r="AH19" s="138"/>
      <c r="AI19" s="138"/>
      <c r="AJ19" s="138"/>
      <c r="AK19" s="138"/>
      <c r="AL19" s="138"/>
      <c r="AM19" s="138"/>
      <c r="AO19" s="199">
        <f t="shared" si="2"/>
        <v>13</v>
      </c>
    </row>
    <row r="20" spans="1:41" s="199" customFormat="1">
      <c r="A20" s="146" t="s">
        <v>598</v>
      </c>
      <c r="B20" s="199">
        <f t="shared" si="1"/>
        <v>14</v>
      </c>
      <c r="C20" s="10">
        <f>INDEX(DriversGams!$A$5:$AN$23,MATCH(Drivers!$A20,DriversGams!$A$5:$A$23,0),MATCH(Drivers!C$3,DriversGams!$A$5:$AN$5,0))</f>
        <v>135.96</v>
      </c>
      <c r="D20" s="10">
        <f>INDEX(DriversGams!$A$5:$AN$23,MATCH(Drivers!$A20,DriversGams!$A$5:$A$23,0),MATCH(Drivers!D$3,DriversGams!$A$5:$AN$5,0))</f>
        <v>140.16999999999999</v>
      </c>
      <c r="E20" s="10">
        <f>INDEX(DriversGams!$A$5:$AN$23,MATCH(Drivers!$A20,DriversGams!$A$5:$A$23,0),MATCH(Drivers!E$3,DriversGams!$A$5:$AN$5,0))</f>
        <v>143.5</v>
      </c>
      <c r="F20" s="10">
        <f>INDEX(DriversGams!$A$5:$AN$23,MATCH(Drivers!$A20,DriversGams!$A$5:$A$23,0),MATCH(Drivers!F$3,DriversGams!$A$5:$AN$5,0))</f>
        <v>145.44999999999999</v>
      </c>
      <c r="G20" s="10">
        <f>INDEX(DriversGams!$A$5:$AN$23,MATCH(Drivers!$A20,DriversGams!$A$5:$A$23,0),MATCH(Drivers!G$3,DriversGams!$A$5:$AN$5,0))</f>
        <v>146.9</v>
      </c>
      <c r="H20" s="10">
        <f>INDEX(DriversGams!$A$5:$AN$23,MATCH(Drivers!$A20,DriversGams!$A$5:$A$23,0),MATCH(Drivers!H$3,DriversGams!$A$5:$AN$5,0))</f>
        <v>149.08000000000001</v>
      </c>
      <c r="I20" s="10">
        <f>INDEX(DriversGams!$A$5:$AN$23,MATCH(Drivers!$A20,DriversGams!$A$5:$A$23,0),MATCH(Drivers!I$3,DriversGams!$A$5:$AN$5,0))</f>
        <v>151.63999999999999</v>
      </c>
      <c r="J20" s="10">
        <f>INDEX(DriversGams!$A$5:$AN$23,MATCH(Drivers!$A20,DriversGams!$A$5:$A$23,0),MATCH(Drivers!J$3,DriversGams!$A$5:$AN$5,0))</f>
        <v>153.33000000000001</v>
      </c>
      <c r="K20" s="10">
        <f>INDEX(DriversGams!$A$5:$AN$23,MATCH(Drivers!$A20,DriversGams!$A$5:$A$23,0),MATCH(Drivers!K$3,DriversGams!$A$5:$AN$5,0))</f>
        <v>142.83000000000001</v>
      </c>
      <c r="L20" s="10">
        <f>INDEX(DriversGams!$A$5:$AN$23,MATCH(Drivers!$A20,DriversGams!$A$5:$A$23,0),MATCH(Drivers!L$3,DriversGams!$A$5:$AN$5,0))</f>
        <v>148.32</v>
      </c>
      <c r="M20" s="10">
        <f>INDEX(DriversGams!$A$5:$AN$23,MATCH(Drivers!$A20,DriversGams!$A$5:$A$23,0),MATCH(Drivers!M$3,DriversGams!$A$5:$AN$5,0))</f>
        <v>153.12</v>
      </c>
      <c r="N20" s="10">
        <f>INDEX(DriversGams!$A$5:$AN$23,MATCH(Drivers!$A20,DriversGams!$A$5:$A$23,0),MATCH(Drivers!N$3,DriversGams!$A$5:$AN$5,0))</f>
        <v>158.33000000000001</v>
      </c>
      <c r="O20" s="10">
        <f>INDEX(DriversGams!$A$5:$AN$23,MATCH(Drivers!$A20,DriversGams!$A$5:$A$23,0),MATCH(Drivers!O$3,DriversGams!$A$5:$AN$5,0))</f>
        <v>164.39</v>
      </c>
      <c r="P20" s="10">
        <f>INDEX(DriversGams!$A$5:$AN$23,MATCH(Drivers!$A20,DriversGams!$A$5:$A$23,0),MATCH(Drivers!P$3,DriversGams!$A$5:$AN$5,0))</f>
        <v>170.86</v>
      </c>
      <c r="Q20" s="10">
        <f>INDEX(DriversGams!$A$5:$AN$23,MATCH(Drivers!$A20,DriversGams!$A$5:$A$23,0),MATCH(Drivers!Q$3,DriversGams!$A$5:$AN$5,0))</f>
        <v>177.99</v>
      </c>
      <c r="R20" s="10">
        <f>INDEX(DriversGams!$A$5:$AN$23,MATCH(Drivers!$A20,DriversGams!$A$5:$A$23,0),MATCH(Drivers!R$3,DriversGams!$A$5:$AN$5,0))</f>
        <v>185.65</v>
      </c>
      <c r="S20" s="10">
        <f>INDEX(DriversGams!$A$5:$AN$23,MATCH(Drivers!$A20,DriversGams!$A$5:$A$23,0),MATCH(Drivers!S$3,DriversGams!$A$5:$AN$5,0))</f>
        <v>193.93</v>
      </c>
      <c r="T20" s="10">
        <f>INDEX(DriversGams!$A$5:$AN$23,MATCH(Drivers!$A20,DriversGams!$A$5:$A$23,0),MATCH(Drivers!T$3,DriversGams!$A$5:$AN$5,0))</f>
        <v>203.32</v>
      </c>
      <c r="U20" s="10">
        <f>INDEX(DriversGams!$A$5:$AN$23,MATCH(Drivers!$A20,DriversGams!$A$5:$A$23,0),MATCH(Drivers!U$3,DriversGams!$A$5:$AN$5,0))</f>
        <v>213.08</v>
      </c>
      <c r="V20" s="10">
        <f>INDEX(DriversGams!$A$5:$AN$23,MATCH(Drivers!$A20,DriversGams!$A$5:$A$23,0),MATCH(Drivers!V$3,DriversGams!$A$5:$AN$5,0))</f>
        <v>222.82</v>
      </c>
      <c r="W20" s="10">
        <f>INDEX(DriversGams!$A$5:$AN$23,MATCH(Drivers!$A20,DriversGams!$A$5:$A$23,0),MATCH(Drivers!W$3,DriversGams!$A$5:$AN$5,0))</f>
        <v>233.15</v>
      </c>
      <c r="X20" s="10">
        <f>INDEX(DriversGams!$A$5:$AN$23,MATCH(Drivers!$A20,DriversGams!$A$5:$A$23,0),MATCH(Drivers!X$3,DriversGams!$A$5:$AN$5,0))</f>
        <v>244.02</v>
      </c>
      <c r="Y20" s="10">
        <f>INDEX(DriversGams!$A$5:$AN$23,MATCH(Drivers!$A20,DriversGams!$A$5:$A$23,0),MATCH(Drivers!Y$3,DriversGams!$A$5:$AN$5,0))</f>
        <v>255.42</v>
      </c>
      <c r="Z20" s="10">
        <f>INDEX(DriversGams!$A$5:$AN$23,MATCH(Drivers!$A20,DriversGams!$A$5:$A$23,0),MATCH(Drivers!Z$3,DriversGams!$A$5:$AN$5,0))</f>
        <v>266.56</v>
      </c>
      <c r="AA20" s="10">
        <f>INDEX(DriversGams!$A$5:$AN$23,MATCH(Drivers!$A20,DriversGams!$A$5:$A$23,0),MATCH(Drivers!AA$3,DriversGams!$A$5:$AN$5,0))</f>
        <v>278.14999999999998</v>
      </c>
      <c r="AB20" s="10">
        <f>INDEX(DriversGams!$A$5:$AN$23,MATCH(Drivers!$A20,DriversGams!$A$5:$A$23,0),MATCH(Drivers!AB$3,DriversGams!$A$5:$AN$5,0))</f>
        <v>291.45</v>
      </c>
      <c r="AC20" s="10">
        <f>INDEX(DriversGams!$A$5:$AN$23,MATCH(Drivers!$A20,DriversGams!$A$5:$A$23,0),MATCH(Drivers!AC$3,DriversGams!$A$5:$AN$5,0))</f>
        <v>305.45999999999998</v>
      </c>
      <c r="AD20" s="10">
        <f>INDEX(DriversGams!$A$5:$AN$23,MATCH(Drivers!$A20,DriversGams!$A$5:$A$23,0),MATCH(Drivers!AD$3,DriversGams!$A$5:$AN$5,0))</f>
        <v>320.3</v>
      </c>
      <c r="AE20" s="10">
        <f>INDEX(DriversGams!$A$5:$AN$23,MATCH(Drivers!$A20,DriversGams!$A$5:$A$23,0),MATCH(Drivers!AE$3,DriversGams!$A$5:$AN$5,0))</f>
        <v>335.89</v>
      </c>
      <c r="AF20" s="10">
        <f>INDEX(DriversGams!$A$5:$AN$23,MATCH(Drivers!$A20,DriversGams!$A$5:$A$23,0),MATCH(Drivers!AF$3,DriversGams!$A$5:$AN$5,0))</f>
        <v>431.65</v>
      </c>
      <c r="AG20" s="10">
        <f>INDEX(DriversGams!$A$5:$AN$23,MATCH(Drivers!$A20,DriversGams!$A$5:$A$23,0),MATCH(Drivers!AG$3,DriversGams!$A$5:$AN$5,0))</f>
        <v>554.19000000000005</v>
      </c>
      <c r="AH20" s="138"/>
      <c r="AI20" s="138"/>
      <c r="AJ20" s="138"/>
      <c r="AK20" s="138"/>
      <c r="AL20" s="138"/>
      <c r="AM20" s="138"/>
      <c r="AO20" s="199">
        <f t="shared" si="2"/>
        <v>14</v>
      </c>
    </row>
    <row r="21" spans="1:41" s="199" customFormat="1">
      <c r="A21" s="146" t="s">
        <v>597</v>
      </c>
      <c r="B21" s="199">
        <f t="shared" si="1"/>
        <v>15</v>
      </c>
      <c r="C21" s="10">
        <f>INDEX(DriversGams!$A$5:$AN$23,MATCH(Drivers!$A21,DriversGams!$A$5:$A$23,0),MATCH(Drivers!C$3,DriversGams!$A$5:$AN$5,0))</f>
        <v>21.15</v>
      </c>
      <c r="D21" s="10">
        <f>INDEX(DriversGams!$A$5:$AN$23,MATCH(Drivers!$A21,DriversGams!$A$5:$A$23,0),MATCH(Drivers!D$3,DriversGams!$A$5:$AN$5,0))</f>
        <v>22.6</v>
      </c>
      <c r="E21" s="10">
        <f>INDEX(DriversGams!$A$5:$AN$23,MATCH(Drivers!$A21,DriversGams!$A$5:$A$23,0),MATCH(Drivers!E$3,DriversGams!$A$5:$AN$5,0))</f>
        <v>24.43</v>
      </c>
      <c r="F21" s="10">
        <f>INDEX(DriversGams!$A$5:$AN$23,MATCH(Drivers!$A21,DriversGams!$A$5:$A$23,0),MATCH(Drivers!F$3,DriversGams!$A$5:$AN$5,0))</f>
        <v>25.85</v>
      </c>
      <c r="G21" s="10">
        <f>INDEX(DriversGams!$A$5:$AN$23,MATCH(Drivers!$A21,DriversGams!$A$5:$A$23,0),MATCH(Drivers!G$3,DriversGams!$A$5:$AN$5,0))</f>
        <v>26.71</v>
      </c>
      <c r="H21" s="10">
        <f>INDEX(DriversGams!$A$5:$AN$23,MATCH(Drivers!$A21,DriversGams!$A$5:$A$23,0),MATCH(Drivers!H$3,DriversGams!$A$5:$AN$5,0))</f>
        <v>28.53</v>
      </c>
      <c r="I21" s="10">
        <f>INDEX(DriversGams!$A$5:$AN$23,MATCH(Drivers!$A21,DriversGams!$A$5:$A$23,0),MATCH(Drivers!I$3,DriversGams!$A$5:$AN$5,0))</f>
        <v>30.58</v>
      </c>
      <c r="J21" s="10">
        <f>INDEX(DriversGams!$A$5:$AN$23,MATCH(Drivers!$A21,DriversGams!$A$5:$A$23,0),MATCH(Drivers!J$3,DriversGams!$A$5:$AN$5,0))</f>
        <v>31.78</v>
      </c>
      <c r="K21" s="10">
        <f>INDEX(DriversGams!$A$5:$AN$23,MATCH(Drivers!$A21,DriversGams!$A$5:$A$23,0),MATCH(Drivers!K$3,DriversGams!$A$5:$AN$5,0))</f>
        <v>30.35</v>
      </c>
      <c r="L21" s="10">
        <f>INDEX(DriversGams!$A$5:$AN$23,MATCH(Drivers!$A21,DriversGams!$A$5:$A$23,0),MATCH(Drivers!L$3,DriversGams!$A$5:$AN$5,0))</f>
        <v>31.92</v>
      </c>
      <c r="M21" s="10">
        <f>INDEX(DriversGams!$A$5:$AN$23,MATCH(Drivers!$A21,DriversGams!$A$5:$A$23,0),MATCH(Drivers!M$3,DriversGams!$A$5:$AN$5,0))</f>
        <v>33.32</v>
      </c>
      <c r="N21" s="10">
        <f>INDEX(DriversGams!$A$5:$AN$23,MATCH(Drivers!$A21,DriversGams!$A$5:$A$23,0),MATCH(Drivers!N$3,DriversGams!$A$5:$AN$5,0))</f>
        <v>34.86</v>
      </c>
      <c r="O21" s="10">
        <f>INDEX(DriversGams!$A$5:$AN$23,MATCH(Drivers!$A21,DriversGams!$A$5:$A$23,0),MATCH(Drivers!O$3,DriversGams!$A$5:$AN$5,0))</f>
        <v>36.67</v>
      </c>
      <c r="P21" s="10">
        <f>INDEX(DriversGams!$A$5:$AN$23,MATCH(Drivers!$A21,DriversGams!$A$5:$A$23,0),MATCH(Drivers!P$3,DriversGams!$A$5:$AN$5,0))</f>
        <v>38.68</v>
      </c>
      <c r="Q21" s="10">
        <f>INDEX(DriversGams!$A$5:$AN$23,MATCH(Drivers!$A21,DriversGams!$A$5:$A$23,0),MATCH(Drivers!Q$3,DriversGams!$A$5:$AN$5,0))</f>
        <v>41.03</v>
      </c>
      <c r="R21" s="10">
        <f>INDEX(DriversGams!$A$5:$AN$23,MATCH(Drivers!$A21,DriversGams!$A$5:$A$23,0),MATCH(Drivers!R$3,DriversGams!$A$5:$AN$5,0))</f>
        <v>43.62</v>
      </c>
      <c r="S21" s="10">
        <f>INDEX(DriversGams!$A$5:$AN$23,MATCH(Drivers!$A21,DriversGams!$A$5:$A$23,0),MATCH(Drivers!S$3,DriversGams!$A$5:$AN$5,0))</f>
        <v>46.43</v>
      </c>
      <c r="T21" s="10">
        <f>INDEX(DriversGams!$A$5:$AN$23,MATCH(Drivers!$A21,DriversGams!$A$5:$A$23,0),MATCH(Drivers!T$3,DriversGams!$A$5:$AN$5,0))</f>
        <v>49.77</v>
      </c>
      <c r="U21" s="10">
        <f>INDEX(DriversGams!$A$5:$AN$23,MATCH(Drivers!$A21,DriversGams!$A$5:$A$23,0),MATCH(Drivers!U$3,DriversGams!$A$5:$AN$5,0))</f>
        <v>53.56</v>
      </c>
      <c r="V21" s="10">
        <f>INDEX(DriversGams!$A$5:$AN$23,MATCH(Drivers!$A21,DriversGams!$A$5:$A$23,0),MATCH(Drivers!V$3,DriversGams!$A$5:$AN$5,0))</f>
        <v>57.71</v>
      </c>
      <c r="W21" s="10">
        <f>INDEX(DriversGams!$A$5:$AN$23,MATCH(Drivers!$A21,DriversGams!$A$5:$A$23,0),MATCH(Drivers!W$3,DriversGams!$A$5:$AN$5,0))</f>
        <v>62.38</v>
      </c>
      <c r="X21" s="10">
        <f>INDEX(DriversGams!$A$5:$AN$23,MATCH(Drivers!$A21,DriversGams!$A$5:$A$23,0),MATCH(Drivers!X$3,DriversGams!$A$5:$AN$5,0))</f>
        <v>67.48</v>
      </c>
      <c r="Y21" s="10">
        <f>INDEX(DriversGams!$A$5:$AN$23,MATCH(Drivers!$A21,DriversGams!$A$5:$A$23,0),MATCH(Drivers!Y$3,DriversGams!$A$5:$AN$5,0))</f>
        <v>73</v>
      </c>
      <c r="Z21" s="10">
        <f>INDEX(DriversGams!$A$5:$AN$23,MATCH(Drivers!$A21,DriversGams!$A$5:$A$23,0),MATCH(Drivers!Z$3,DriversGams!$A$5:$AN$5,0))</f>
        <v>78.64</v>
      </c>
      <c r="AA21" s="10">
        <f>INDEX(DriversGams!$A$5:$AN$23,MATCH(Drivers!$A21,DriversGams!$A$5:$A$23,0),MATCH(Drivers!AA$3,DriversGams!$A$5:$AN$5,0))</f>
        <v>84.5</v>
      </c>
      <c r="AB21" s="10">
        <f>INDEX(DriversGams!$A$5:$AN$23,MATCH(Drivers!$A21,DriversGams!$A$5:$A$23,0),MATCH(Drivers!AB$3,DriversGams!$A$5:$AN$5,0))</f>
        <v>91.1</v>
      </c>
      <c r="AC21" s="10">
        <f>INDEX(DriversGams!$A$5:$AN$23,MATCH(Drivers!$A21,DriversGams!$A$5:$A$23,0),MATCH(Drivers!AC$3,DriversGams!$A$5:$AN$5,0))</f>
        <v>98.27</v>
      </c>
      <c r="AD21" s="10">
        <f>INDEX(DriversGams!$A$5:$AN$23,MATCH(Drivers!$A21,DriversGams!$A$5:$A$23,0),MATCH(Drivers!AD$3,DriversGams!$A$5:$AN$5,0))</f>
        <v>106.02</v>
      </c>
      <c r="AE21" s="10">
        <f>INDEX(DriversGams!$A$5:$AN$23,MATCH(Drivers!$A21,DriversGams!$A$5:$A$23,0),MATCH(Drivers!AE$3,DriversGams!$A$5:$AN$5,0))</f>
        <v>114.35</v>
      </c>
      <c r="AF21" s="10">
        <f>INDEX(DriversGams!$A$5:$AN$23,MATCH(Drivers!$A21,DriversGams!$A$5:$A$23,0),MATCH(Drivers!AF$3,DriversGams!$A$5:$AN$5,0))</f>
        <v>161.93</v>
      </c>
      <c r="AG21" s="10">
        <f>INDEX(DriversGams!$A$5:$AN$23,MATCH(Drivers!$A21,DriversGams!$A$5:$A$23,0),MATCH(Drivers!AG$3,DriversGams!$A$5:$AN$5,0))</f>
        <v>219.59</v>
      </c>
      <c r="AH21" s="138"/>
      <c r="AI21" s="138"/>
      <c r="AJ21" s="138"/>
      <c r="AK21" s="138"/>
      <c r="AL21" s="138"/>
      <c r="AM21" s="138"/>
      <c r="AO21" s="199">
        <f t="shared" si="2"/>
        <v>15</v>
      </c>
    </row>
    <row r="22" spans="1:41" s="199" customFormat="1">
      <c r="A22" s="146" t="s">
        <v>600</v>
      </c>
      <c r="B22" s="199">
        <f t="shared" si="1"/>
        <v>16</v>
      </c>
      <c r="C22" s="10">
        <f>INDEX(DriversGams!$A$5:$AN$23,MATCH(Drivers!$A22,DriversGams!$A$5:$A$23,0),MATCH(Drivers!C$3,DriversGams!$A$5:$AN$5,0))</f>
        <v>1.1399999999999999</v>
      </c>
      <c r="D22" s="10">
        <f>INDEX(DriversGams!$A$5:$AN$23,MATCH(Drivers!$A22,DriversGams!$A$5:$A$23,0),MATCH(Drivers!D$3,DriversGams!$A$5:$AN$5,0))</f>
        <v>1.1499999999999999</v>
      </c>
      <c r="E22" s="10">
        <f>INDEX(DriversGams!$A$5:$AN$23,MATCH(Drivers!$A22,DriversGams!$A$5:$A$23,0),MATCH(Drivers!E$3,DriversGams!$A$5:$AN$5,0))</f>
        <v>1.1399999999999999</v>
      </c>
      <c r="F22" s="10">
        <f>INDEX(DriversGams!$A$5:$AN$23,MATCH(Drivers!$A22,DriversGams!$A$5:$A$23,0),MATCH(Drivers!F$3,DriversGams!$A$5:$AN$5,0))</f>
        <v>1.1299999999999999</v>
      </c>
      <c r="G22" s="10">
        <f>INDEX(DriversGams!$A$5:$AN$23,MATCH(Drivers!$A22,DriversGams!$A$5:$A$23,0),MATCH(Drivers!G$3,DriversGams!$A$5:$AN$5,0))</f>
        <v>1.1399999999999999</v>
      </c>
      <c r="H22" s="10">
        <f>INDEX(DriversGams!$A$5:$AN$23,MATCH(Drivers!$A22,DriversGams!$A$5:$A$23,0),MATCH(Drivers!H$3,DriversGams!$A$5:$AN$5,0))</f>
        <v>1.1499999999999999</v>
      </c>
      <c r="I22" s="10">
        <f>INDEX(DriversGams!$A$5:$AN$23,MATCH(Drivers!$A22,DriversGams!$A$5:$A$23,0),MATCH(Drivers!I$3,DriversGams!$A$5:$AN$5,0))</f>
        <v>1.1200000000000001</v>
      </c>
      <c r="J22" s="10">
        <f>INDEX(DriversGams!$A$5:$AN$23,MATCH(Drivers!$A22,DriversGams!$A$5:$A$23,0),MATCH(Drivers!J$3,DriversGams!$A$5:$AN$5,0))</f>
        <v>1.1100000000000001</v>
      </c>
      <c r="K22" s="10">
        <f>INDEX(DriversGams!$A$5:$AN$23,MATCH(Drivers!$A22,DriversGams!$A$5:$A$23,0),MATCH(Drivers!K$3,DriversGams!$A$5:$AN$5,0))</f>
        <v>1.01</v>
      </c>
      <c r="L22" s="10">
        <f>INDEX(DriversGams!$A$5:$AN$23,MATCH(Drivers!$A22,DriversGams!$A$5:$A$23,0),MATCH(Drivers!L$3,DriversGams!$A$5:$AN$5,0))</f>
        <v>1.02</v>
      </c>
      <c r="M22" s="10">
        <f>INDEX(DriversGams!$A$5:$AN$23,MATCH(Drivers!$A22,DriversGams!$A$5:$A$23,0),MATCH(Drivers!M$3,DriversGams!$A$5:$AN$5,0))</f>
        <v>1.05</v>
      </c>
      <c r="N22" s="10">
        <f>INDEX(DriversGams!$A$5:$AN$23,MATCH(Drivers!$A22,DriversGams!$A$5:$A$23,0),MATCH(Drivers!N$3,DriversGams!$A$5:$AN$5,0))</f>
        <v>1.0900000000000001</v>
      </c>
      <c r="O22" s="10">
        <f>INDEX(DriversGams!$A$5:$AN$23,MATCH(Drivers!$A22,DriversGams!$A$5:$A$23,0),MATCH(Drivers!O$3,DriversGams!$A$5:$AN$5,0))</f>
        <v>1.1399999999999999</v>
      </c>
      <c r="P22" s="10">
        <f>INDEX(DriversGams!$A$5:$AN$23,MATCH(Drivers!$A22,DriversGams!$A$5:$A$23,0),MATCH(Drivers!P$3,DriversGams!$A$5:$AN$5,0))</f>
        <v>1.19</v>
      </c>
      <c r="Q22" s="10">
        <f>INDEX(DriversGams!$A$5:$AN$23,MATCH(Drivers!$A22,DriversGams!$A$5:$A$23,0),MATCH(Drivers!Q$3,DriversGams!$A$5:$AN$5,0))</f>
        <v>1.25</v>
      </c>
      <c r="R22" s="10">
        <f>INDEX(DriversGams!$A$5:$AN$23,MATCH(Drivers!$A22,DriversGams!$A$5:$A$23,0),MATCH(Drivers!R$3,DriversGams!$A$5:$AN$5,0))</f>
        <v>1.32</v>
      </c>
      <c r="S22" s="10">
        <f>INDEX(DriversGams!$A$5:$AN$23,MATCH(Drivers!$A22,DriversGams!$A$5:$A$23,0),MATCH(Drivers!S$3,DriversGams!$A$5:$AN$5,0))</f>
        <v>1.41</v>
      </c>
      <c r="T22" s="10">
        <f>INDEX(DriversGams!$A$5:$AN$23,MATCH(Drivers!$A22,DriversGams!$A$5:$A$23,0),MATCH(Drivers!T$3,DriversGams!$A$5:$AN$5,0))</f>
        <v>1.51</v>
      </c>
      <c r="U22" s="10">
        <f>INDEX(DriversGams!$A$5:$AN$23,MATCH(Drivers!$A22,DriversGams!$A$5:$A$23,0),MATCH(Drivers!U$3,DriversGams!$A$5:$AN$5,0))</f>
        <v>1.61</v>
      </c>
      <c r="V22" s="10">
        <f>INDEX(DriversGams!$A$5:$AN$23,MATCH(Drivers!$A22,DriversGams!$A$5:$A$23,0),MATCH(Drivers!V$3,DriversGams!$A$5:$AN$5,0))</f>
        <v>1.73</v>
      </c>
      <c r="W22" s="10">
        <f>INDEX(DriversGams!$A$5:$AN$23,MATCH(Drivers!$A22,DriversGams!$A$5:$A$23,0),MATCH(Drivers!W$3,DriversGams!$A$5:$AN$5,0))</f>
        <v>1.85</v>
      </c>
      <c r="X22" s="10">
        <f>INDEX(DriversGams!$A$5:$AN$23,MATCH(Drivers!$A22,DriversGams!$A$5:$A$23,0),MATCH(Drivers!X$3,DriversGams!$A$5:$AN$5,0))</f>
        <v>1.98</v>
      </c>
      <c r="Y22" s="10">
        <f>INDEX(DriversGams!$A$5:$AN$23,MATCH(Drivers!$A22,DriversGams!$A$5:$A$23,0),MATCH(Drivers!Y$3,DriversGams!$A$5:$AN$5,0))</f>
        <v>2.12</v>
      </c>
      <c r="Z22" s="10">
        <f>INDEX(DriversGams!$A$5:$AN$23,MATCH(Drivers!$A22,DriversGams!$A$5:$A$23,0),MATCH(Drivers!Z$3,DriversGams!$A$5:$AN$5,0))</f>
        <v>2.27</v>
      </c>
      <c r="AA22" s="10">
        <f>INDEX(DriversGams!$A$5:$AN$23,MATCH(Drivers!$A22,DriversGams!$A$5:$A$23,0),MATCH(Drivers!AA$3,DriversGams!$A$5:$AN$5,0))</f>
        <v>2.44</v>
      </c>
      <c r="AB22" s="10">
        <f>INDEX(DriversGams!$A$5:$AN$23,MATCH(Drivers!$A22,DriversGams!$A$5:$A$23,0),MATCH(Drivers!AB$3,DriversGams!$A$5:$AN$5,0))</f>
        <v>2.62</v>
      </c>
      <c r="AC22" s="10">
        <f>INDEX(DriversGams!$A$5:$AN$23,MATCH(Drivers!$A22,DriversGams!$A$5:$A$23,0),MATCH(Drivers!AC$3,DriversGams!$A$5:$AN$5,0))</f>
        <v>2.82</v>
      </c>
      <c r="AD22" s="10">
        <f>INDEX(DriversGams!$A$5:$AN$23,MATCH(Drivers!$A22,DriversGams!$A$5:$A$23,0),MATCH(Drivers!AD$3,DriversGams!$A$5:$AN$5,0))</f>
        <v>3.03</v>
      </c>
      <c r="AE22" s="10">
        <f>INDEX(DriversGams!$A$5:$AN$23,MATCH(Drivers!$A22,DriversGams!$A$5:$A$23,0),MATCH(Drivers!AE$3,DriversGams!$A$5:$AN$5,0))</f>
        <v>3.24</v>
      </c>
      <c r="AF22" s="10">
        <f>INDEX(DriversGams!$A$5:$AN$23,MATCH(Drivers!$A22,DriversGams!$A$5:$A$23,0),MATCH(Drivers!AF$3,DriversGams!$A$5:$AN$5,0))</f>
        <v>4.58</v>
      </c>
      <c r="AG22" s="10">
        <f>INDEX(DriversGams!$A$5:$AN$23,MATCH(Drivers!$A22,DriversGams!$A$5:$A$23,0),MATCH(Drivers!AG$3,DriversGams!$A$5:$AN$5,0))</f>
        <v>6.42</v>
      </c>
      <c r="AH22" s="138"/>
      <c r="AI22" s="138"/>
      <c r="AJ22" s="138"/>
      <c r="AK22" s="138"/>
      <c r="AL22" s="138"/>
      <c r="AM22" s="138"/>
      <c r="AO22" s="199">
        <f t="shared" si="2"/>
        <v>16</v>
      </c>
    </row>
    <row r="23" spans="1:41" s="199" customFormat="1">
      <c r="A23" s="146" t="s">
        <v>604</v>
      </c>
      <c r="B23" s="199">
        <f t="shared" si="1"/>
        <v>17</v>
      </c>
      <c r="C23" s="10">
        <f>INDEX(DriversGams!$A$5:$AN$23,MATCH(Drivers!$A23,DriversGams!$A$5:$A$23,0),MATCH(Drivers!C$3,DriversGams!$A$5:$AN$5,0))</f>
        <v>66.42</v>
      </c>
      <c r="D23" s="10">
        <f>INDEX(DriversGams!$A$5:$AN$23,MATCH(Drivers!$A23,DriversGams!$A$5:$A$23,0),MATCH(Drivers!D$3,DriversGams!$A$5:$AN$5,0))</f>
        <v>67.42</v>
      </c>
      <c r="E23" s="10">
        <f>INDEX(DriversGams!$A$5:$AN$23,MATCH(Drivers!$A23,DriversGams!$A$5:$A$23,0),MATCH(Drivers!E$3,DriversGams!$A$5:$AN$5,0))</f>
        <v>64.459999999999994</v>
      </c>
      <c r="F23" s="10">
        <f>INDEX(DriversGams!$A$5:$AN$23,MATCH(Drivers!$A23,DriversGams!$A$5:$A$23,0),MATCH(Drivers!F$3,DriversGams!$A$5:$AN$5,0))</f>
        <v>61.49</v>
      </c>
      <c r="G23" s="10">
        <f>INDEX(DriversGams!$A$5:$AN$23,MATCH(Drivers!$A23,DriversGams!$A$5:$A$23,0),MATCH(Drivers!G$3,DriversGams!$A$5:$AN$5,0))</f>
        <v>61.27</v>
      </c>
      <c r="H23" s="10">
        <f>INDEX(DriversGams!$A$5:$AN$23,MATCH(Drivers!$A23,DriversGams!$A$5:$A$23,0),MATCH(Drivers!H$3,DriversGams!$A$5:$AN$5,0))</f>
        <v>61.25</v>
      </c>
      <c r="I23" s="10">
        <f>INDEX(DriversGams!$A$5:$AN$23,MATCH(Drivers!$A23,DriversGams!$A$5:$A$23,0),MATCH(Drivers!I$3,DriversGams!$A$5:$AN$5,0))</f>
        <v>61</v>
      </c>
      <c r="J23" s="10">
        <f>INDEX(DriversGams!$A$5:$AN$23,MATCH(Drivers!$A23,DriversGams!$A$5:$A$23,0),MATCH(Drivers!J$3,DriversGams!$A$5:$AN$5,0))</f>
        <v>60.54</v>
      </c>
      <c r="K23" s="10">
        <f>INDEX(DriversGams!$A$5:$AN$23,MATCH(Drivers!$A23,DriversGams!$A$5:$A$23,0),MATCH(Drivers!K$3,DriversGams!$A$5:$AN$5,0))</f>
        <v>58.59</v>
      </c>
      <c r="L23" s="10">
        <f>INDEX(DriversGams!$A$5:$AN$23,MATCH(Drivers!$A23,DriversGams!$A$5:$A$23,0),MATCH(Drivers!L$3,DriversGams!$A$5:$AN$5,0))</f>
        <v>58.28</v>
      </c>
      <c r="M23" s="10">
        <f>INDEX(DriversGams!$A$5:$AN$23,MATCH(Drivers!$A23,DriversGams!$A$5:$A$23,0),MATCH(Drivers!M$3,DriversGams!$A$5:$AN$5,0))</f>
        <v>58.04</v>
      </c>
      <c r="N23" s="10">
        <f>INDEX(DriversGams!$A$5:$AN$23,MATCH(Drivers!$A23,DriversGams!$A$5:$A$23,0),MATCH(Drivers!N$3,DriversGams!$A$5:$AN$5,0))</f>
        <v>58.33</v>
      </c>
      <c r="O23" s="10">
        <f>INDEX(DriversGams!$A$5:$AN$23,MATCH(Drivers!$A23,DriversGams!$A$5:$A$23,0),MATCH(Drivers!O$3,DriversGams!$A$5:$AN$5,0))</f>
        <v>58.77</v>
      </c>
      <c r="P23" s="10">
        <f>INDEX(DriversGams!$A$5:$AN$23,MATCH(Drivers!$A23,DriversGams!$A$5:$A$23,0),MATCH(Drivers!P$3,DriversGams!$A$5:$AN$5,0))</f>
        <v>59.57</v>
      </c>
      <c r="Q23" s="10">
        <f>INDEX(DriversGams!$A$5:$AN$23,MATCH(Drivers!$A23,DriversGams!$A$5:$A$23,0),MATCH(Drivers!Q$3,DriversGams!$A$5:$AN$5,0))</f>
        <v>59.16</v>
      </c>
      <c r="R23" s="10">
        <f>INDEX(DriversGams!$A$5:$AN$23,MATCH(Drivers!$A23,DriversGams!$A$5:$A$23,0),MATCH(Drivers!R$3,DriversGams!$A$5:$AN$5,0))</f>
        <v>59</v>
      </c>
      <c r="S23" s="10">
        <f>INDEX(DriversGams!$A$5:$AN$23,MATCH(Drivers!$A23,DriversGams!$A$5:$A$23,0),MATCH(Drivers!S$3,DriversGams!$A$5:$AN$5,0))</f>
        <v>59.42</v>
      </c>
      <c r="T23" s="10">
        <f>INDEX(DriversGams!$A$5:$AN$23,MATCH(Drivers!$A23,DriversGams!$A$5:$A$23,0),MATCH(Drivers!T$3,DriversGams!$A$5:$AN$5,0))</f>
        <v>59.75</v>
      </c>
      <c r="U23" s="10">
        <f>INDEX(DriversGams!$A$5:$AN$23,MATCH(Drivers!$A23,DriversGams!$A$5:$A$23,0),MATCH(Drivers!U$3,DriversGams!$A$5:$AN$5,0))</f>
        <v>60.14</v>
      </c>
      <c r="V23" s="10">
        <f>INDEX(DriversGams!$A$5:$AN$23,MATCH(Drivers!$A23,DriversGams!$A$5:$A$23,0),MATCH(Drivers!V$3,DriversGams!$A$5:$AN$5,0))</f>
        <v>59.87</v>
      </c>
      <c r="W23" s="10">
        <f>INDEX(DriversGams!$A$5:$AN$23,MATCH(Drivers!$A23,DriversGams!$A$5:$A$23,0),MATCH(Drivers!W$3,DriversGams!$A$5:$AN$5,0))</f>
        <v>59.81</v>
      </c>
      <c r="X23" s="10">
        <f>INDEX(DriversGams!$A$5:$AN$23,MATCH(Drivers!$A23,DriversGams!$A$5:$A$23,0),MATCH(Drivers!X$3,DriversGams!$A$5:$AN$5,0))</f>
        <v>59.04</v>
      </c>
      <c r="Y23" s="10">
        <f>INDEX(DriversGams!$A$5:$AN$23,MATCH(Drivers!$A23,DriversGams!$A$5:$A$23,0),MATCH(Drivers!Y$3,DriversGams!$A$5:$AN$5,0))</f>
        <v>58.81</v>
      </c>
      <c r="Z23" s="10">
        <f>INDEX(DriversGams!$A$5:$AN$23,MATCH(Drivers!$A23,DriversGams!$A$5:$A$23,0),MATCH(Drivers!Z$3,DriversGams!$A$5:$AN$5,0))</f>
        <v>57.72</v>
      </c>
      <c r="AA23" s="10">
        <f>INDEX(DriversGams!$A$5:$AN$23,MATCH(Drivers!$A23,DriversGams!$A$5:$A$23,0),MATCH(Drivers!AA$3,DriversGams!$A$5:$AN$5,0))</f>
        <v>56.64</v>
      </c>
      <c r="AB23" s="10">
        <f>INDEX(DriversGams!$A$5:$AN$23,MATCH(Drivers!$A23,DriversGams!$A$5:$A$23,0),MATCH(Drivers!AB$3,DriversGams!$A$5:$AN$5,0))</f>
        <v>56.05</v>
      </c>
      <c r="AC23" s="10">
        <f>INDEX(DriversGams!$A$5:$AN$23,MATCH(Drivers!$A23,DriversGams!$A$5:$A$23,0),MATCH(Drivers!AC$3,DriversGams!$A$5:$AN$5,0))</f>
        <v>54.94</v>
      </c>
      <c r="AD23" s="10">
        <f>INDEX(DriversGams!$A$5:$AN$23,MATCH(Drivers!$A23,DriversGams!$A$5:$A$23,0),MATCH(Drivers!AD$3,DriversGams!$A$5:$AN$5,0))</f>
        <v>53.83</v>
      </c>
      <c r="AE23" s="10">
        <f>INDEX(DriversGams!$A$5:$AN$23,MATCH(Drivers!$A23,DriversGams!$A$5:$A$23,0),MATCH(Drivers!AE$3,DriversGams!$A$5:$AN$5,0))</f>
        <v>52.7</v>
      </c>
      <c r="AF23" s="10">
        <f>INDEX(DriversGams!$A$5:$AN$23,MATCH(Drivers!$A23,DriversGams!$A$5:$A$23,0),MATCH(Drivers!AF$3,DriversGams!$A$5:$AN$5,0))</f>
        <v>49.8</v>
      </c>
      <c r="AG23" s="10">
        <f>INDEX(DriversGams!$A$5:$AN$23,MATCH(Drivers!$A23,DriversGams!$A$5:$A$23,0),MATCH(Drivers!AG$3,DriversGams!$A$5:$AN$5,0))</f>
        <v>46.94</v>
      </c>
      <c r="AH23" s="138"/>
      <c r="AI23" s="138"/>
      <c r="AJ23" s="138"/>
      <c r="AK23" s="138"/>
      <c r="AL23" s="138"/>
      <c r="AM23" s="138"/>
    </row>
    <row r="24" spans="1:41" s="199" customFormat="1">
      <c r="A24" s="146" t="s">
        <v>529</v>
      </c>
      <c r="B24" s="199">
        <f t="shared" si="1"/>
        <v>18</v>
      </c>
      <c r="C24" s="10">
        <f>INDEX(DriversGams!$A$5:$AN$23,MATCH(Drivers!$A24,DriversGams!$A$5:$A$23,0),MATCH(Drivers!C$3,DriversGams!$A$5:$AN$5,0))</f>
        <v>84.25</v>
      </c>
      <c r="D24" s="10">
        <f>INDEX(DriversGams!$A$5:$AN$23,MATCH(Drivers!$A24,DriversGams!$A$5:$A$23,0),MATCH(Drivers!D$3,DriversGams!$A$5:$AN$5,0))</f>
        <v>82.61</v>
      </c>
      <c r="E24" s="10">
        <f>INDEX(DriversGams!$A$5:$AN$23,MATCH(Drivers!$A24,DriversGams!$A$5:$A$23,0),MATCH(Drivers!E$3,DriversGams!$A$5:$AN$5,0))</f>
        <v>80.510000000000005</v>
      </c>
      <c r="F24" s="10">
        <f>INDEX(DriversGams!$A$5:$AN$23,MATCH(Drivers!$A24,DriversGams!$A$5:$A$23,0),MATCH(Drivers!F$3,DriversGams!$A$5:$AN$5,0))</f>
        <v>78.41</v>
      </c>
      <c r="G24" s="10">
        <f>INDEX(DriversGams!$A$5:$AN$23,MATCH(Drivers!$A24,DriversGams!$A$5:$A$23,0),MATCH(Drivers!G$3,DriversGams!$A$5:$AN$5,0))</f>
        <v>77.430000000000007</v>
      </c>
      <c r="H24" s="10">
        <f>INDEX(DriversGams!$A$5:$AN$23,MATCH(Drivers!$A24,DriversGams!$A$5:$A$23,0),MATCH(Drivers!H$3,DriversGams!$A$5:$AN$5,0))</f>
        <v>76.11</v>
      </c>
      <c r="I24" s="10">
        <f>INDEX(DriversGams!$A$5:$AN$23,MATCH(Drivers!$A24,DriversGams!$A$5:$A$23,0),MATCH(Drivers!I$3,DriversGams!$A$5:$AN$5,0))</f>
        <v>77.17</v>
      </c>
      <c r="J24" s="10">
        <f>INDEX(DriversGams!$A$5:$AN$23,MATCH(Drivers!$A24,DriversGams!$A$5:$A$23,0),MATCH(Drivers!J$3,DriversGams!$A$5:$AN$5,0))</f>
        <v>77.56</v>
      </c>
      <c r="K24" s="10">
        <f>INDEX(DriversGams!$A$5:$AN$23,MATCH(Drivers!$A24,DriversGams!$A$5:$A$23,0),MATCH(Drivers!K$3,DriversGams!$A$5:$AN$5,0))</f>
        <v>73.680000000000007</v>
      </c>
      <c r="L24" s="10">
        <f>INDEX(DriversGams!$A$5:$AN$23,MATCH(Drivers!$A24,DriversGams!$A$5:$A$23,0),MATCH(Drivers!L$3,DriversGams!$A$5:$AN$5,0))</f>
        <v>77.39</v>
      </c>
      <c r="M24" s="10">
        <f>INDEX(DriversGams!$A$5:$AN$23,MATCH(Drivers!$A24,DriversGams!$A$5:$A$23,0),MATCH(Drivers!M$3,DriversGams!$A$5:$AN$5,0))</f>
        <v>78.28</v>
      </c>
      <c r="N24" s="10">
        <f>INDEX(DriversGams!$A$5:$AN$23,MATCH(Drivers!$A24,DriversGams!$A$5:$A$23,0),MATCH(Drivers!N$3,DriversGams!$A$5:$AN$5,0))</f>
        <v>79.58</v>
      </c>
      <c r="O24" s="10">
        <f>INDEX(DriversGams!$A$5:$AN$23,MATCH(Drivers!$A24,DriversGams!$A$5:$A$23,0),MATCH(Drivers!O$3,DriversGams!$A$5:$AN$5,0))</f>
        <v>80.31</v>
      </c>
      <c r="P24" s="10">
        <f>INDEX(DriversGams!$A$5:$AN$23,MATCH(Drivers!$A24,DriversGams!$A$5:$A$23,0),MATCH(Drivers!P$3,DriversGams!$A$5:$AN$5,0))</f>
        <v>78.52</v>
      </c>
      <c r="Q24" s="10">
        <f>INDEX(DriversGams!$A$5:$AN$23,MATCH(Drivers!$A24,DriversGams!$A$5:$A$23,0),MATCH(Drivers!Q$3,DriversGams!$A$5:$AN$5,0))</f>
        <v>81.5</v>
      </c>
      <c r="R24" s="10">
        <f>INDEX(DriversGams!$A$5:$AN$23,MATCH(Drivers!$A24,DriversGams!$A$5:$A$23,0),MATCH(Drivers!R$3,DriversGams!$A$5:$AN$5,0))</f>
        <v>83.29</v>
      </c>
      <c r="S24" s="10">
        <f>INDEX(DriversGams!$A$5:$AN$23,MATCH(Drivers!$A24,DriversGams!$A$5:$A$23,0),MATCH(Drivers!S$3,DriversGams!$A$5:$AN$5,0))</f>
        <v>84.56</v>
      </c>
      <c r="T24" s="10">
        <f>INDEX(DriversGams!$A$5:$AN$23,MATCH(Drivers!$A24,DriversGams!$A$5:$A$23,0),MATCH(Drivers!T$3,DriversGams!$A$5:$AN$5,0))</f>
        <v>86.89</v>
      </c>
      <c r="U24" s="10">
        <f>INDEX(DriversGams!$A$5:$AN$23,MATCH(Drivers!$A24,DriversGams!$A$5:$A$23,0),MATCH(Drivers!U$3,DriversGams!$A$5:$AN$5,0))</f>
        <v>88.38</v>
      </c>
      <c r="V24" s="10">
        <f>INDEX(DriversGams!$A$5:$AN$23,MATCH(Drivers!$A24,DriversGams!$A$5:$A$23,0),MATCH(Drivers!V$3,DriversGams!$A$5:$AN$5,0))</f>
        <v>92.4</v>
      </c>
      <c r="W24" s="10">
        <f>INDEX(DriversGams!$A$5:$AN$23,MATCH(Drivers!$A24,DriversGams!$A$5:$A$23,0),MATCH(Drivers!W$3,DriversGams!$A$5:$AN$5,0))</f>
        <v>94.97</v>
      </c>
      <c r="X24" s="10">
        <f>INDEX(DriversGams!$A$5:$AN$23,MATCH(Drivers!$A24,DriversGams!$A$5:$A$23,0),MATCH(Drivers!X$3,DriversGams!$A$5:$AN$5,0))</f>
        <v>97.53</v>
      </c>
      <c r="Y24" s="10">
        <f>INDEX(DriversGams!$A$5:$AN$23,MATCH(Drivers!$A24,DriversGams!$A$5:$A$23,0),MATCH(Drivers!Y$3,DriversGams!$A$5:$AN$5,0))</f>
        <v>100.17</v>
      </c>
      <c r="Z24" s="10">
        <f>INDEX(DriversGams!$A$5:$AN$23,MATCH(Drivers!$A24,DriversGams!$A$5:$A$23,0),MATCH(Drivers!Z$3,DriversGams!$A$5:$AN$5,0))</f>
        <v>103.17</v>
      </c>
      <c r="AA24" s="10">
        <f>INDEX(DriversGams!$A$5:$AN$23,MATCH(Drivers!$A24,DriversGams!$A$5:$A$23,0),MATCH(Drivers!AA$3,DriversGams!$A$5:$AN$5,0))</f>
        <v>107.89</v>
      </c>
      <c r="AB24" s="10">
        <f>INDEX(DriversGams!$A$5:$AN$23,MATCH(Drivers!$A24,DriversGams!$A$5:$A$23,0),MATCH(Drivers!AB$3,DriversGams!$A$5:$AN$5,0))</f>
        <v>113.53</v>
      </c>
      <c r="AC24" s="10">
        <f>INDEX(DriversGams!$A$5:$AN$23,MATCH(Drivers!$A24,DriversGams!$A$5:$A$23,0),MATCH(Drivers!AC$3,DriversGams!$A$5:$AN$5,0))</f>
        <v>116.68</v>
      </c>
      <c r="AD24" s="10">
        <f>INDEX(DriversGams!$A$5:$AN$23,MATCH(Drivers!$A24,DriversGams!$A$5:$A$23,0),MATCH(Drivers!AD$3,DriversGams!$A$5:$AN$5,0))</f>
        <v>121.42</v>
      </c>
      <c r="AE24" s="10">
        <f>INDEX(DriversGams!$A$5:$AN$23,MATCH(Drivers!$A24,DriversGams!$A$5:$A$23,0),MATCH(Drivers!AE$3,DriversGams!$A$5:$AN$5,0))</f>
        <v>126.17</v>
      </c>
      <c r="AF24" s="10">
        <f>INDEX(DriversGams!$A$5:$AN$23,MATCH(Drivers!$A24,DriversGams!$A$5:$A$23,0),MATCH(Drivers!AF$3,DriversGams!$A$5:$AN$5,0))</f>
        <v>140.22999999999999</v>
      </c>
      <c r="AG24" s="10">
        <f>INDEX(DriversGams!$A$5:$AN$23,MATCH(Drivers!$A24,DriversGams!$A$5:$A$23,0),MATCH(Drivers!AG$3,DriversGams!$A$5:$AN$5,0))</f>
        <v>154.41</v>
      </c>
      <c r="AH24" s="138"/>
      <c r="AI24" s="138"/>
      <c r="AJ24" s="138"/>
      <c r="AK24" s="138"/>
      <c r="AL24" s="138"/>
      <c r="AM24" s="138"/>
    </row>
    <row r="25" spans="1:41">
      <c r="A25" s="5" t="s">
        <v>5</v>
      </c>
      <c r="B25" s="199">
        <f t="shared" si="1"/>
        <v>19</v>
      </c>
      <c r="C25" s="139">
        <f>SUM(C7:C24)</f>
        <v>2893.5800000000004</v>
      </c>
      <c r="D25" s="139">
        <f>SUM(D7:D24)</f>
        <v>2971.7700000000004</v>
      </c>
      <c r="E25" s="139">
        <f t="shared" ref="E25:AG25" si="3">SUM(E7:E24)</f>
        <v>3031.94</v>
      </c>
      <c r="F25" s="139">
        <f t="shared" si="3"/>
        <v>3079.5099999999998</v>
      </c>
      <c r="G25" s="139">
        <f t="shared" si="3"/>
        <v>3113.2900000000004</v>
      </c>
      <c r="H25" s="139">
        <f t="shared" si="3"/>
        <v>3160.03</v>
      </c>
      <c r="I25" s="139">
        <f t="shared" si="3"/>
        <v>3213.2500000000005</v>
      </c>
      <c r="J25" s="139">
        <f t="shared" si="3"/>
        <v>3267.9</v>
      </c>
      <c r="K25" s="139">
        <f t="shared" si="3"/>
        <v>3045.4199999999996</v>
      </c>
      <c r="L25" s="139">
        <f t="shared" si="3"/>
        <v>3166.9500000000007</v>
      </c>
      <c r="M25" s="139">
        <f t="shared" si="3"/>
        <v>3273.2200000000003</v>
      </c>
      <c r="N25" s="139">
        <f t="shared" si="3"/>
        <v>3387.9500000000003</v>
      </c>
      <c r="O25" s="139">
        <f t="shared" si="3"/>
        <v>3519.66</v>
      </c>
      <c r="P25" s="139">
        <f t="shared" si="3"/>
        <v>3660.49</v>
      </c>
      <c r="Q25" s="139">
        <f t="shared" si="3"/>
        <v>3822.1200000000003</v>
      </c>
      <c r="R25" s="139">
        <f t="shared" si="3"/>
        <v>3995.6200000000003</v>
      </c>
      <c r="S25" s="139">
        <f t="shared" si="3"/>
        <v>4183.33</v>
      </c>
      <c r="T25" s="139">
        <f t="shared" si="3"/>
        <v>4396.4100000000008</v>
      </c>
      <c r="U25" s="139">
        <f t="shared" si="3"/>
        <v>4621.420000000001</v>
      </c>
      <c r="V25" s="139">
        <f t="shared" si="3"/>
        <v>4851.7899999999981</v>
      </c>
      <c r="W25" s="139">
        <f t="shared" si="3"/>
        <v>5096.2699999999995</v>
      </c>
      <c r="X25" s="139">
        <f t="shared" si="3"/>
        <v>5354.25</v>
      </c>
      <c r="Y25" s="139">
        <f t="shared" si="3"/>
        <v>5627.24</v>
      </c>
      <c r="Z25" s="139">
        <f t="shared" si="3"/>
        <v>5897.9300000000012</v>
      </c>
      <c r="AA25" s="139">
        <f t="shared" si="3"/>
        <v>6181.34</v>
      </c>
      <c r="AB25" s="139">
        <f t="shared" si="3"/>
        <v>6498.1100000000006</v>
      </c>
      <c r="AC25" s="139">
        <f t="shared" si="3"/>
        <v>6834.8200000000006</v>
      </c>
      <c r="AD25" s="139">
        <f t="shared" si="3"/>
        <v>7194.2900000000009</v>
      </c>
      <c r="AE25" s="139">
        <f t="shared" si="3"/>
        <v>7571.8400000000011</v>
      </c>
      <c r="AF25" s="139">
        <f t="shared" si="3"/>
        <v>9813.6699999999983</v>
      </c>
      <c r="AG25" s="139">
        <f t="shared" si="3"/>
        <v>12657.670000000004</v>
      </c>
      <c r="AH25" s="139"/>
      <c r="AI25" s="139"/>
      <c r="AJ25" s="139"/>
      <c r="AK25" s="139"/>
      <c r="AL25" s="139"/>
      <c r="AM25" s="139"/>
    </row>
    <row r="26" spans="1:41" s="34" customFormat="1">
      <c r="A26" s="268" t="s">
        <v>279</v>
      </c>
      <c r="B26" s="199">
        <f t="shared" si="1"/>
        <v>20</v>
      </c>
      <c r="C26" s="268"/>
      <c r="D26" s="269">
        <f>D25/C25-1</f>
        <v>2.7021889838884761E-2</v>
      </c>
      <c r="E26" s="269">
        <f t="shared" ref="E26:AE26" si="4">E25/D25-1</f>
        <v>2.0247192750448173E-2</v>
      </c>
      <c r="F26" s="269">
        <f t="shared" si="4"/>
        <v>1.5689624464863883E-2</v>
      </c>
      <c r="G26" s="269">
        <f t="shared" si="4"/>
        <v>1.096927757987487E-2</v>
      </c>
      <c r="H26" s="269">
        <f t="shared" si="4"/>
        <v>1.5013056926916457E-2</v>
      </c>
      <c r="I26" s="269">
        <f t="shared" si="4"/>
        <v>1.684161226317471E-2</v>
      </c>
      <c r="J26" s="269">
        <f t="shared" si="4"/>
        <v>1.7007702481910636E-2</v>
      </c>
      <c r="K26" s="269">
        <f t="shared" si="4"/>
        <v>-6.8080418617460947E-2</v>
      </c>
      <c r="L26" s="269">
        <f t="shared" si="4"/>
        <v>3.9905825797427408E-2</v>
      </c>
      <c r="M26" s="269">
        <f t="shared" si="4"/>
        <v>3.3555944994395182E-2</v>
      </c>
      <c r="N26" s="269">
        <f t="shared" si="4"/>
        <v>3.5051111749286656E-2</v>
      </c>
      <c r="O26" s="269">
        <f t="shared" si="4"/>
        <v>3.8876016470136721E-2</v>
      </c>
      <c r="P26" s="269">
        <f t="shared" si="4"/>
        <v>4.0012387560162122E-2</v>
      </c>
      <c r="Q26" s="269">
        <f t="shared" si="4"/>
        <v>4.4155290685127024E-2</v>
      </c>
      <c r="R26" s="269">
        <f t="shared" si="4"/>
        <v>4.5393655876843297E-2</v>
      </c>
      <c r="S26" s="269">
        <f t="shared" si="4"/>
        <v>4.6978941941425711E-2</v>
      </c>
      <c r="T26" s="269">
        <f t="shared" si="4"/>
        <v>5.0935498753385655E-2</v>
      </c>
      <c r="U26" s="269">
        <f t="shared" si="4"/>
        <v>5.1180394913122429E-2</v>
      </c>
      <c r="V26" s="269">
        <f t="shared" si="4"/>
        <v>4.9848315020058154E-2</v>
      </c>
      <c r="W26" s="269">
        <f t="shared" si="4"/>
        <v>5.0389650005462139E-2</v>
      </c>
      <c r="X26" s="269">
        <f t="shared" si="4"/>
        <v>5.0621336781607074E-2</v>
      </c>
      <c r="Y26" s="269">
        <f t="shared" si="4"/>
        <v>5.0985665592753415E-2</v>
      </c>
      <c r="Z26" s="269">
        <f t="shared" si="4"/>
        <v>4.8103510779707426E-2</v>
      </c>
      <c r="AA26" s="269">
        <f t="shared" si="4"/>
        <v>4.8052452301061477E-2</v>
      </c>
      <c r="AB26" s="269">
        <f t="shared" si="4"/>
        <v>5.1246169924320739E-2</v>
      </c>
      <c r="AC26" s="269">
        <f t="shared" si="4"/>
        <v>5.1816605135954985E-2</v>
      </c>
      <c r="AD26" s="269">
        <f t="shared" si="4"/>
        <v>5.2593923468357673E-2</v>
      </c>
      <c r="AE26" s="269">
        <f t="shared" si="4"/>
        <v>5.2479118856759932E-2</v>
      </c>
      <c r="AF26" s="269">
        <f>(AF25/AE25)^(1/5)-1</f>
        <v>5.3236750122773513E-2</v>
      </c>
      <c r="AG26" s="269">
        <f>(AG25/AF25)^(1/5)-1</f>
        <v>5.2214939726060949E-2</v>
      </c>
      <c r="AH26" s="268"/>
      <c r="AI26" s="268"/>
      <c r="AJ26" s="268"/>
      <c r="AK26" s="268"/>
      <c r="AL26" s="268"/>
      <c r="AM26" s="268"/>
    </row>
    <row r="27" spans="1:41">
      <c r="A27" s="4" t="s">
        <v>615</v>
      </c>
      <c r="B27" s="199">
        <f t="shared" si="1"/>
        <v>21</v>
      </c>
      <c r="C27" s="138">
        <f>INDEX(DriversGams!$A$43:$AN$43,1,MATCH(Drivers!C$3,DriversGams!$A$42:$AN$42,0))/1000</f>
        <v>52.325432882070082</v>
      </c>
      <c r="D27" s="138">
        <f>INDEX(DriversGams!$A$43:$AN$43,1,MATCH(Drivers!D$3,DriversGams!$A$42:$AN$42,0))/1000</f>
        <v>53.104386458423342</v>
      </c>
      <c r="E27" s="138">
        <f>INDEX(DriversGams!$A$43:$AN$43,1,MATCH(Drivers!E$3,DriversGams!$A$42:$AN$42,0))/1000</f>
        <v>53.912365691429272</v>
      </c>
      <c r="F27" s="138">
        <f>INDEX(DriversGams!$A$43:$AN$43,1,MATCH(Drivers!F$3,DriversGams!$A$42:$AN$42,0))/1000</f>
        <v>54.750491457321111</v>
      </c>
      <c r="G27" s="138">
        <f>INDEX(DriversGams!$A$43:$AN$43,1,MATCH(Drivers!G$3,DriversGams!$A$42:$AN$42,0))/1000</f>
        <v>55.619940469824826</v>
      </c>
      <c r="H27" s="138">
        <f>INDEX(DriversGams!$A$43:$AN$43,1,MATCH(Drivers!H$3,DriversGams!$A$42:$AN$42,0))/1000</f>
        <v>56.521948041648095</v>
      </c>
      <c r="I27" s="138">
        <f>INDEX(DriversGams!$A$43:$AN$43,1,MATCH(Drivers!I$3,DriversGams!$A$42:$AN$42,0))/1000</f>
        <v>57.436000617299655</v>
      </c>
      <c r="J27" s="138">
        <f>INDEX(DriversGams!$A$43:$AN$43,1,MATCH(Drivers!J$3,DriversGams!$A$42:$AN$42,0))/1000</f>
        <v>58.364834921819444</v>
      </c>
      <c r="K27" s="138">
        <f>INDEX(DriversGams!$A$43:$AN$43,1,MATCH(Drivers!K$3,DriversGams!$A$42:$AN$42,0))/1000</f>
        <v>59.308690000000006</v>
      </c>
      <c r="L27" s="138">
        <f>INDEX(DriversGams!$A$43:$AN$43,1,MATCH(Drivers!L$3,DriversGams!$A$42:$AN$42,0))/1000</f>
        <v>59.991580449204264</v>
      </c>
      <c r="M27" s="138">
        <f>INDEX(DriversGams!$A$43:$AN$43,1,MATCH(Drivers!M$3,DriversGams!$A$42:$AN$42,0))/1000</f>
        <v>60.682333816399378</v>
      </c>
      <c r="N27" s="138">
        <f>INDEX(DriversGams!$A$43:$AN$43,1,MATCH(Drivers!N$3,DriversGams!$A$42:$AN$42,0))/1000</f>
        <v>61.381040636574369</v>
      </c>
      <c r="O27" s="138">
        <f>INDEX(DriversGams!$A$43:$AN$43,1,MATCH(Drivers!O$3,DriversGams!$A$42:$AN$42,0))/1000</f>
        <v>62.087792487153699</v>
      </c>
      <c r="P27" s="138">
        <f>INDEX(DriversGams!$A$43:$AN$43,1,MATCH(Drivers!P$3,DriversGams!$A$42:$AN$42,0))/1000</f>
        <v>62.802682000000026</v>
      </c>
      <c r="Q27" s="138">
        <f>INDEX(DriversGams!$A$43:$AN$43,1,MATCH(Drivers!Q$3,DriversGams!$A$42:$AN$42,0))/1000</f>
        <v>63.421065342005143</v>
      </c>
      <c r="R27" s="138">
        <f>INDEX(DriversGams!$A$43:$AN$43,1,MATCH(Drivers!R$3,DriversGams!$A$42:$AN$42,0))/1000</f>
        <v>64.045537563425796</v>
      </c>
      <c r="S27" s="138">
        <f>INDEX(DriversGams!$A$43:$AN$43,1,MATCH(Drivers!S$3,DriversGams!$A$42:$AN$42,0))/1000</f>
        <v>64.676158618096451</v>
      </c>
      <c r="T27" s="138">
        <f>INDEX(DriversGams!$A$43:$AN$43,1,MATCH(Drivers!T$3,DriversGams!$A$42:$AN$42,0))/1000</f>
        <v>65.31298905018393</v>
      </c>
      <c r="U27" s="138">
        <f>INDEX(DriversGams!$A$43:$AN$43,1,MATCH(Drivers!U$3,DriversGams!$A$42:$AN$42,0))/1000</f>
        <v>65.956090000000003</v>
      </c>
      <c r="V27" s="138">
        <f>INDEX(DriversGams!$A$43:$AN$43,1,MATCH(Drivers!V$3,DriversGams!$A$42:$AN$42,0))/1000</f>
        <v>66.518977190687664</v>
      </c>
      <c r="W27" s="138">
        <f>INDEX(DriversGams!$A$43:$AN$43,1,MATCH(Drivers!W$3,DriversGams!$A$42:$AN$42,0))/1000</f>
        <v>67.08666821358311</v>
      </c>
      <c r="X27" s="138">
        <f>INDEX(DriversGams!$A$43:$AN$43,1,MATCH(Drivers!X$3,DriversGams!$A$42:$AN$42,0))/1000</f>
        <v>67.659204065895452</v>
      </c>
      <c r="Y27" s="138">
        <f>INDEX(DriversGams!$A$43:$AN$43,1,MATCH(Drivers!Y$3,DriversGams!$A$42:$AN$42,0))/1000</f>
        <v>68.236626094715163</v>
      </c>
      <c r="Z27" s="138">
        <f>INDEX(DriversGams!$A$43:$AN$43,1,MATCH(Drivers!Z$3,DriversGams!$A$42:$AN$42,0))/1000</f>
        <v>68.818976000000006</v>
      </c>
      <c r="AA27" s="138">
        <f>INDEX(DriversGams!$A$43:$AN$43,1,MATCH(Drivers!AA$3,DriversGams!$A$42:$AN$42,0))/1000</f>
        <v>69.322810489383542</v>
      </c>
      <c r="AB27" s="138">
        <f>INDEX(DriversGams!$A$43:$AN$43,1,MATCH(Drivers!AB$3,DriversGams!$A$42:$AN$42,0))/1000</f>
        <v>69.830333629884052</v>
      </c>
      <c r="AC27" s="138">
        <f>INDEX(DriversGams!$A$43:$AN$43,1,MATCH(Drivers!AC$3,DriversGams!$A$42:$AN$42,0))/1000</f>
        <v>70.341572426693446</v>
      </c>
      <c r="AD27" s="138">
        <f>INDEX(DriversGams!$A$43:$AN$43,1,MATCH(Drivers!AD$3,DriversGams!$A$42:$AN$42,0))/1000</f>
        <v>70.856554082712819</v>
      </c>
      <c r="AE27" s="138">
        <f>INDEX(DriversGams!$A$43:$AN$43,1,MATCH(Drivers!AE$3,DriversGams!$A$42:$AN$42,0))/1000</f>
        <v>71.375305999999995</v>
      </c>
      <c r="AF27" s="138">
        <f>INDEX(DriversGams!$A$43:$AN$43,1,MATCH(Drivers!AF$3,DriversGams!$A$42:$AN$42,0))/1000</f>
        <v>73.619545999999971</v>
      </c>
      <c r="AG27" s="138">
        <f>INDEX(DriversGams!$A$43:$AN$43,1,MATCH(Drivers!AG$3,DriversGams!$A$42:$AN$42,0))/1000</f>
        <v>75.517908999999989</v>
      </c>
      <c r="AH27" s="138"/>
      <c r="AI27" s="138"/>
      <c r="AJ27" s="138"/>
      <c r="AK27" s="138"/>
      <c r="AL27" s="138"/>
      <c r="AM27" s="138"/>
    </row>
    <row r="28" spans="1:41">
      <c r="A28" t="s">
        <v>396</v>
      </c>
      <c r="B28" s="199">
        <f t="shared" si="1"/>
        <v>22</v>
      </c>
      <c r="C28" s="24">
        <f>INDEX(DriversGams!$B61:$AN61,1,MATCH(Drivers!C$3,DriversGams!$B$60:$AN$60,0))</f>
        <v>0.50675000000000003</v>
      </c>
      <c r="D28" s="24">
        <f>INDEX(DriversGams!$B61:$AN61,1,MATCH(Drivers!D$3,DriversGams!$B$60:$AN$60,0))</f>
        <v>0.49534</v>
      </c>
      <c r="E28" s="24">
        <f>INDEX(DriversGams!$B61:$AN61,1,MATCH(Drivers!E$3,DriversGams!$B$60:$AN$60,0))</f>
        <v>0.47926999999999997</v>
      </c>
      <c r="F28" s="24">
        <f>INDEX(DriversGams!$B61:$AN61,1,MATCH(Drivers!F$3,DriversGams!$B$60:$AN$60,0))</f>
        <v>0.46598000000000001</v>
      </c>
      <c r="G28" s="24">
        <f>INDEX(DriversGams!$B61:$AN61,1,MATCH(Drivers!G$3,DriversGams!$B$60:$AN$60,0))</f>
        <v>0.45659</v>
      </c>
      <c r="H28" s="24">
        <f>INDEX(DriversGams!$B61:$AN61,1,MATCH(Drivers!H$3,DriversGams!$B$60:$AN$60,0))</f>
        <v>0.4456</v>
      </c>
      <c r="I28" s="24">
        <f>INDEX(DriversGams!$B61:$AN61,1,MATCH(Drivers!I$3,DriversGams!$B$60:$AN$60,0))</f>
        <v>0.43364999999999998</v>
      </c>
      <c r="J28" s="24">
        <f>INDEX(DriversGams!$B61:$AN61,1,MATCH(Drivers!J$3,DriversGams!$B$60:$AN$60,0))</f>
        <v>0.42387999999999998</v>
      </c>
      <c r="K28" s="24">
        <f>INDEX(DriversGams!$B61:$AN61,1,MATCH(Drivers!K$3,DriversGams!$B$60:$AN$60,0))</f>
        <v>0.42914999999999998</v>
      </c>
      <c r="L28" s="24">
        <f>INDEX(DriversGams!$B61:$AN61,1,MATCH(Drivers!L$3,DriversGams!$B$60:$AN$60,0))</f>
        <v>0.43502999999999997</v>
      </c>
      <c r="M28" s="24">
        <f>INDEX(DriversGams!$B61:$AN61,1,MATCH(Drivers!M$3,DriversGams!$B$60:$AN$60,0))</f>
        <v>0.42220999999999997</v>
      </c>
      <c r="N28" s="24">
        <f>INDEX(DriversGams!$B61:$AN61,1,MATCH(Drivers!N$3,DriversGams!$B$60:$AN$60,0))</f>
        <v>0.41015000000000001</v>
      </c>
      <c r="O28" s="24">
        <f>INDEX(DriversGams!$B61:$AN61,1,MATCH(Drivers!O$3,DriversGams!$B$60:$AN$60,0))</f>
        <v>0.39684000000000003</v>
      </c>
      <c r="P28" s="24">
        <f>INDEX(DriversGams!$B61:$AN61,1,MATCH(Drivers!P$3,DriversGams!$B$60:$AN$60,0))</f>
        <v>0.38307000000000002</v>
      </c>
      <c r="Q28" s="24">
        <f>INDEX(DriversGams!$B61:$AN61,1,MATCH(Drivers!Q$3,DriversGams!$B$60:$AN$60,0))</f>
        <v>0.36964000000000002</v>
      </c>
      <c r="R28" s="24">
        <f>INDEX(DriversGams!$B61:$AN61,1,MATCH(Drivers!R$3,DriversGams!$B$60:$AN$60,0))</f>
        <v>0.35582000000000003</v>
      </c>
      <c r="S28" s="24">
        <f>INDEX(DriversGams!$B61:$AN61,1,MATCH(Drivers!S$3,DriversGams!$B$60:$AN$60,0))</f>
        <v>0.34215000000000001</v>
      </c>
      <c r="T28" s="24">
        <f>INDEX(DriversGams!$B61:$AN61,1,MATCH(Drivers!T$3,DriversGams!$B$60:$AN$60,0))</f>
        <v>0.32800000000000001</v>
      </c>
      <c r="U28" s="24">
        <f>INDEX(DriversGams!$B61:$AN61,1,MATCH(Drivers!U$3,DriversGams!$B$60:$AN$60,0))</f>
        <v>0.31403999999999999</v>
      </c>
      <c r="V28" s="24">
        <f>INDEX(DriversGams!$B61:$AN61,1,MATCH(Drivers!V$3,DriversGams!$B$60:$AN$60,0))</f>
        <v>0.30116999999999999</v>
      </c>
      <c r="W28" s="24">
        <f>INDEX(DriversGams!$B61:$AN61,1,MATCH(Drivers!W$3,DriversGams!$B$60:$AN$60,0))</f>
        <v>0.28872999999999999</v>
      </c>
      <c r="X28" s="24">
        <f>INDEX(DriversGams!$B61:$AN61,1,MATCH(Drivers!X$3,DriversGams!$B$60:$AN$60,0))</f>
        <v>0.27683000000000002</v>
      </c>
      <c r="Y28" s="24">
        <f>INDEX(DriversGams!$B61:$AN61,1,MATCH(Drivers!Y$3,DriversGams!$B$60:$AN$60,0))</f>
        <v>0.26540000000000002</v>
      </c>
      <c r="Z28" s="24">
        <f>INDEX(DriversGams!$B61:$AN61,1,MATCH(Drivers!Z$3,DriversGams!$B$60:$AN$60,0))</f>
        <v>0.25479000000000002</v>
      </c>
      <c r="AA28" s="24">
        <f>INDEX(DriversGams!$B61:$AN61,1,MATCH(Drivers!AA$3,DriversGams!$B$60:$AN$60,0))</f>
        <v>0.24504000000000001</v>
      </c>
      <c r="AB28" s="24">
        <f>INDEX(DriversGams!$B61:$AN61,1,MATCH(Drivers!AB$3,DriversGams!$B$60:$AN$60,0))</f>
        <v>0.23477999999999999</v>
      </c>
      <c r="AC28" s="24">
        <f>INDEX(DriversGams!$B61:$AN61,1,MATCH(Drivers!AC$3,DriversGams!$B$60:$AN$60,0))</f>
        <v>0.22486</v>
      </c>
      <c r="AD28" s="24">
        <f>INDEX(DriversGams!$B61:$AN61,1,MATCH(Drivers!AD$3,DriversGams!$B$60:$AN$60,0))</f>
        <v>0.21551999999999999</v>
      </c>
      <c r="AE28" s="24">
        <f>INDEX(DriversGams!$B61:$AN61,1,MATCH(Drivers!AE$3,DriversGams!$B$60:$AN$60,0))</f>
        <v>0.20649999999999999</v>
      </c>
      <c r="AF28" s="24">
        <f>INDEX(DriversGams!$B61:$AN61,1,MATCH(Drivers!AF$3,DriversGams!$B$60:$AN$60,0))</f>
        <v>0.16772000000000001</v>
      </c>
      <c r="AG28" s="24">
        <f>INDEX(DriversGams!$B61:$AN61,1,MATCH(Drivers!AG$3,DriversGams!$B$60:$AN$60,0))</f>
        <v>0.13816999999999999</v>
      </c>
      <c r="AH28" s="138"/>
      <c r="AI28" s="138"/>
      <c r="AJ28" s="138"/>
      <c r="AK28" s="138"/>
      <c r="AL28" s="138"/>
      <c r="AM28" s="138"/>
    </row>
    <row r="29" spans="1:41">
      <c r="A29" s="4" t="s">
        <v>397</v>
      </c>
      <c r="B29" s="199">
        <f t="shared" si="1"/>
        <v>23</v>
      </c>
      <c r="C29" s="24">
        <f>INDEX(DriversGams!$B62:$AN62,1,MATCH(Drivers!C$3,DriversGams!$B$60:$AN$60,0))</f>
        <v>0.30404999999999999</v>
      </c>
      <c r="D29" s="24">
        <f>INDEX(DriversGams!$B62:$AN62,1,MATCH(Drivers!D$3,DriversGams!$B$60:$AN$60,0))</f>
        <v>0.29831000000000002</v>
      </c>
      <c r="E29" s="24">
        <f>INDEX(DriversGams!$B62:$AN62,1,MATCH(Drivers!E$3,DriversGams!$B$60:$AN$60,0))</f>
        <v>0.30127999999999999</v>
      </c>
      <c r="F29" s="24">
        <f>INDEX(DriversGams!$B62:$AN62,1,MATCH(Drivers!F$3,DriversGams!$B$60:$AN$60,0))</f>
        <v>0.30318000000000001</v>
      </c>
      <c r="G29" s="24">
        <f>INDEX(DriversGams!$B62:$AN62,1,MATCH(Drivers!G$3,DriversGams!$B$60:$AN$60,0))</f>
        <v>0.30435000000000001</v>
      </c>
      <c r="H29" s="24">
        <f>INDEX(DriversGams!$B62:$AN62,1,MATCH(Drivers!H$3,DriversGams!$B$60:$AN$60,0))</f>
        <v>0.30362</v>
      </c>
      <c r="I29" s="24">
        <f>INDEX(DriversGams!$B62:$AN62,1,MATCH(Drivers!I$3,DriversGams!$B$60:$AN$60,0))</f>
        <v>0.30426999999999998</v>
      </c>
      <c r="J29" s="24">
        <f>INDEX(DriversGams!$B62:$AN62,1,MATCH(Drivers!J$3,DriversGams!$B$60:$AN$60,0))</f>
        <v>0.30568000000000001</v>
      </c>
      <c r="K29" s="24">
        <f>INDEX(DriversGams!$B62:$AN62,1,MATCH(Drivers!K$3,DriversGams!$B$60:$AN$60,0))</f>
        <v>0.31517000000000001</v>
      </c>
      <c r="L29" s="24">
        <f>INDEX(DriversGams!$B62:$AN62,1,MATCH(Drivers!L$3,DriversGams!$B$60:$AN$60,0))</f>
        <v>0.29937999999999998</v>
      </c>
      <c r="M29" s="24">
        <f>INDEX(DriversGams!$B62:$AN62,1,MATCH(Drivers!M$3,DriversGams!$B$60:$AN$60,0))</f>
        <v>0.30270000000000002</v>
      </c>
      <c r="N29" s="24">
        <f>INDEX(DriversGams!$B62:$AN62,1,MATCH(Drivers!N$3,DriversGams!$B$60:$AN$60,0))</f>
        <v>0.30468000000000001</v>
      </c>
      <c r="O29" s="24">
        <f>INDEX(DriversGams!$B62:$AN62,1,MATCH(Drivers!O$3,DriversGams!$B$60:$AN$60,0))</f>
        <v>0.30664999999999998</v>
      </c>
      <c r="P29" s="24">
        <f>INDEX(DriversGams!$B62:$AN62,1,MATCH(Drivers!P$3,DriversGams!$B$60:$AN$60,0))</f>
        <v>0.30914000000000003</v>
      </c>
      <c r="Q29" s="24">
        <f>INDEX(DriversGams!$B62:$AN62,1,MATCH(Drivers!Q$3,DriversGams!$B$60:$AN$60,0))</f>
        <v>0.31180000000000002</v>
      </c>
      <c r="R29" s="24">
        <f>INDEX(DriversGams!$B62:$AN62,1,MATCH(Drivers!R$3,DriversGams!$B$60:$AN$60,0))</f>
        <v>0.31498999999999999</v>
      </c>
      <c r="S29" s="24">
        <f>INDEX(DriversGams!$B62:$AN62,1,MATCH(Drivers!S$3,DriversGams!$B$60:$AN$60,0))</f>
        <v>0.31794</v>
      </c>
      <c r="T29" s="24">
        <f>INDEX(DriversGams!$B62:$AN62,1,MATCH(Drivers!T$3,DriversGams!$B$60:$AN$60,0))</f>
        <v>0.32057000000000002</v>
      </c>
      <c r="U29" s="24">
        <f>INDEX(DriversGams!$B62:$AN62,1,MATCH(Drivers!U$3,DriversGams!$B$60:$AN$60,0))</f>
        <v>0.32377</v>
      </c>
      <c r="V29" s="24">
        <f>INDEX(DriversGams!$B62:$AN62,1,MATCH(Drivers!V$3,DriversGams!$B$60:$AN$60,0))</f>
        <v>0.32697999999999999</v>
      </c>
      <c r="W29" s="24">
        <f>INDEX(DriversGams!$B62:$AN62,1,MATCH(Drivers!W$3,DriversGams!$B$60:$AN$60,0))</f>
        <v>0.33028000000000002</v>
      </c>
      <c r="X29" s="24">
        <f>INDEX(DriversGams!$B62:$AN62,1,MATCH(Drivers!X$3,DriversGams!$B$60:$AN$60,0))</f>
        <v>0.33335999999999999</v>
      </c>
      <c r="Y29" s="24">
        <f>INDEX(DriversGams!$B62:$AN62,1,MATCH(Drivers!Y$3,DriversGams!$B$60:$AN$60,0))</f>
        <v>0.33631</v>
      </c>
      <c r="Z29" s="24">
        <f>INDEX(DriversGams!$B62:$AN62,1,MATCH(Drivers!Z$3,DriversGams!$B$60:$AN$60,0))</f>
        <v>0.33939999999999998</v>
      </c>
      <c r="AA29" s="24">
        <f>INDEX(DriversGams!$B62:$AN62,1,MATCH(Drivers!AA$3,DriversGams!$B$60:$AN$60,0))</f>
        <v>0.34238000000000002</v>
      </c>
      <c r="AB29" s="24">
        <f>INDEX(DriversGams!$B62:$AN62,1,MATCH(Drivers!AB$3,DriversGams!$B$60:$AN$60,0))</f>
        <v>0.34501999999999999</v>
      </c>
      <c r="AC29" s="24">
        <f>INDEX(DriversGams!$B62:$AN62,1,MATCH(Drivers!AC$3,DriversGams!$B$60:$AN$60,0))</f>
        <v>0.34815000000000002</v>
      </c>
      <c r="AD29" s="24">
        <f>INDEX(DriversGams!$B62:$AN62,1,MATCH(Drivers!AD$3,DriversGams!$B$60:$AN$60,0))</f>
        <v>0.35088999999999998</v>
      </c>
      <c r="AE29" s="24">
        <f>INDEX(DriversGams!$B62:$AN62,1,MATCH(Drivers!AE$3,DriversGams!$B$60:$AN$60,0))</f>
        <v>0.35360999999999998</v>
      </c>
      <c r="AF29" s="24">
        <f>INDEX(DriversGams!$B62:$AN62,1,MATCH(Drivers!AF$3,DriversGams!$B$60:$AN$60,0))</f>
        <v>0.36720000000000003</v>
      </c>
      <c r="AG29" s="24">
        <f>INDEX(DriversGams!$B62:$AN62,1,MATCH(Drivers!AG$3,DriversGams!$B$60:$AN$60,0))</f>
        <v>0.38073000000000001</v>
      </c>
      <c r="AH29" s="138"/>
      <c r="AI29" s="138"/>
      <c r="AJ29" s="138"/>
      <c r="AK29" s="138"/>
      <c r="AL29" s="138"/>
      <c r="AM29" s="138"/>
    </row>
    <row r="30" spans="1:41">
      <c r="A30" s="4" t="s">
        <v>398</v>
      </c>
      <c r="B30" s="199">
        <f t="shared" si="1"/>
        <v>24</v>
      </c>
      <c r="C30" s="24">
        <f>1-C29-C28</f>
        <v>0.18920000000000003</v>
      </c>
      <c r="D30" s="24">
        <f t="shared" ref="D30:AG30" si="5">1-D29-D28</f>
        <v>0.20634999999999992</v>
      </c>
      <c r="E30" s="24">
        <f t="shared" si="5"/>
        <v>0.21945000000000003</v>
      </c>
      <c r="F30" s="24">
        <f t="shared" si="5"/>
        <v>0.23083999999999999</v>
      </c>
      <c r="G30" s="24">
        <f t="shared" si="5"/>
        <v>0.23905999999999999</v>
      </c>
      <c r="H30" s="24">
        <f t="shared" si="5"/>
        <v>0.25078</v>
      </c>
      <c r="I30" s="24">
        <f t="shared" si="5"/>
        <v>0.26207999999999998</v>
      </c>
      <c r="J30" s="24">
        <f t="shared" si="5"/>
        <v>0.27044000000000007</v>
      </c>
      <c r="K30" s="24">
        <f t="shared" si="5"/>
        <v>0.25568000000000007</v>
      </c>
      <c r="L30" s="24">
        <f t="shared" si="5"/>
        <v>0.26559000000000005</v>
      </c>
      <c r="M30" s="24">
        <f t="shared" si="5"/>
        <v>0.27509000000000006</v>
      </c>
      <c r="N30" s="24">
        <f t="shared" si="5"/>
        <v>0.28516999999999992</v>
      </c>
      <c r="O30" s="24">
        <f t="shared" si="5"/>
        <v>0.29651</v>
      </c>
      <c r="P30" s="24">
        <f t="shared" si="5"/>
        <v>0.30779000000000001</v>
      </c>
      <c r="Q30" s="24">
        <f t="shared" si="5"/>
        <v>0.3185599999999999</v>
      </c>
      <c r="R30" s="24">
        <f t="shared" si="5"/>
        <v>0.32918999999999998</v>
      </c>
      <c r="S30" s="24">
        <f t="shared" si="5"/>
        <v>0.33990999999999999</v>
      </c>
      <c r="T30" s="24">
        <f t="shared" si="5"/>
        <v>0.35142999999999996</v>
      </c>
      <c r="U30" s="24">
        <f t="shared" si="5"/>
        <v>0.36219000000000001</v>
      </c>
      <c r="V30" s="24">
        <f t="shared" si="5"/>
        <v>0.37184999999999996</v>
      </c>
      <c r="W30" s="24">
        <f t="shared" si="5"/>
        <v>0.38099</v>
      </c>
      <c r="X30" s="24">
        <f t="shared" si="5"/>
        <v>0.38980999999999999</v>
      </c>
      <c r="Y30" s="24">
        <f t="shared" si="5"/>
        <v>0.39828999999999998</v>
      </c>
      <c r="Z30" s="24">
        <f t="shared" si="5"/>
        <v>0.40581000000000006</v>
      </c>
      <c r="AA30" s="24">
        <f t="shared" si="5"/>
        <v>0.41257999999999995</v>
      </c>
      <c r="AB30" s="24">
        <f t="shared" si="5"/>
        <v>0.42020000000000002</v>
      </c>
      <c r="AC30" s="24">
        <f t="shared" si="5"/>
        <v>0.42699000000000004</v>
      </c>
      <c r="AD30" s="24">
        <f t="shared" si="5"/>
        <v>0.43359000000000009</v>
      </c>
      <c r="AE30" s="24">
        <f t="shared" si="5"/>
        <v>0.43989</v>
      </c>
      <c r="AF30" s="24">
        <f t="shared" si="5"/>
        <v>0.46508000000000005</v>
      </c>
      <c r="AG30" s="24">
        <f t="shared" si="5"/>
        <v>0.48109999999999997</v>
      </c>
      <c r="AH30" s="138"/>
      <c r="AI30" s="138"/>
      <c r="AJ30" s="138"/>
      <c r="AK30" s="138"/>
      <c r="AL30" s="138"/>
      <c r="AM30" s="138"/>
    </row>
    <row r="31" spans="1:41">
      <c r="A31" t="s">
        <v>399</v>
      </c>
      <c r="B31" s="199">
        <f t="shared" si="1"/>
        <v>25</v>
      </c>
      <c r="C31" s="10">
        <f>C28*C$27</f>
        <v>26.515913112989015</v>
      </c>
      <c r="D31" s="10">
        <f t="shared" ref="D31:AG31" si="6">D28*D$27</f>
        <v>26.304726788315417</v>
      </c>
      <c r="E31" s="10">
        <f t="shared" si="6"/>
        <v>25.838579504931307</v>
      </c>
      <c r="F31" s="10">
        <f t="shared" si="6"/>
        <v>25.512634009282493</v>
      </c>
      <c r="G31" s="10">
        <f t="shared" si="6"/>
        <v>25.395508619117319</v>
      </c>
      <c r="H31" s="10">
        <f t="shared" si="6"/>
        <v>25.186180047358391</v>
      </c>
      <c r="I31" s="10">
        <f t="shared" si="6"/>
        <v>24.907121667691992</v>
      </c>
      <c r="J31" s="10">
        <f t="shared" si="6"/>
        <v>24.739686226660826</v>
      </c>
      <c r="K31" s="10">
        <f t="shared" si="6"/>
        <v>25.4523243135</v>
      </c>
      <c r="L31" s="10">
        <f t="shared" si="6"/>
        <v>26.09813724281733</v>
      </c>
      <c r="M31" s="10">
        <f t="shared" si="6"/>
        <v>25.620688160621981</v>
      </c>
      <c r="N31" s="10">
        <f t="shared" si="6"/>
        <v>25.17543381709098</v>
      </c>
      <c r="O31" s="10">
        <f t="shared" si="6"/>
        <v>24.638919570602077</v>
      </c>
      <c r="P31" s="10">
        <f t="shared" si="6"/>
        <v>24.057823393740012</v>
      </c>
      <c r="Q31" s="10">
        <f t="shared" si="6"/>
        <v>23.442962593018784</v>
      </c>
      <c r="R31" s="10">
        <f t="shared" si="6"/>
        <v>22.788683175818168</v>
      </c>
      <c r="S31" s="10">
        <f t="shared" si="6"/>
        <v>22.128947671181702</v>
      </c>
      <c r="T31" s="10">
        <f t="shared" si="6"/>
        <v>21.422660408460331</v>
      </c>
      <c r="U31" s="10">
        <f t="shared" si="6"/>
        <v>20.712850503599999</v>
      </c>
      <c r="V31" s="10">
        <f t="shared" si="6"/>
        <v>20.033520360519404</v>
      </c>
      <c r="W31" s="10">
        <f t="shared" si="6"/>
        <v>19.369933713307852</v>
      </c>
      <c r="X31" s="10">
        <f t="shared" si="6"/>
        <v>18.73009746156184</v>
      </c>
      <c r="Y31" s="10">
        <f t="shared" si="6"/>
        <v>18.110000565537405</v>
      </c>
      <c r="Z31" s="10">
        <f t="shared" si="6"/>
        <v>17.534386895040004</v>
      </c>
      <c r="AA31" s="10">
        <f t="shared" si="6"/>
        <v>16.986861482318545</v>
      </c>
      <c r="AB31" s="10">
        <f t="shared" si="6"/>
        <v>16.394765729624176</v>
      </c>
      <c r="AC31" s="10">
        <f t="shared" si="6"/>
        <v>15.817005975866289</v>
      </c>
      <c r="AD31" s="10">
        <f t="shared" si="6"/>
        <v>15.271004535906266</v>
      </c>
      <c r="AE31" s="10">
        <f t="shared" si="6"/>
        <v>14.739000688999997</v>
      </c>
      <c r="AF31" s="10">
        <f t="shared" si="6"/>
        <v>12.347470255119996</v>
      </c>
      <c r="AG31" s="10">
        <f t="shared" si="6"/>
        <v>10.434309486529997</v>
      </c>
      <c r="AH31" s="10"/>
      <c r="AI31" s="10"/>
      <c r="AJ31" s="10"/>
      <c r="AK31" s="10"/>
      <c r="AL31" s="10"/>
      <c r="AM31" s="10"/>
    </row>
    <row r="32" spans="1:41">
      <c r="A32" s="4" t="s">
        <v>400</v>
      </c>
      <c r="B32" s="199">
        <f t="shared" si="1"/>
        <v>26</v>
      </c>
      <c r="C32" s="10">
        <f t="shared" ref="C32:C33" si="7">C29*C$27</f>
        <v>15.909547867793409</v>
      </c>
      <c r="D32" s="10">
        <f t="shared" ref="D32:AG32" si="8">D29*D$27</f>
        <v>15.841569524412268</v>
      </c>
      <c r="E32" s="10">
        <f t="shared" si="8"/>
        <v>16.242717535513812</v>
      </c>
      <c r="F32" s="10">
        <f t="shared" si="8"/>
        <v>16.599254000030616</v>
      </c>
      <c r="G32" s="10">
        <f t="shared" si="8"/>
        <v>16.927928881991186</v>
      </c>
      <c r="H32" s="10">
        <f t="shared" si="8"/>
        <v>17.161193864405195</v>
      </c>
      <c r="I32" s="10">
        <f t="shared" si="8"/>
        <v>17.476051907825767</v>
      </c>
      <c r="J32" s="10">
        <f t="shared" si="8"/>
        <v>17.840962738901769</v>
      </c>
      <c r="K32" s="10">
        <f t="shared" si="8"/>
        <v>18.6923198273</v>
      </c>
      <c r="L32" s="10">
        <f t="shared" si="8"/>
        <v>17.960279354882772</v>
      </c>
      <c r="M32" s="10">
        <f t="shared" si="8"/>
        <v>18.368542446224094</v>
      </c>
      <c r="N32" s="10">
        <f t="shared" si="8"/>
        <v>18.701575461151478</v>
      </c>
      <c r="O32" s="10">
        <f t="shared" si="8"/>
        <v>19.039221566185681</v>
      </c>
      <c r="P32" s="10">
        <f t="shared" si="8"/>
        <v>19.414821113480009</v>
      </c>
      <c r="Q32" s="10">
        <f t="shared" si="8"/>
        <v>19.774688173637205</v>
      </c>
      <c r="R32" s="10">
        <f t="shared" si="8"/>
        <v>20.173703877103492</v>
      </c>
      <c r="S32" s="10">
        <f t="shared" si="8"/>
        <v>20.563137871037586</v>
      </c>
      <c r="T32" s="10">
        <f t="shared" si="8"/>
        <v>20.937384899817463</v>
      </c>
      <c r="U32" s="10">
        <f t="shared" si="8"/>
        <v>21.354603259300003</v>
      </c>
      <c r="V32" s="10">
        <f t="shared" si="8"/>
        <v>21.750375161811053</v>
      </c>
      <c r="W32" s="10">
        <f t="shared" si="8"/>
        <v>22.15738477758223</v>
      </c>
      <c r="X32" s="10">
        <f t="shared" si="8"/>
        <v>22.554872267406907</v>
      </c>
      <c r="Y32" s="10">
        <f t="shared" si="8"/>
        <v>22.948659721913657</v>
      </c>
      <c r="Z32" s="10">
        <f t="shared" si="8"/>
        <v>23.357160454400002</v>
      </c>
      <c r="AA32" s="10">
        <f t="shared" si="8"/>
        <v>23.734743855355138</v>
      </c>
      <c r="AB32" s="10">
        <f t="shared" si="8"/>
        <v>24.092861708982596</v>
      </c>
      <c r="AC32" s="10">
        <f t="shared" si="8"/>
        <v>24.489418440353326</v>
      </c>
      <c r="AD32" s="10">
        <f t="shared" si="8"/>
        <v>24.862856262083099</v>
      </c>
      <c r="AE32" s="10">
        <f t="shared" si="8"/>
        <v>25.239021954659997</v>
      </c>
      <c r="AF32" s="10">
        <f t="shared" si="8"/>
        <v>27.03309729119999</v>
      </c>
      <c r="AG32" s="10">
        <f t="shared" si="8"/>
        <v>28.751933493569997</v>
      </c>
      <c r="AH32" s="10"/>
      <c r="AI32" s="10"/>
      <c r="AJ32" s="10"/>
      <c r="AK32" s="10"/>
      <c r="AL32" s="10"/>
      <c r="AM32" s="10"/>
    </row>
    <row r="33" spans="1:39">
      <c r="A33" s="4" t="s">
        <v>401</v>
      </c>
      <c r="B33" s="199">
        <f t="shared" si="1"/>
        <v>27</v>
      </c>
      <c r="C33" s="10">
        <f t="shared" si="7"/>
        <v>9.8999719012876621</v>
      </c>
      <c r="D33" s="10">
        <f t="shared" ref="D33:AG33" si="9">D30*D$27</f>
        <v>10.958090145695653</v>
      </c>
      <c r="E33" s="10">
        <f t="shared" si="9"/>
        <v>11.831068650984156</v>
      </c>
      <c r="F33" s="10">
        <f t="shared" si="9"/>
        <v>12.638603448008004</v>
      </c>
      <c r="G33" s="10">
        <f t="shared" si="9"/>
        <v>13.296502968716323</v>
      </c>
      <c r="H33" s="10">
        <f t="shared" si="9"/>
        <v>14.17457412988451</v>
      </c>
      <c r="I33" s="10">
        <f t="shared" si="9"/>
        <v>15.052827041781892</v>
      </c>
      <c r="J33" s="10">
        <f t="shared" si="9"/>
        <v>15.784185956256854</v>
      </c>
      <c r="K33" s="10">
        <f t="shared" si="9"/>
        <v>15.164045859200005</v>
      </c>
      <c r="L33" s="10">
        <f t="shared" si="9"/>
        <v>15.933163851504164</v>
      </c>
      <c r="M33" s="10">
        <f t="shared" si="9"/>
        <v>16.693103209553307</v>
      </c>
      <c r="N33" s="10">
        <f t="shared" si="9"/>
        <v>17.504031358331908</v>
      </c>
      <c r="O33" s="10">
        <f t="shared" si="9"/>
        <v>18.409651350365944</v>
      </c>
      <c r="P33" s="10">
        <f t="shared" si="9"/>
        <v>19.330037492780008</v>
      </c>
      <c r="Q33" s="10">
        <f t="shared" si="9"/>
        <v>20.203414575349154</v>
      </c>
      <c r="R33" s="10">
        <f t="shared" si="9"/>
        <v>21.083150510504137</v>
      </c>
      <c r="S33" s="10">
        <f t="shared" si="9"/>
        <v>21.984073075877163</v>
      </c>
      <c r="T33" s="10">
        <f t="shared" si="9"/>
        <v>22.952943741906136</v>
      </c>
      <c r="U33" s="10">
        <f t="shared" si="9"/>
        <v>23.888636237100002</v>
      </c>
      <c r="V33" s="10">
        <f t="shared" si="9"/>
        <v>24.735081668357203</v>
      </c>
      <c r="W33" s="10">
        <f t="shared" si="9"/>
        <v>25.559349722693028</v>
      </c>
      <c r="X33" s="10">
        <f t="shared" si="9"/>
        <v>26.374234336926705</v>
      </c>
      <c r="Y33" s="10">
        <f t="shared" si="9"/>
        <v>27.177965807264101</v>
      </c>
      <c r="Z33" s="10">
        <f t="shared" si="9"/>
        <v>27.927428650560007</v>
      </c>
      <c r="AA33" s="10">
        <f t="shared" si="9"/>
        <v>28.601205151709859</v>
      </c>
      <c r="AB33" s="10">
        <f t="shared" si="9"/>
        <v>29.34270619127728</v>
      </c>
      <c r="AC33" s="10">
        <f t="shared" si="9"/>
        <v>30.035148010473836</v>
      </c>
      <c r="AD33" s="10">
        <f t="shared" si="9"/>
        <v>30.722693284723459</v>
      </c>
      <c r="AE33" s="10">
        <f t="shared" si="9"/>
        <v>31.397283356339997</v>
      </c>
      <c r="AF33" s="10">
        <f t="shared" si="9"/>
        <v>34.238978453679991</v>
      </c>
      <c r="AG33" s="10">
        <f t="shared" si="9"/>
        <v>36.331666019899991</v>
      </c>
      <c r="AH33" s="10"/>
      <c r="AI33" s="10"/>
      <c r="AJ33" s="10"/>
      <c r="AK33" s="10"/>
      <c r="AL33" s="10"/>
      <c r="AM33" s="10"/>
    </row>
    <row r="34" spans="1:39">
      <c r="A34" t="s">
        <v>402</v>
      </c>
      <c r="B34" s="199">
        <f t="shared" si="1"/>
        <v>28</v>
      </c>
      <c r="C34">
        <f>INDEX(DriversGams!$A71:$AN71,1,MATCH(Drivers!C$3,DriversGams!$A$70:$AN$70,0))</f>
        <v>0.29762</v>
      </c>
      <c r="D34" s="297">
        <f>INDEX(DriversGams!$A71:$AN71,1,MATCH(Drivers!D$3,DriversGams!$A$70:$AN$70,0))</f>
        <v>0.30654999999999999</v>
      </c>
      <c r="E34" s="297">
        <f>INDEX(DriversGams!$A71:$AN71,1,MATCH(Drivers!E$3,DriversGams!$A$70:$AN$70,0))</f>
        <v>0.31126999999999999</v>
      </c>
      <c r="F34" s="297">
        <f>INDEX(DriversGams!$A71:$AN71,1,MATCH(Drivers!F$3,DriversGams!$A$70:$AN$70,0))</f>
        <v>0.31520999999999999</v>
      </c>
      <c r="G34" s="297">
        <f>INDEX(DriversGams!$A71:$AN71,1,MATCH(Drivers!G$3,DriversGams!$A$70:$AN$70,0))</f>
        <v>0.31698999999999999</v>
      </c>
      <c r="H34" s="297">
        <f>INDEX(DriversGams!$A71:$AN71,1,MATCH(Drivers!H$3,DriversGams!$A$70:$AN$70,0))</f>
        <v>0.32124000000000003</v>
      </c>
      <c r="I34" s="297">
        <f>INDEX(DriversGams!$A71:$AN71,1,MATCH(Drivers!I$3,DriversGams!$A$70:$AN$70,0))</f>
        <v>0.32573999999999997</v>
      </c>
      <c r="J34" s="297">
        <f>INDEX(DriversGams!$A71:$AN71,1,MATCH(Drivers!J$3,DriversGams!$A$70:$AN$70,0))</f>
        <v>0.32751000000000002</v>
      </c>
      <c r="K34" s="297">
        <f>INDEX(DriversGams!$A71:$AN71,1,MATCH(Drivers!K$3,DriversGams!$A$70:$AN$70,0))</f>
        <v>0.30095</v>
      </c>
      <c r="L34" s="297">
        <f>INDEX(DriversGams!$A71:$AN71,1,MATCH(Drivers!L$3,DriversGams!$A$70:$AN$70,0))</f>
        <v>0.31369000000000002</v>
      </c>
      <c r="M34" s="297">
        <f>INDEX(DriversGams!$A71:$AN71,1,MATCH(Drivers!M$3,DriversGams!$A$70:$AN$70,0))</f>
        <v>0.32084000000000001</v>
      </c>
      <c r="N34" s="297">
        <f>INDEX(DriversGams!$A71:$AN71,1,MATCH(Drivers!N$3,DriversGams!$A$70:$AN$70,0))</f>
        <v>0.32922000000000001</v>
      </c>
      <c r="O34" s="297">
        <f>INDEX(DriversGams!$A71:$AN71,1,MATCH(Drivers!O$3,DriversGams!$A$70:$AN$70,0))</f>
        <v>0.33937</v>
      </c>
      <c r="P34" s="297">
        <f>INDEX(DriversGams!$A71:$AN71,1,MATCH(Drivers!P$3,DriversGams!$A$70:$AN$70,0))</f>
        <v>0.35</v>
      </c>
      <c r="Q34" s="297">
        <f>INDEX(DriversGams!$A71:$AN71,1,MATCH(Drivers!Q$3,DriversGams!$A$70:$AN$70,0))</f>
        <v>0.36220999999999998</v>
      </c>
      <c r="R34" s="297">
        <f>INDEX(DriversGams!$A71:$AN71,1,MATCH(Drivers!R$3,DriversGams!$A$70:$AN$70,0))</f>
        <v>0.37487999999999999</v>
      </c>
      <c r="S34" s="297">
        <f>INDEX(DriversGams!$A71:$AN71,1,MATCH(Drivers!S$3,DriversGams!$A$70:$AN$70,0))</f>
        <v>0.42403000000000002</v>
      </c>
      <c r="T34" s="297">
        <f>INDEX(DriversGams!$A71:$AN71,1,MATCH(Drivers!T$3,DriversGams!$A$70:$AN$70,0))</f>
        <v>0.44179000000000002</v>
      </c>
      <c r="U34" s="297">
        <f>INDEX(DriversGams!$A71:$AN71,1,MATCH(Drivers!U$3,DriversGams!$A$70:$AN$70,0))</f>
        <v>0.45938000000000001</v>
      </c>
      <c r="V34" s="297">
        <f>INDEX(DriversGams!$A71:$AN71,1,MATCH(Drivers!V$3,DriversGams!$A$70:$AN$70,0))</f>
        <v>0.47815999999999997</v>
      </c>
      <c r="W34" s="297">
        <f>INDEX(DriversGams!$A71:$AN71,1,MATCH(Drivers!W$3,DriversGams!$A$70:$AN$70,0))</f>
        <v>0.49725000000000003</v>
      </c>
      <c r="X34" s="297">
        <f>INDEX(DriversGams!$A71:$AN71,1,MATCH(Drivers!X$3,DriversGams!$A$70:$AN$70,0))</f>
        <v>0.51702999999999999</v>
      </c>
      <c r="Y34" s="297">
        <f>INDEX(DriversGams!$A71:$AN71,1,MATCH(Drivers!Y$3,DriversGams!$A$70:$AN$70,0))</f>
        <v>0.53776999999999997</v>
      </c>
      <c r="Z34" s="297">
        <f>INDEX(DriversGams!$A71:$AN71,1,MATCH(Drivers!Z$3,DriversGams!$A$70:$AN$70,0))</f>
        <v>0.55723999999999996</v>
      </c>
      <c r="AA34" s="297">
        <f>INDEX(DriversGams!$A71:$AN71,1,MATCH(Drivers!AA$3,DriversGams!$A$70:$AN$70,0))</f>
        <v>0.57845000000000002</v>
      </c>
      <c r="AB34" s="297">
        <f>INDEX(DriversGams!$A71:$AN71,1,MATCH(Drivers!AB$3,DriversGams!$A$70:$AN$70,0))</f>
        <v>0.60424999999999995</v>
      </c>
      <c r="AC34" s="297">
        <f>INDEX(DriversGams!$A71:$AN71,1,MATCH(Drivers!AC$3,DriversGams!$A$70:$AN$70,0))</f>
        <v>0.66962999999999995</v>
      </c>
      <c r="AD34" s="297">
        <f>INDEX(DriversGams!$A71:$AN71,1,MATCH(Drivers!AD$3,DriversGams!$A$70:$AN$70,0))</f>
        <v>0.69779000000000002</v>
      </c>
      <c r="AE34" s="297">
        <f>INDEX(DriversGams!$A71:$AN71,1,MATCH(Drivers!AE$3,DriversGams!$A$70:$AN$70,0))</f>
        <v>0.72692999999999997</v>
      </c>
      <c r="AF34" s="297">
        <f>INDEX(DriversGams!$A71:$AN71,1,MATCH(Drivers!AF$3,DriversGams!$A$70:$AN$70,0))</f>
        <v>0.89366000000000001</v>
      </c>
      <c r="AG34" s="297">
        <f>INDEX(DriversGams!$A71:$AN71,1,MATCH(Drivers!AG$3,DriversGams!$A$70:$AN$70,0))</f>
        <v>1.09287</v>
      </c>
      <c r="AH34" s="138"/>
      <c r="AI34" s="138"/>
      <c r="AJ34" s="138"/>
      <c r="AK34" s="138"/>
      <c r="AL34" s="138"/>
      <c r="AM34" s="138"/>
    </row>
    <row r="35" spans="1:39">
      <c r="A35" s="4" t="s">
        <v>279</v>
      </c>
      <c r="B35" s="4"/>
      <c r="C35" s="118"/>
      <c r="D35" s="118">
        <f>(D34/C34)^(1/(D$5-C$5))-1</f>
        <v>3.0004703984947145E-2</v>
      </c>
      <c r="E35" s="118">
        <f t="shared" ref="E35:AG35" si="10">(E34/D34)^(1/(E$5-D$5))-1</f>
        <v>1.5397161963790484E-2</v>
      </c>
      <c r="F35" s="118">
        <f t="shared" si="10"/>
        <v>1.2657821184181017E-2</v>
      </c>
      <c r="G35" s="118">
        <f t="shared" si="10"/>
        <v>5.647028964817169E-3</v>
      </c>
      <c r="H35" s="118">
        <f t="shared" si="10"/>
        <v>1.3407363008296924E-2</v>
      </c>
      <c r="I35" s="118">
        <f t="shared" si="10"/>
        <v>1.4008218154650587E-2</v>
      </c>
      <c r="J35" s="118">
        <f t="shared" si="10"/>
        <v>5.4337815435625547E-3</v>
      </c>
      <c r="K35" s="118">
        <f t="shared" si="10"/>
        <v>-8.1096760404262502E-2</v>
      </c>
      <c r="L35" s="118">
        <f t="shared" si="10"/>
        <v>4.2332613390928753E-2</v>
      </c>
      <c r="M35" s="118">
        <f t="shared" si="10"/>
        <v>2.2793203481143776E-2</v>
      </c>
      <c r="N35" s="118">
        <f t="shared" si="10"/>
        <v>2.6118937788305763E-2</v>
      </c>
      <c r="O35" s="118">
        <f t="shared" si="10"/>
        <v>3.0830447724925492E-2</v>
      </c>
      <c r="P35" s="118">
        <f t="shared" si="10"/>
        <v>3.1322745086483694E-2</v>
      </c>
      <c r="Q35" s="118">
        <f t="shared" si="10"/>
        <v>3.4885714285714187E-2</v>
      </c>
      <c r="R35" s="118">
        <f t="shared" si="10"/>
        <v>3.497970790425442E-2</v>
      </c>
      <c r="S35" s="118">
        <f t="shared" si="10"/>
        <v>0.13110862142552282</v>
      </c>
      <c r="T35" s="118">
        <f t="shared" si="10"/>
        <v>4.1883828974365045E-2</v>
      </c>
      <c r="U35" s="118">
        <f t="shared" si="10"/>
        <v>3.9815296860499227E-2</v>
      </c>
      <c r="V35" s="118">
        <f t="shared" si="10"/>
        <v>4.0881187687753062E-2</v>
      </c>
      <c r="W35" s="118">
        <f t="shared" si="10"/>
        <v>3.992387485360549E-2</v>
      </c>
      <c r="X35" s="118">
        <f t="shared" si="10"/>
        <v>3.9778783308195065E-2</v>
      </c>
      <c r="Y35" s="118">
        <f t="shared" si="10"/>
        <v>4.0113726476219913E-2</v>
      </c>
      <c r="Z35" s="118">
        <f t="shared" si="10"/>
        <v>3.6205069081577612E-2</v>
      </c>
      <c r="AA35" s="118">
        <f t="shared" si="10"/>
        <v>3.8062594214342216E-2</v>
      </c>
      <c r="AB35" s="118">
        <f t="shared" si="10"/>
        <v>4.4601953496412605E-2</v>
      </c>
      <c r="AC35" s="118">
        <f t="shared" si="10"/>
        <v>0.10820024824162178</v>
      </c>
      <c r="AD35" s="118">
        <f t="shared" si="10"/>
        <v>4.2053074085689257E-2</v>
      </c>
      <c r="AE35" s="118">
        <f t="shared" si="10"/>
        <v>4.1760415024577613E-2</v>
      </c>
      <c r="AF35" s="118">
        <f t="shared" si="10"/>
        <v>4.2163708180857462E-2</v>
      </c>
      <c r="AG35" s="118">
        <f t="shared" si="10"/>
        <v>4.106833444062663E-2</v>
      </c>
      <c r="AH35" s="118"/>
      <c r="AI35" s="118"/>
      <c r="AJ35" s="118"/>
      <c r="AK35" s="118"/>
      <c r="AL35" s="118"/>
      <c r="AM35" s="118"/>
    </row>
    <row r="36" spans="1:39">
      <c r="L36" s="10"/>
      <c r="Y36" s="118"/>
      <c r="Z36" s="118"/>
      <c r="AA36" s="118"/>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61" zoomScale="70" zoomScaleNormal="70" workbookViewId="0">
      <selection activeCell="G87" sqref="G87:AM87"/>
    </sheetView>
  </sheetViews>
  <sheetFormatPr defaultColWidth="8.85546875" defaultRowHeight="15"/>
  <cols>
    <col min="4" max="4" width="8.85546875" style="4"/>
    <col min="6" max="6" width="11.85546875" customWidth="1"/>
    <col min="7" max="7" width="9.85546875" customWidth="1"/>
    <col min="15" max="15" width="8.85546875" style="206"/>
    <col min="20" max="20" width="10.140625" style="206" customWidth="1"/>
    <col min="25" max="25" width="8.85546875" style="82"/>
  </cols>
  <sheetData>
    <row r="4" spans="1:56">
      <c r="B4">
        <v>2006</v>
      </c>
      <c r="G4">
        <f>AGR!J21</f>
        <v>2012</v>
      </c>
      <c r="H4" s="4">
        <f>AGR!K21</f>
        <v>2013</v>
      </c>
      <c r="I4" s="4">
        <f>AGR!L21</f>
        <v>2014</v>
      </c>
      <c r="J4" s="4">
        <f>AGR!M21</f>
        <v>2015</v>
      </c>
      <c r="K4" s="4">
        <f>AGR!N21</f>
        <v>2016</v>
      </c>
      <c r="L4" s="4">
        <f>AGR!O21</f>
        <v>2017</v>
      </c>
      <c r="M4" s="4">
        <f>AGR!P21</f>
        <v>2018</v>
      </c>
      <c r="N4" s="4">
        <f>AGR!Q21</f>
        <v>2019</v>
      </c>
      <c r="O4" s="206">
        <f>AGR!R21</f>
        <v>2020</v>
      </c>
      <c r="P4" s="4">
        <f>AGR!S21</f>
        <v>2021</v>
      </c>
      <c r="Q4" s="4">
        <f>AGR!T21</f>
        <v>2022</v>
      </c>
      <c r="R4" s="4">
        <f>AGR!U21</f>
        <v>2023</v>
      </c>
      <c r="S4" s="4">
        <f>AGR!V21</f>
        <v>2024</v>
      </c>
      <c r="T4" s="206">
        <f>AGR!W21</f>
        <v>2025</v>
      </c>
      <c r="U4" s="4">
        <f>AGR!X21</f>
        <v>2026</v>
      </c>
      <c r="V4" s="4">
        <f>AGR!Y21</f>
        <v>2027</v>
      </c>
      <c r="W4" s="4">
        <f>AGR!Z21</f>
        <v>2028</v>
      </c>
      <c r="X4" s="4">
        <f>AGR!AA21</f>
        <v>2029</v>
      </c>
      <c r="Y4" s="82">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6" t="s">
        <v>305</v>
      </c>
      <c r="B5">
        <v>3.4886478690149998</v>
      </c>
      <c r="E5" s="140">
        <f>MATCH(F5,AGR!$D$22:$D$26,0)</f>
        <v>1</v>
      </c>
      <c r="F5" t="str">
        <f>A5</f>
        <v>AH</v>
      </c>
      <c r="G5" s="138">
        <f ca="1">OFFSET(AGR!J$21,$E5,0)</f>
        <v>2.5043970166379772</v>
      </c>
      <c r="H5" s="138">
        <f ca="1">OFFSET(AGR!K$21,$E5,0)</f>
        <v>2.6231245177131952</v>
      </c>
      <c r="I5" s="138">
        <f ca="1">OFFSET(AGR!L$21,$E5,0)</f>
        <v>2.7474806069946429</v>
      </c>
      <c r="J5" s="138">
        <f ca="1">OFFSET(AGR!M$21,$E5,0)</f>
        <v>2.8583115626986526</v>
      </c>
      <c r="K5" s="138">
        <f ca="1">OFFSET(AGR!N$21,$E5,0)</f>
        <v>2.8211174453606973</v>
      </c>
      <c r="L5" s="138">
        <f ca="1">OFFSET(AGR!O$21,$E5,0)</f>
        <v>2.7903101966565318</v>
      </c>
      <c r="M5" s="138">
        <f ca="1">OFFSET(AGR!P$21,$E5,0)</f>
        <v>2.8846104335436724</v>
      </c>
      <c r="N5" s="138">
        <f ca="1">OFFSET(AGR!Q$21,$E5,0)</f>
        <v>2.8470406180507881</v>
      </c>
      <c r="O5" s="217">
        <f ca="1">OFFSET(AGR!R$21,$E5,0)</f>
        <v>2.81397918041705</v>
      </c>
      <c r="P5" s="138">
        <f ca="1">OFFSET(AGR!S$21,$E5,0)</f>
        <v>2.7196789435299098</v>
      </c>
      <c r="Q5" s="138">
        <f ca="1">OFFSET(AGR!T$21,$E5,0)</f>
        <v>2.8350182770930648</v>
      </c>
      <c r="R5" s="138">
        <f ca="1">OFFSET(AGR!U$21,$E5,0)</f>
        <v>2.9338268918393515</v>
      </c>
      <c r="S5" s="138">
        <f ca="1">OFFSET(AGR!V$21,$E5,0)</f>
        <v>3.0258729397969186</v>
      </c>
      <c r="T5" s="217">
        <f ca="1">OFFSET(AGR!W$21,$E5,0)</f>
        <v>3.1291899324023511</v>
      </c>
      <c r="U5" s="138">
        <f ca="1">OFFSET(AGR!X$21,$E5,0)</f>
        <v>3.2426507751908624</v>
      </c>
      <c r="V5" s="138">
        <f ca="1">OFFSET(AGR!Y$21,$E5,0)</f>
        <v>3.3632498829230211</v>
      </c>
      <c r="W5" s="138">
        <f ca="1">OFFSET(AGR!Z$21,$E5,0)</f>
        <v>3.4876059722044692</v>
      </c>
      <c r="X5" s="138">
        <f ca="1">OFFSET(AGR!AA$21,$E5,0)</f>
        <v>3.6115863633309879</v>
      </c>
      <c r="Y5" s="219">
        <f ca="1">OFFSET(AGR!AB$21,$E5,0)</f>
        <v>3.7517217751194472</v>
      </c>
      <c r="Z5" s="138">
        <f ca="1">OFFSET(AGR!AC$21,$E5,0)</f>
        <v>3.8922328850628349</v>
      </c>
      <c r="AA5" s="138">
        <f ca="1">OFFSET(AGR!AD$21,$E5,0)</f>
        <v>4.0316169005414366</v>
      </c>
      <c r="AB5" s="138">
        <f ca="1">OFFSET(AGR!AE$21,$E5,0)</f>
        <v>4.1740065012594689</v>
      </c>
      <c r="AC5" s="138">
        <f ca="1">OFFSET(AGR!AF$21,$E5,0)</f>
        <v>4.3163961019775012</v>
      </c>
      <c r="AD5" s="138">
        <f ca="1">OFFSET(AGR!AG$21,$E5,0)</f>
        <v>4.4681781565687553</v>
      </c>
      <c r="AE5" s="138">
        <f ca="1">OFFSET(AGR!AH$21,$E5,0)</f>
        <v>4.6086892665121431</v>
      </c>
      <c r="AF5" s="138">
        <f ca="1">OFFSET(AGR!AI$21,$E5,0)</f>
        <v>4.7552115469343921</v>
      </c>
      <c r="AG5" s="138">
        <f ca="1">OFFSET(AGR!AJ$21,$E5,0)</f>
        <v>4.9291597926664465</v>
      </c>
      <c r="AH5" s="138">
        <f ca="1">OFFSET(AGR!AK$21,$E5,0)</f>
        <v>5.1181359645956555</v>
      </c>
      <c r="AI5" s="138">
        <f ca="1">OFFSET(AGR!AL$21,$E5,0)</f>
        <v>5.3183830811727306</v>
      </c>
      <c r="AJ5" s="138">
        <f ca="1">OFFSET(AGR!AM$21,$E5,0)</f>
        <v>5.5314039350173854</v>
      </c>
      <c r="AK5" s="138">
        <f ca="1">OFFSET(AGR!AN$21,$E5,0)</f>
        <v>6.8095290580853165</v>
      </c>
      <c r="AL5" s="138">
        <f ca="1">OFFSET(AGR!AO$21,$E5,0)</f>
        <v>8.4423132394060776</v>
      </c>
      <c r="AM5" s="138">
        <f ca="1">OFFSET(AGR!AP$21,$E5,0)</f>
        <v>8.4423132394060776</v>
      </c>
      <c r="AQ5" s="4"/>
    </row>
    <row r="6" spans="1:56">
      <c r="A6" s="36" t="s">
        <v>306</v>
      </c>
      <c r="B6">
        <v>6.8942225938929997</v>
      </c>
      <c r="E6" s="141">
        <f>MATCH(F6,AGR!$D$22:$D$26,0)</f>
        <v>4</v>
      </c>
      <c r="F6" s="4" t="str">
        <f t="shared" ref="F6:F68" si="0">A6</f>
        <v>AI</v>
      </c>
      <c r="G6" s="138">
        <f ca="1">OFFSET(AGR!J$21,$E6,0)</f>
        <v>5.0203080915278155</v>
      </c>
      <c r="H6" s="138">
        <f ca="1">OFFSET(AGR!K$21,$E6,0)</f>
        <v>5.2583089477718303</v>
      </c>
      <c r="I6" s="138">
        <f ca="1">OFFSET(AGR!L$21,$E6,0)</f>
        <v>5.5075928580715265</v>
      </c>
      <c r="J6" s="138">
        <f ca="1">OFFSET(AGR!M$21,$E6,0)</f>
        <v>5.7297643189126459</v>
      </c>
      <c r="K6" s="138">
        <f ca="1">OFFSET(AGR!N$21,$E6,0)</f>
        <v>5.655205082901559</v>
      </c>
      <c r="L6" s="138">
        <f ca="1">OFFSET(AGR!O$21,$E6,0)</f>
        <v>5.5934489480236884</v>
      </c>
      <c r="M6" s="138">
        <f ca="1">OFFSET(AGR!P$21,$E6,0)</f>
        <v>5.7824829706376581</v>
      </c>
      <c r="N6" s="138">
        <f ca="1">OFFSET(AGR!Q$21,$E6,0)</f>
        <v>5.7071706110304996</v>
      </c>
      <c r="O6" s="217">
        <f ca="1">OFFSET(AGR!R$21,$E6,0)</f>
        <v>5.6408957345761994</v>
      </c>
      <c r="P6" s="138">
        <f ca="1">OFFSET(AGR!S$21,$E6,0)</f>
        <v>5.4518617119622306</v>
      </c>
      <c r="Q6" s="138">
        <f ca="1">OFFSET(AGR!T$21,$E6,0)</f>
        <v>5.6830706559562074</v>
      </c>
      <c r="R6" s="138">
        <f ca="1">OFFSET(AGR!U$21,$E6,0)</f>
        <v>5.8811421617230364</v>
      </c>
      <c r="S6" s="138">
        <f ca="1">OFFSET(AGR!V$21,$E6,0)</f>
        <v>6.0656574427605756</v>
      </c>
      <c r="T6" s="217">
        <f ca="1">OFFSET(AGR!W$21,$E6,0)</f>
        <v>6.272766431680262</v>
      </c>
      <c r="U6" s="138">
        <f ca="1">OFFSET(AGR!X$21,$E6,0)</f>
        <v>6.5002097576938818</v>
      </c>
      <c r="V6" s="138">
        <f ca="1">OFFSET(AGR!Y$21,$E6,0)</f>
        <v>6.7419624320328611</v>
      </c>
      <c r="W6" s="138">
        <f ca="1">OFFSET(AGR!Z$21,$E6,0)</f>
        <v>6.9912463423325582</v>
      </c>
      <c r="X6" s="138">
        <f ca="1">OFFSET(AGR!AA$21,$E6,0)</f>
        <v>7.2397771290361828</v>
      </c>
      <c r="Y6" s="219">
        <f ca="1">OFFSET(AGR!AB$21,$E6,0)</f>
        <v>7.5206922303708854</v>
      </c>
      <c r="Z6" s="138">
        <f ca="1">OFFSET(AGR!AC$21,$E6,0)</f>
        <v>7.8023604553016588</v>
      </c>
      <c r="AA6" s="138">
        <f ca="1">OFFSET(AGR!AD$21,$E6,0)</f>
        <v>8.0817693094442191</v>
      </c>
      <c r="AB6" s="138">
        <f ca="1">OFFSET(AGR!AE$21,$E6,0)</f>
        <v>8.3672031523553514</v>
      </c>
      <c r="AC6" s="138">
        <f ca="1">OFFSET(AGR!AF$21,$E6,0)</f>
        <v>8.6526369952664837</v>
      </c>
      <c r="AD6" s="138">
        <f ca="1">OFFSET(AGR!AG$21,$E6,0)</f>
        <v>8.956898928079406</v>
      </c>
      <c r="AE6" s="138">
        <f ca="1">OFFSET(AGR!AH$21,$E6,0)</f>
        <v>9.2385671530101803</v>
      </c>
      <c r="AF6" s="138">
        <f ca="1">OFFSET(AGR!AI$21,$E6,0)</f>
        <v>9.5322853554780984</v>
      </c>
      <c r="AG6" s="138">
        <f ca="1">OFFSET(AGR!AJ$21,$E6,0)</f>
        <v>9.8809815804592436</v>
      </c>
      <c r="AH6" s="138">
        <f ca="1">OFFSET(AGR!AK$21,$E6,0)</f>
        <v>10.259802749283253</v>
      </c>
      <c r="AI6" s="138">
        <f ca="1">OFFSET(AGR!AL$21,$E6,0)</f>
        <v>10.661217625989412</v>
      </c>
      <c r="AJ6" s="138">
        <f ca="1">OFFSET(AGR!AM$21,$E6,0)</f>
        <v>11.088238704962002</v>
      </c>
      <c r="AK6" s="138">
        <f ca="1">OFFSET(AGR!AN$21,$E6,0)</f>
        <v>13.650365178797548</v>
      </c>
      <c r="AL6" s="138">
        <f ca="1">OFFSET(AGR!AO$21,$E6,0)</f>
        <v>16.923440327324673</v>
      </c>
      <c r="AM6" s="138">
        <f ca="1">OFFSET(AGR!AP$21,$E6,0)</f>
        <v>16.923440327324673</v>
      </c>
      <c r="AQ6" s="4"/>
    </row>
    <row r="7" spans="1:56">
      <c r="A7" s="36" t="s">
        <v>307</v>
      </c>
      <c r="B7">
        <v>8.6660070567129992</v>
      </c>
      <c r="E7" s="141">
        <f>MATCH(F7,AGR!$D$22:$D$26,0)</f>
        <v>5</v>
      </c>
      <c r="F7" s="4" t="str">
        <f t="shared" si="0"/>
        <v>AO</v>
      </c>
      <c r="G7" s="138">
        <f ca="1">OFFSET(AGR!J$21,$E7,0)</f>
        <v>8.4310585921569263</v>
      </c>
      <c r="H7" s="138">
        <f ca="1">OFFSET(AGR!K$21,$E7,0)</f>
        <v>8.8307550106622177</v>
      </c>
      <c r="I7" s="138">
        <f ca="1">OFFSET(AGR!L$21,$E7,0)</f>
        <v>9.249400084928789</v>
      </c>
      <c r="J7" s="138">
        <f ca="1">OFFSET(AGR!M$21,$E7,0)</f>
        <v>9.6225127644110806</v>
      </c>
      <c r="K7" s="138">
        <f ca="1">OFFSET(AGR!N$21,$E7,0)</f>
        <v>9.4972986787543121</v>
      </c>
      <c r="L7" s="138">
        <f ca="1">OFFSET(AGR!O$21,$E7,0)</f>
        <v>9.3935860017456747</v>
      </c>
      <c r="M7" s="138">
        <f ca="1">OFFSET(AGR!P$21,$E7,0)</f>
        <v>9.711047976491626</v>
      </c>
      <c r="N7" s="138">
        <f ca="1">OFFSET(AGR!Q$21,$E7,0)</f>
        <v>9.5845691020908497</v>
      </c>
      <c r="O7" s="217">
        <f ca="1">OFFSET(AGR!R$21,$E7,0)</f>
        <v>9.4732676926181671</v>
      </c>
      <c r="P7" s="138">
        <f ca="1">OFFSET(AGR!S$21,$E7,0)</f>
        <v>9.1558057178722176</v>
      </c>
      <c r="Q7" s="138">
        <f ca="1">OFFSET(AGR!T$21,$E7,0)</f>
        <v>9.5440958622826013</v>
      </c>
      <c r="R7" s="138">
        <f ca="1">OFFSET(AGR!U$21,$E7,0)</f>
        <v>9.8767353019566464</v>
      </c>
      <c r="S7" s="138">
        <f ca="1">OFFSET(AGR!V$21,$E7,0)</f>
        <v>10.186608544238549</v>
      </c>
      <c r="T7" s="217">
        <f ca="1">OFFSET(AGR!W$21,$E7,0)</f>
        <v>10.534425448840684</v>
      </c>
      <c r="U7" s="138">
        <f ca="1">OFFSET(AGR!X$21,$E7,0)</f>
        <v>10.916391649531029</v>
      </c>
      <c r="V7" s="138">
        <f ca="1">OFFSET(AGR!Y$21,$E7,0)</f>
        <v>11.32238883635752</v>
      </c>
      <c r="W7" s="138">
        <f ca="1">OFFSET(AGR!Z$21,$E7,0)</f>
        <v>11.741033910624092</v>
      </c>
      <c r="X7" s="138">
        <f ca="1">OFFSET(AGR!AA$21,$E7,0)</f>
        <v>12.158414196146655</v>
      </c>
      <c r="Y7" s="219">
        <f ca="1">OFFSET(AGR!AB$21,$E7,0)</f>
        <v>12.630180397661553</v>
      </c>
      <c r="Z7" s="138">
        <f ca="1">OFFSET(AGR!AC$21,$E7,0)</f>
        <v>13.103211387920457</v>
      </c>
      <c r="AA7" s="138">
        <f ca="1">OFFSET(AGR!AD$21,$E7,0)</f>
        <v>13.572448011947339</v>
      </c>
      <c r="AB7" s="138">
        <f ca="1">OFFSET(AGR!AE$21,$E7,0)</f>
        <v>14.051802945926282</v>
      </c>
      <c r="AC7" s="138">
        <f ca="1">OFFSET(AGR!AF$21,$E7,0)</f>
        <v>14.531157879905225</v>
      </c>
      <c r="AD7" s="138">
        <f ca="1">OFFSET(AGR!AG$21,$E7,0)</f>
        <v>15.042132532484363</v>
      </c>
      <c r="AE7" s="138">
        <f ca="1">OFFSET(AGR!AH$21,$E7,0)</f>
        <v>15.515163522743267</v>
      </c>
      <c r="AF7" s="138">
        <f ca="1">OFFSET(AGR!AI$21,$E7,0)</f>
        <v>16.008431132906296</v>
      </c>
      <c r="AG7" s="138">
        <f ca="1">OFFSET(AGR!AJ$21,$E7,0)</f>
        <v>16.594028321381888</v>
      </c>
      <c r="AH7" s="138">
        <f ca="1">OFFSET(AGR!AK$21,$E7,0)</f>
        <v>17.230217059617793</v>
      </c>
      <c r="AI7" s="138">
        <f ca="1">OFFSET(AGR!AL$21,$E7,0)</f>
        <v>17.904349460173936</v>
      </c>
      <c r="AJ7" s="138">
        <f ca="1">OFFSET(AGR!AM$21,$E7,0)</f>
        <v>18.621484678026338</v>
      </c>
      <c r="AK7" s="138">
        <f ca="1">OFFSET(AGR!AN$21,$E7,0)</f>
        <v>22.924295985140759</v>
      </c>
      <c r="AL7" s="138">
        <f ca="1">OFFSET(AGR!AO$21,$E7,0)</f>
        <v>28.421067866598509</v>
      </c>
      <c r="AM7" s="138">
        <f ca="1">OFFSET(AGR!AP$21,$E7,0)</f>
        <v>28.421067866598509</v>
      </c>
      <c r="AQ7" s="4"/>
    </row>
    <row r="8" spans="1:56">
      <c r="A8" s="36" t="s">
        <v>308</v>
      </c>
      <c r="B8">
        <v>5.4851590254799998</v>
      </c>
      <c r="E8" s="141">
        <f>MATCH(F8,AGR!$D$22:$D$26,0)</f>
        <v>2</v>
      </c>
      <c r="F8" s="4" t="str">
        <f t="shared" si="0"/>
        <v>AP</v>
      </c>
      <c r="G8" s="138">
        <f ca="1">OFFSET(AGR!J$21,$E8,0)</f>
        <v>3.8349683201390801</v>
      </c>
      <c r="H8" s="138">
        <f ca="1">OFFSET(AGR!K$21,$E8,0)</f>
        <v>4.0167750394123596</v>
      </c>
      <c r="I8" s="138">
        <f ca="1">OFFSET(AGR!L$21,$E8,0)</f>
        <v>4.2072007824724418</v>
      </c>
      <c r="J8" s="138">
        <f ca="1">OFFSET(AGR!M$21,$E8,0)</f>
        <v>4.3769155685833914</v>
      </c>
      <c r="K8" s="138">
        <f ca="1">OFFSET(AGR!N$21,$E8,0)</f>
        <v>4.3199604369732763</v>
      </c>
      <c r="L8" s="138">
        <f ca="1">OFFSET(AGR!O$21,$E8,0)</f>
        <v>4.2727854794780296</v>
      </c>
      <c r="M8" s="138">
        <f ca="1">OFFSET(AGR!P$21,$E8,0)</f>
        <v>4.4171868737622617</v>
      </c>
      <c r="N8" s="138">
        <f ca="1">OFFSET(AGR!Q$21,$E8,0)</f>
        <v>4.3596564377924487</v>
      </c>
      <c r="O8" s="217">
        <f ca="1">OFFSET(AGR!R$21,$E8,0)</f>
        <v>4.309029654139013</v>
      </c>
      <c r="P8" s="138">
        <f ca="1">OFFSET(AGR!S$21,$E8,0)</f>
        <v>4.1646282598547817</v>
      </c>
      <c r="Q8" s="138">
        <f ca="1">OFFSET(AGR!T$21,$E8,0)</f>
        <v>4.3412466982821076</v>
      </c>
      <c r="R8" s="138">
        <f ca="1">OFFSET(AGR!U$21,$E8,0)</f>
        <v>4.492551744882717</v>
      </c>
      <c r="S8" s="138">
        <f ca="1">OFFSET(AGR!V$21,$E8,0)</f>
        <v>4.6335013130087592</v>
      </c>
      <c r="T8" s="217">
        <f ca="1">OFFSET(AGR!W$21,$E8,0)</f>
        <v>4.7917100119257459</v>
      </c>
      <c r="U8" s="138">
        <f ca="1">OFFSET(AGR!X$21,$E8,0)</f>
        <v>4.9654519285545815</v>
      </c>
      <c r="V8" s="138">
        <f ca="1">OFFSET(AGR!Y$21,$E8,0)</f>
        <v>5.1501246280176813</v>
      </c>
      <c r="W8" s="138">
        <f ca="1">OFFSET(AGR!Z$21,$E8,0)</f>
        <v>5.3405503710777635</v>
      </c>
      <c r="X8" s="138">
        <f ca="1">OFFSET(AGR!AA$21,$E8,0)</f>
        <v>5.530400809778147</v>
      </c>
      <c r="Y8" s="219">
        <f ca="1">OFFSET(AGR!AB$21,$E8,0)</f>
        <v>5.7449893359455508</v>
      </c>
      <c r="Z8" s="138">
        <f ca="1">OFFSET(AGR!AC$21,$E8,0)</f>
        <v>5.9601531664726517</v>
      </c>
      <c r="AA8" s="138">
        <f ca="1">OFFSET(AGR!AD$21,$E8,0)</f>
        <v>6.1735910839206589</v>
      </c>
      <c r="AB8" s="138">
        <f ca="1">OFFSET(AGR!AE$21,$E8,0)</f>
        <v>6.391631436246251</v>
      </c>
      <c r="AC8" s="138">
        <f ca="1">OFFSET(AGR!AF$21,$E8,0)</f>
        <v>6.609671788571843</v>
      </c>
      <c r="AD8" s="138">
        <f ca="1">OFFSET(AGR!AG$21,$E8,0)</f>
        <v>6.8420947498898892</v>
      </c>
      <c r="AE8" s="138">
        <f ca="1">OFFSET(AGR!AH$21,$E8,0)</f>
        <v>7.0572585804169901</v>
      </c>
      <c r="AF8" s="138">
        <f ca="1">OFFSET(AGR!AI$21,$E8,0)</f>
        <v>7.2816272806992615</v>
      </c>
      <c r="AG8" s="138">
        <f ca="1">OFFSET(AGR!AJ$21,$E8,0)</f>
        <v>7.547993199239496</v>
      </c>
      <c r="AH8" s="138">
        <f ca="1">OFFSET(AGR!AK$21,$E8,0)</f>
        <v>7.8373712921676564</v>
      </c>
      <c r="AI8" s="138">
        <f ca="1">OFFSET(AGR!AL$21,$E8,0)</f>
        <v>8.1440085158867621</v>
      </c>
      <c r="AJ8" s="138">
        <f ca="1">OFFSET(AGR!AM$21,$E8,0)</f>
        <v>8.4702060878356029</v>
      </c>
      <c r="AK8" s="138">
        <f ca="1">OFFSET(AGR!AN$21,$E8,0)</f>
        <v>10.42739151952865</v>
      </c>
      <c r="AL8" s="138">
        <f ca="1">OFFSET(AGR!AO$21,$E8,0)</f>
        <v>12.927664266776732</v>
      </c>
      <c r="AM8" s="138">
        <f ca="1">OFFSET(AGR!AP$21,$E8,0)</f>
        <v>12.927664266776732</v>
      </c>
      <c r="AQ8" s="4"/>
    </row>
    <row r="9" spans="1:56">
      <c r="A9" s="36" t="s">
        <v>309</v>
      </c>
      <c r="B9">
        <v>14.26028349219</v>
      </c>
      <c r="E9" s="142">
        <f>MATCH(F9,AGR!$D$22:$D$26,0)</f>
        <v>3</v>
      </c>
      <c r="F9" s="4" t="str">
        <f t="shared" si="0"/>
        <v>AT</v>
      </c>
      <c r="G9" s="138">
        <f ca="1">OFFSET(AGR!J$21,$E9,0)</f>
        <v>14.570390350961301</v>
      </c>
      <c r="H9" s="138">
        <f ca="1">OFFSET(AGR!K$21,$E9,0)</f>
        <v>15.261137874044685</v>
      </c>
      <c r="I9" s="138">
        <f ca="1">OFFSET(AGR!L$21,$E9,0)</f>
        <v>15.98463209293738</v>
      </c>
      <c r="J9" s="138">
        <f ca="1">OFFSET(AGR!M$21,$E9,0)</f>
        <v>16.629438118838724</v>
      </c>
      <c r="K9" s="138">
        <f ca="1">OFFSET(AGR!N$21,$E9,0)</f>
        <v>16.41304558811251</v>
      </c>
      <c r="L9" s="138">
        <f ca="1">OFFSET(AGR!O$21,$E9,0)</f>
        <v>16.233811370743322</v>
      </c>
      <c r="M9" s="138">
        <f ca="1">OFFSET(AGR!P$21,$E9,0)</f>
        <v>16.782442938544129</v>
      </c>
      <c r="N9" s="138">
        <f ca="1">OFFSET(AGR!Q$21,$E9,0)</f>
        <v>16.563864624679265</v>
      </c>
      <c r="O9" s="217">
        <f ca="1">OFFSET(AGR!R$21,$E9,0)</f>
        <v>16.371515708478185</v>
      </c>
      <c r="P9" s="138">
        <f ca="1">OFFSET(AGR!S$21,$E9,0)</f>
        <v>15.822884140677379</v>
      </c>
      <c r="Q9" s="138">
        <f ca="1">OFFSET(AGR!T$21,$E9,0)</f>
        <v>16.493919564242503</v>
      </c>
      <c r="R9" s="138">
        <f ca="1">OFFSET(AGR!U$21,$E9,0)</f>
        <v>17.068780529707094</v>
      </c>
      <c r="S9" s="138">
        <f ca="1">OFFSET(AGR!V$21,$E9,0)</f>
        <v>17.604297398676007</v>
      </c>
      <c r="T9" s="217">
        <f ca="1">OFFSET(AGR!W$21,$E9,0)</f>
        <v>18.205387761804378</v>
      </c>
      <c r="U9" s="138">
        <f ca="1">OFFSET(AGR!X$21,$E9,0)</f>
        <v>18.865494269676262</v>
      </c>
      <c r="V9" s="138">
        <f ca="1">OFFSET(AGR!Y$21,$E9,0)</f>
        <v>19.567130657182467</v>
      </c>
      <c r="W9" s="138">
        <f ca="1">OFFSET(AGR!Z$21,$E9,0)</f>
        <v>20.290624876075164</v>
      </c>
      <c r="X9" s="138">
        <f ca="1">OFFSET(AGR!AA$21,$E9,0)</f>
        <v>21.01193331182921</v>
      </c>
      <c r="Y9" s="219">
        <f ca="1">OFFSET(AGR!AB$21,$E9,0)</f>
        <v>21.827230422545146</v>
      </c>
      <c r="Z9" s="138">
        <f ca="1">OFFSET(AGR!AC$21,$E9,0)</f>
        <v>22.644713316399727</v>
      </c>
      <c r="AA9" s="138">
        <f ca="1">OFFSET(AGR!AD$21,$E9,0)</f>
        <v>23.455638860838366</v>
      </c>
      <c r="AB9" s="138">
        <f ca="1">OFFSET(AGR!AE$21,$E9,0)</f>
        <v>24.284050670386193</v>
      </c>
      <c r="AC9" s="138">
        <f ca="1">OFFSET(AGR!AF$21,$E9,0)</f>
        <v>25.11246247993402</v>
      </c>
      <c r="AD9" s="138">
        <f ca="1">OFFSET(AGR!AG$21,$E9,0)</f>
        <v>25.995518867948064</v>
      </c>
      <c r="AE9" s="138">
        <f ca="1">OFFSET(AGR!AH$21,$E9,0)</f>
        <v>26.813001761802646</v>
      </c>
      <c r="AF9" s="138">
        <f ca="1">OFFSET(AGR!AI$21,$E9,0)</f>
        <v>27.665457185875606</v>
      </c>
      <c r="AG9" s="138">
        <f ca="1">OFFSET(AGR!AJ$21,$E9,0)</f>
        <v>28.677474779069914</v>
      </c>
      <c r="AH9" s="138">
        <f ca="1">OFFSET(AGR!AK$21,$E9,0)</f>
        <v>29.776923697810172</v>
      </c>
      <c r="AI9" s="138">
        <f ca="1">OFFSET(AGR!AL$21,$E9,0)</f>
        <v>30.941946110709893</v>
      </c>
      <c r="AJ9" s="138">
        <f ca="1">OFFSET(AGR!AM$21,$E9,0)</f>
        <v>32.18128515032366</v>
      </c>
      <c r="AK9" s="138">
        <f ca="1">OFFSET(AGR!AN$21,$E9,0)</f>
        <v>39.617319388006273</v>
      </c>
      <c r="AL9" s="138">
        <f ca="1">OFFSET(AGR!AO$21,$E9,0)</f>
        <v>49.116732908573184</v>
      </c>
      <c r="AM9" s="138">
        <f ca="1">OFFSET(AGR!AP$21,$E9,0)</f>
        <v>49.116732908573184</v>
      </c>
      <c r="AQ9" s="4"/>
    </row>
    <row r="10" spans="1:56">
      <c r="A10" s="36" t="s">
        <v>310</v>
      </c>
      <c r="B10">
        <v>0.39719718710289997</v>
      </c>
      <c r="E10" s="141">
        <f ca="1">MATCH(F10,IND!$D$26:$D$255,0)</f>
        <v>110</v>
      </c>
      <c r="F10" s="4" t="str">
        <f t="shared" si="0"/>
        <v>ICPA</v>
      </c>
      <c r="G10" s="138">
        <f ca="1">OFFSET(IND!J$25,$E10,0)</f>
        <v>0.2086787369811067</v>
      </c>
      <c r="H10" s="138">
        <f ca="1">OFFSET(IND!K$25,$E10,0)</f>
        <v>0.21504065265123701</v>
      </c>
      <c r="I10" s="138">
        <f ca="1">OFFSET(IND!L$25,$E10,0)</f>
        <v>0.21946633311741459</v>
      </c>
      <c r="J10" s="138">
        <f ca="1">OFFSET(IND!M$25,$E10,0)</f>
        <v>0.30344250000000006</v>
      </c>
      <c r="K10" s="138">
        <f ca="1">OFFSET(IND!N$25,$E10,0)</f>
        <v>0.30344250000000006</v>
      </c>
      <c r="L10" s="138">
        <f ca="1">OFFSET(IND!O$25,$E10,0)</f>
        <v>0.30344250000000006</v>
      </c>
      <c r="M10" s="138">
        <f ca="1">OFFSET(IND!P$25,$E10,0)</f>
        <v>0.30798885104529627</v>
      </c>
      <c r="N10" s="138">
        <f ca="1">OFFSET(IND!Q$25,$E10,0)</f>
        <v>0.30983911019163779</v>
      </c>
      <c r="O10" s="217">
        <f ca="1">OFFSET(IND!R$25,$E10,0)</f>
        <v>0.28668443858885029</v>
      </c>
      <c r="P10" s="138">
        <f ca="1">OFFSET(IND!S$25,$E10,0)</f>
        <v>0.29900187804878059</v>
      </c>
      <c r="Q10" s="138">
        <f ca="1">OFFSET(IND!T$25,$E10,0)</f>
        <v>0.3096805165505227</v>
      </c>
      <c r="R10" s="138">
        <f ca="1">OFFSET(IND!U$25,$E10,0)</f>
        <v>0.32094066506968649</v>
      </c>
      <c r="S10" s="138">
        <f ca="1">OFFSET(IND!V$25,$E10,0)</f>
        <v>0.33394534364111511</v>
      </c>
      <c r="T10" s="217">
        <f ca="1">OFFSET(IND!W$25,$E10,0)</f>
        <v>0.34821877134146356</v>
      </c>
      <c r="U10" s="138">
        <f ca="1">OFFSET(IND!X$25,$E10,0)</f>
        <v>0.36344376088850189</v>
      </c>
      <c r="V10" s="138">
        <f ca="1">OFFSET(IND!Y$25,$E10,0)</f>
        <v>0.37977890592334512</v>
      </c>
      <c r="W10" s="138">
        <f ca="1">OFFSET(IND!Z$25,$E10,0)</f>
        <v>0.39748852918118477</v>
      </c>
      <c r="X10" s="138">
        <f ca="1">OFFSET(IND!AA$25,$E10,0)</f>
        <v>0.41747132796167263</v>
      </c>
      <c r="Y10" s="219">
        <f ca="1">OFFSET(IND!AB$25,$E10,0)</f>
        <v>0.43861714677700359</v>
      </c>
      <c r="Z10" s="138">
        <f ca="1">OFFSET(IND!AC$25,$E10,0)</f>
        <v>0.45912859102787468</v>
      </c>
      <c r="AA10" s="138">
        <f ca="1">OFFSET(IND!AD$25,$E10,0)</f>
        <v>0.48085591986062731</v>
      </c>
      <c r="AB10" s="138">
        <f ca="1">OFFSET(IND!AE$25,$E10,0)</f>
        <v>0.5034290814459933</v>
      </c>
      <c r="AC10" s="138">
        <f ca="1">OFFSET(IND!AF$25,$E10,0)</f>
        <v>0.52737672125435575</v>
      </c>
      <c r="AD10" s="138">
        <f ca="1">OFFSET(IND!AG$25,$E10,0)</f>
        <v>0.55068998649825818</v>
      </c>
      <c r="AE10" s="138">
        <f ca="1">OFFSET(IND!AH$25,$E10,0)</f>
        <v>0.57479621994773555</v>
      </c>
      <c r="AF10" s="138">
        <f ca="1">OFFSET(IND!AI$25,$E10,0)</f>
        <v>0.60170427439024421</v>
      </c>
      <c r="AG10" s="138">
        <f ca="1">OFFSET(IND!AJ$25,$E10,0)</f>
        <v>0.6303568588850178</v>
      </c>
      <c r="AH10" s="138">
        <f ca="1">OFFSET(IND!AK$25,$E10,0)</f>
        <v>0.66080683797909456</v>
      </c>
      <c r="AI10" s="138">
        <f ca="1">OFFSET(IND!AL$25,$E10,0)</f>
        <v>0.69273702439024432</v>
      </c>
      <c r="AJ10" s="138">
        <f ca="1">OFFSET(IND!AM$25,$E10,0)</f>
        <v>0.88949886846689952</v>
      </c>
      <c r="AK10" s="138">
        <f ca="1">OFFSET(IND!AN$25,$E10,0)</f>
        <v>1.1431958297038336</v>
      </c>
      <c r="AL10" s="138">
        <f ca="1">OFFSET(IND!AO$25,$E10,0)</f>
        <v>1.5841654488240284</v>
      </c>
      <c r="AM10" s="138">
        <f ca="1">OFFSET(IND!AP$25,$E10,0)</f>
        <v>2.0346242541376132</v>
      </c>
      <c r="AQ10" s="4"/>
    </row>
    <row r="11" spans="1:56">
      <c r="A11" s="36" t="s">
        <v>311</v>
      </c>
      <c r="B11">
        <v>5.295962494706</v>
      </c>
      <c r="E11" s="141">
        <f ca="1">MATCH(F11,IND!$D$26:$D$255,0)</f>
        <v>112</v>
      </c>
      <c r="F11" s="4" t="str">
        <f t="shared" si="0"/>
        <v>ICPC</v>
      </c>
      <c r="G11" s="138">
        <f ca="1">OFFSET(IND!J$25,$E11,0)</f>
        <v>2.7823831597480893</v>
      </c>
      <c r="H11" s="138">
        <f ca="1">OFFSET(IND!K$25,$E11,0)</f>
        <v>2.8672087020164931</v>
      </c>
      <c r="I11" s="138">
        <f ca="1">OFFSET(IND!L$25,$E11,0)</f>
        <v>2.9262177748988609</v>
      </c>
      <c r="J11" s="138">
        <f ca="1">OFFSET(IND!M$25,$E11,0)</f>
        <v>4.0459000000000005</v>
      </c>
      <c r="K11" s="138">
        <f ca="1">OFFSET(IND!N$25,$E11,0)</f>
        <v>4.0459000000000005</v>
      </c>
      <c r="L11" s="138">
        <f ca="1">OFFSET(IND!O$25,$E11,0)</f>
        <v>4.0459000000000005</v>
      </c>
      <c r="M11" s="138">
        <f ca="1">OFFSET(IND!P$25,$E11,0)</f>
        <v>4.1065180139372828</v>
      </c>
      <c r="N11" s="138">
        <f ca="1">OFFSET(IND!Q$25,$E11,0)</f>
        <v>4.131188135888503</v>
      </c>
      <c r="O11" s="217">
        <f ca="1">OFFSET(IND!R$25,$E11,0)</f>
        <v>3.8224591811846698</v>
      </c>
      <c r="P11" s="138">
        <f ca="1">OFFSET(IND!S$25,$E11,0)</f>
        <v>3.9866917073170738</v>
      </c>
      <c r="Q11" s="138">
        <f ca="1">OFFSET(IND!T$25,$E11,0)</f>
        <v>4.1290735540069692</v>
      </c>
      <c r="R11" s="138">
        <f ca="1">OFFSET(IND!U$25,$E11,0)</f>
        <v>4.2792088675958198</v>
      </c>
      <c r="S11" s="138">
        <f ca="1">OFFSET(IND!V$25,$E11,0)</f>
        <v>4.452604581881535</v>
      </c>
      <c r="T11" s="217">
        <f ca="1">OFFSET(IND!W$25,$E11,0)</f>
        <v>4.6429169512195143</v>
      </c>
      <c r="U11" s="138">
        <f ca="1">OFFSET(IND!X$25,$E11,0)</f>
        <v>4.845916811846692</v>
      </c>
      <c r="V11" s="138">
        <f ca="1">OFFSET(IND!Y$25,$E11,0)</f>
        <v>5.0637187456446018</v>
      </c>
      <c r="W11" s="138">
        <f ca="1">OFFSET(IND!Z$25,$E11,0)</f>
        <v>5.2998470557491304</v>
      </c>
      <c r="X11" s="138">
        <f ca="1">OFFSET(IND!AA$25,$E11,0)</f>
        <v>5.5662843728223015</v>
      </c>
      <c r="Y11" s="219">
        <f ca="1">OFFSET(IND!AB$25,$E11,0)</f>
        <v>5.8482286236933811</v>
      </c>
      <c r="Z11" s="138">
        <f ca="1">OFFSET(IND!AC$25,$E11,0)</f>
        <v>6.1217145470383292</v>
      </c>
      <c r="AA11" s="138">
        <f ca="1">OFFSET(IND!AD$25,$E11,0)</f>
        <v>6.411412264808364</v>
      </c>
      <c r="AB11" s="138">
        <f ca="1">OFFSET(IND!AE$25,$E11,0)</f>
        <v>6.7123877526132434</v>
      </c>
      <c r="AC11" s="138">
        <f ca="1">OFFSET(IND!AF$25,$E11,0)</f>
        <v>7.0316896167247425</v>
      </c>
      <c r="AD11" s="138">
        <f ca="1">OFFSET(IND!AG$25,$E11,0)</f>
        <v>7.3425331533101081</v>
      </c>
      <c r="AE11" s="138">
        <f ca="1">OFFSET(IND!AH$25,$E11,0)</f>
        <v>7.6639495993031392</v>
      </c>
      <c r="AF11" s="138">
        <f ca="1">OFFSET(IND!AI$25,$E11,0)</f>
        <v>8.022723658536588</v>
      </c>
      <c r="AG11" s="138">
        <f ca="1">OFFSET(IND!AJ$25,$E11,0)</f>
        <v>8.4047581184669014</v>
      </c>
      <c r="AH11" s="138">
        <f ca="1">OFFSET(IND!AK$25,$E11,0)</f>
        <v>8.8107578397212585</v>
      </c>
      <c r="AI11" s="138">
        <f ca="1">OFFSET(IND!AL$25,$E11,0)</f>
        <v>9.2364936585365882</v>
      </c>
      <c r="AJ11" s="138">
        <f ca="1">OFFSET(IND!AM$25,$E11,0)</f>
        <v>11.85998491289199</v>
      </c>
      <c r="AK11" s="138">
        <f ca="1">OFFSET(IND!AN$25,$E11,0)</f>
        <v>15.242611062717778</v>
      </c>
      <c r="AL11" s="138">
        <f ca="1">OFFSET(IND!AO$25,$E11,0)</f>
        <v>21.122205984320374</v>
      </c>
      <c r="AM11" s="138">
        <f ca="1">OFFSET(IND!AP$25,$E11,0)</f>
        <v>27.128323388501499</v>
      </c>
      <c r="AQ11" s="4"/>
    </row>
    <row r="12" spans="1:56">
      <c r="A12" s="36" t="s">
        <v>312</v>
      </c>
      <c r="B12">
        <v>3.219945196781</v>
      </c>
      <c r="E12" s="141">
        <f ca="1">MATCH(F12,IND!$D$26:$D$255,0)</f>
        <v>117</v>
      </c>
      <c r="F12" s="4" t="str">
        <f t="shared" si="0"/>
        <v>ICPE</v>
      </c>
      <c r="G12" s="138">
        <f ca="1">OFFSET(IND!J$25,$E12,0)</f>
        <v>1.6916889611268384</v>
      </c>
      <c r="H12" s="138">
        <f ca="1">OFFSET(IND!K$25,$E12,0)</f>
        <v>1.7432628908260281</v>
      </c>
      <c r="I12" s="138">
        <f ca="1">OFFSET(IND!L$25,$E12,0)</f>
        <v>1.7791404071385077</v>
      </c>
      <c r="J12" s="138">
        <f ca="1">OFFSET(IND!M$25,$E12,0)</f>
        <v>2.4599072000000004</v>
      </c>
      <c r="K12" s="138">
        <f ca="1">OFFSET(IND!N$25,$E12,0)</f>
        <v>2.4599072000000004</v>
      </c>
      <c r="L12" s="138">
        <f ca="1">OFFSET(IND!O$25,$E12,0)</f>
        <v>2.4599072000000004</v>
      </c>
      <c r="M12" s="138">
        <f ca="1">OFFSET(IND!P$25,$E12,0)</f>
        <v>2.4967629524738681</v>
      </c>
      <c r="N12" s="138">
        <f ca="1">OFFSET(IND!Q$25,$E12,0)</f>
        <v>2.5117623866202097</v>
      </c>
      <c r="O12" s="217">
        <f ca="1">OFFSET(IND!R$25,$E12,0)</f>
        <v>2.3240551821602793</v>
      </c>
      <c r="P12" s="138">
        <f ca="1">OFFSET(IND!S$25,$E12,0)</f>
        <v>2.4239085580487809</v>
      </c>
      <c r="Q12" s="138">
        <f ca="1">OFFSET(IND!T$25,$E12,0)</f>
        <v>2.5104767208362371</v>
      </c>
      <c r="R12" s="138">
        <f ca="1">OFFSET(IND!U$25,$E12,0)</f>
        <v>2.6017589914982584</v>
      </c>
      <c r="S12" s="138">
        <f ca="1">OFFSET(IND!V$25,$E12,0)</f>
        <v>2.707183585783973</v>
      </c>
      <c r="T12" s="217">
        <f ca="1">OFFSET(IND!W$25,$E12,0)</f>
        <v>2.8228935063414644</v>
      </c>
      <c r="U12" s="138">
        <f ca="1">OFFSET(IND!X$25,$E12,0)</f>
        <v>2.9463174216027883</v>
      </c>
      <c r="V12" s="138">
        <f ca="1">OFFSET(IND!Y$25,$E12,0)</f>
        <v>3.0787409973519173</v>
      </c>
      <c r="W12" s="138">
        <f ca="1">OFFSET(IND!Z$25,$E12,0)</f>
        <v>3.2223070098954709</v>
      </c>
      <c r="X12" s="138">
        <f ca="1">OFFSET(IND!AA$25,$E12,0)</f>
        <v>3.3843008986759591</v>
      </c>
      <c r="Y12" s="219">
        <f ca="1">OFFSET(IND!AB$25,$E12,0)</f>
        <v>3.5557230032055753</v>
      </c>
      <c r="Z12" s="138">
        <f ca="1">OFFSET(IND!AC$25,$E12,0)</f>
        <v>3.7220024445993034</v>
      </c>
      <c r="AA12" s="138">
        <f ca="1">OFFSET(IND!AD$25,$E12,0)</f>
        <v>3.8981386570034844</v>
      </c>
      <c r="AB12" s="138">
        <f ca="1">OFFSET(IND!AE$25,$E12,0)</f>
        <v>4.0811317535888509</v>
      </c>
      <c r="AC12" s="138">
        <f ca="1">OFFSET(IND!AF$25,$E12,0)</f>
        <v>4.2752672869686421</v>
      </c>
      <c r="AD12" s="138">
        <f ca="1">OFFSET(IND!AG$25,$E12,0)</f>
        <v>4.4642601572125447</v>
      </c>
      <c r="AE12" s="138">
        <f ca="1">OFFSET(IND!AH$25,$E12,0)</f>
        <v>4.6596813563763071</v>
      </c>
      <c r="AF12" s="138">
        <f ca="1">OFFSET(IND!AI$25,$E12,0)</f>
        <v>4.877815984390244</v>
      </c>
      <c r="AG12" s="138">
        <f ca="1">OFFSET(IND!AJ$25,$E12,0)</f>
        <v>5.1100929360278746</v>
      </c>
      <c r="AH12" s="138">
        <f ca="1">OFFSET(IND!AK$25,$E12,0)</f>
        <v>5.3569407665505233</v>
      </c>
      <c r="AI12" s="138">
        <f ca="1">OFFSET(IND!AL$25,$E12,0)</f>
        <v>5.615788144390244</v>
      </c>
      <c r="AJ12" s="138">
        <f ca="1">OFFSET(IND!AM$25,$E12,0)</f>
        <v>7.2108708270383284</v>
      </c>
      <c r="AK12" s="138">
        <f ca="1">OFFSET(IND!AN$25,$E12,0)</f>
        <v>9.2675075261324054</v>
      </c>
      <c r="AL12" s="138">
        <f ca="1">OFFSET(IND!AO$25,$E12,0)</f>
        <v>12.842301238466783</v>
      </c>
      <c r="AM12" s="138">
        <f ca="1">OFFSET(IND!AP$25,$E12,0)</f>
        <v>16.494020620208907</v>
      </c>
      <c r="AQ12" s="4"/>
    </row>
    <row r="13" spans="1:56">
      <c r="A13" s="36" t="s">
        <v>313</v>
      </c>
      <c r="B13">
        <v>3.389415996611</v>
      </c>
      <c r="E13" s="141">
        <f ca="1">MATCH(F13,IND!$D$26:$D$255,0)</f>
        <v>115</v>
      </c>
      <c r="F13" s="4" t="str">
        <f t="shared" si="0"/>
        <v>ICPF</v>
      </c>
      <c r="G13" s="138">
        <f ca="1">OFFSET(IND!J$25,$E13,0)</f>
        <v>1.7807252222387775</v>
      </c>
      <c r="H13" s="138">
        <f ca="1">OFFSET(IND!K$25,$E13,0)</f>
        <v>1.835013569290556</v>
      </c>
      <c r="I13" s="138">
        <f ca="1">OFFSET(IND!L$25,$E13,0)</f>
        <v>1.8727793759352716</v>
      </c>
      <c r="J13" s="138">
        <f ca="1">OFFSET(IND!M$25,$E13,0)</f>
        <v>2.5893760000000006</v>
      </c>
      <c r="K13" s="138">
        <f ca="1">OFFSET(IND!N$25,$E13,0)</f>
        <v>2.5893760000000006</v>
      </c>
      <c r="L13" s="138">
        <f ca="1">OFFSET(IND!O$25,$E13,0)</f>
        <v>2.5893760000000006</v>
      </c>
      <c r="M13" s="138">
        <f ca="1">OFFSET(IND!P$25,$E13,0)</f>
        <v>2.6281715289198613</v>
      </c>
      <c r="N13" s="138">
        <f ca="1">OFFSET(IND!Q$25,$E13,0)</f>
        <v>2.6439604069686422</v>
      </c>
      <c r="O13" s="217">
        <f ca="1">OFFSET(IND!R$25,$E13,0)</f>
        <v>2.446373875958189</v>
      </c>
      <c r="P13" s="138">
        <f ca="1">OFFSET(IND!S$25,$E13,0)</f>
        <v>2.5514826926829275</v>
      </c>
      <c r="Q13" s="138">
        <f ca="1">OFFSET(IND!T$25,$E13,0)</f>
        <v>2.6426070745644603</v>
      </c>
      <c r="R13" s="138">
        <f ca="1">OFFSET(IND!U$25,$E13,0)</f>
        <v>2.7386936752613247</v>
      </c>
      <c r="S13" s="138">
        <f ca="1">OFFSET(IND!V$25,$E13,0)</f>
        <v>2.8496669324041823</v>
      </c>
      <c r="T13" s="217">
        <f ca="1">OFFSET(IND!W$25,$E13,0)</f>
        <v>2.9714668487804889</v>
      </c>
      <c r="U13" s="138">
        <f ca="1">OFFSET(IND!X$25,$E13,0)</f>
        <v>3.1013867595818825</v>
      </c>
      <c r="V13" s="138">
        <f ca="1">OFFSET(IND!Y$25,$E13,0)</f>
        <v>3.2407799972125448</v>
      </c>
      <c r="W13" s="138">
        <f ca="1">OFFSET(IND!Z$25,$E13,0)</f>
        <v>3.3919021156794433</v>
      </c>
      <c r="X13" s="138">
        <f ca="1">OFFSET(IND!AA$25,$E13,0)</f>
        <v>3.5624219986062728</v>
      </c>
      <c r="Y13" s="219">
        <f ca="1">OFFSET(IND!AB$25,$E13,0)</f>
        <v>3.7428663191637637</v>
      </c>
      <c r="Z13" s="138">
        <f ca="1">OFFSET(IND!AC$25,$E13,0)</f>
        <v>3.91789731010453</v>
      </c>
      <c r="AA13" s="138">
        <f ca="1">OFFSET(IND!AD$25,$E13,0)</f>
        <v>4.1033038494773519</v>
      </c>
      <c r="AB13" s="138">
        <f ca="1">OFFSET(IND!AE$25,$E13,0)</f>
        <v>4.2959281616724745</v>
      </c>
      <c r="AC13" s="138">
        <f ca="1">OFFSET(IND!AF$25,$E13,0)</f>
        <v>4.5002813547038336</v>
      </c>
      <c r="AD13" s="138">
        <f ca="1">OFFSET(IND!AG$25,$E13,0)</f>
        <v>4.6992212181184678</v>
      </c>
      <c r="AE13" s="138">
        <f ca="1">OFFSET(IND!AH$25,$E13,0)</f>
        <v>4.9049277435540075</v>
      </c>
      <c r="AF13" s="138">
        <f ca="1">OFFSET(IND!AI$25,$E13,0)</f>
        <v>5.1345431414634142</v>
      </c>
      <c r="AG13" s="138">
        <f ca="1">OFFSET(IND!AJ$25,$E13,0)</f>
        <v>5.379045195818815</v>
      </c>
      <c r="AH13" s="138">
        <f ca="1">OFFSET(IND!AK$25,$E13,0)</f>
        <v>5.638885017421603</v>
      </c>
      <c r="AI13" s="138">
        <f ca="1">OFFSET(IND!AL$25,$E13,0)</f>
        <v>5.9113559414634143</v>
      </c>
      <c r="AJ13" s="138">
        <f ca="1">OFFSET(IND!AM$25,$E13,0)</f>
        <v>7.5903903442508716</v>
      </c>
      <c r="AK13" s="138">
        <f ca="1">OFFSET(IND!AN$25,$E13,0)</f>
        <v>9.7552710801393747</v>
      </c>
      <c r="AL13" s="138">
        <f ca="1">OFFSET(IND!AO$25,$E13,0)</f>
        <v>13.518211829965036</v>
      </c>
      <c r="AM13" s="138">
        <f ca="1">OFFSET(IND!AP$25,$E13,0)</f>
        <v>17.362126968640958</v>
      </c>
      <c r="AQ13" s="4"/>
    </row>
    <row r="14" spans="1:56">
      <c r="A14" s="36" t="s">
        <v>314</v>
      </c>
      <c r="B14">
        <v>0.95327324904709998</v>
      </c>
      <c r="E14" s="141">
        <f ca="1">MATCH(F14,IND!$D$26:$D$255,0)</f>
        <v>113</v>
      </c>
      <c r="F14" s="4" t="str">
        <f t="shared" si="0"/>
        <v>ICPH</v>
      </c>
      <c r="G14" s="138">
        <f ca="1">OFFSET(IND!J$25,$E14,0)</f>
        <v>0.5008289687546561</v>
      </c>
      <c r="H14" s="138">
        <f ca="1">OFFSET(IND!K$25,$E14,0)</f>
        <v>0.51609756636296877</v>
      </c>
      <c r="I14" s="138">
        <f ca="1">OFFSET(IND!L$25,$E14,0)</f>
        <v>0.52671919948179502</v>
      </c>
      <c r="J14" s="138">
        <f ca="1">OFFSET(IND!M$25,$E14,0)</f>
        <v>0.72826200000000008</v>
      </c>
      <c r="K14" s="138">
        <f ca="1">OFFSET(IND!N$25,$E14,0)</f>
        <v>0.72826200000000008</v>
      </c>
      <c r="L14" s="138">
        <f ca="1">OFFSET(IND!O$25,$E14,0)</f>
        <v>0.72826200000000008</v>
      </c>
      <c r="M14" s="138">
        <f ca="1">OFFSET(IND!P$25,$E14,0)</f>
        <v>0.73917324250871097</v>
      </c>
      <c r="N14" s="138">
        <f ca="1">OFFSET(IND!Q$25,$E14,0)</f>
        <v>0.7436138644599305</v>
      </c>
      <c r="O14" s="217">
        <f ca="1">OFFSET(IND!R$25,$E14,0)</f>
        <v>0.68804265261324049</v>
      </c>
      <c r="P14" s="138">
        <f ca="1">OFFSET(IND!S$25,$E14,0)</f>
        <v>0.71760450731707326</v>
      </c>
      <c r="Q14" s="138">
        <f ca="1">OFFSET(IND!T$25,$E14,0)</f>
        <v>0.74323323972125432</v>
      </c>
      <c r="R14" s="138">
        <f ca="1">OFFSET(IND!U$25,$E14,0)</f>
        <v>0.77025759616724743</v>
      </c>
      <c r="S14" s="138">
        <f ca="1">OFFSET(IND!V$25,$E14,0)</f>
        <v>0.80146882473867609</v>
      </c>
      <c r="T14" s="217">
        <f ca="1">OFFSET(IND!W$25,$E14,0)</f>
        <v>0.83572505121951235</v>
      </c>
      <c r="U14" s="138">
        <f ca="1">OFFSET(IND!X$25,$E14,0)</f>
        <v>0.87226502613240431</v>
      </c>
      <c r="V14" s="138">
        <f ca="1">OFFSET(IND!Y$25,$E14,0)</f>
        <v>0.91146937421602803</v>
      </c>
      <c r="W14" s="138">
        <f ca="1">OFFSET(IND!Z$25,$E14,0)</f>
        <v>0.9539724700348432</v>
      </c>
      <c r="X14" s="138">
        <f ca="1">OFFSET(IND!AA$25,$E14,0)</f>
        <v>1.0019311871080141</v>
      </c>
      <c r="Y14" s="219">
        <f ca="1">OFFSET(IND!AB$25,$E14,0)</f>
        <v>1.0526811522648085</v>
      </c>
      <c r="Z14" s="138">
        <f ca="1">OFFSET(IND!AC$25,$E14,0)</f>
        <v>1.1019086184668991</v>
      </c>
      <c r="AA14" s="138">
        <f ca="1">OFFSET(IND!AD$25,$E14,0)</f>
        <v>1.1540542076655054</v>
      </c>
      <c r="AB14" s="138">
        <f ca="1">OFFSET(IND!AE$25,$E14,0)</f>
        <v>1.2082297954703836</v>
      </c>
      <c r="AC14" s="138">
        <f ca="1">OFFSET(IND!AF$25,$E14,0)</f>
        <v>1.2657041310104533</v>
      </c>
      <c r="AD14" s="138">
        <f ca="1">OFFSET(IND!AG$25,$E14,0)</f>
        <v>1.321655967595819</v>
      </c>
      <c r="AE14" s="138">
        <f ca="1">OFFSET(IND!AH$25,$E14,0)</f>
        <v>1.3795109278745645</v>
      </c>
      <c r="AF14" s="138">
        <f ca="1">OFFSET(IND!AI$25,$E14,0)</f>
        <v>1.4440902585365851</v>
      </c>
      <c r="AG14" s="138">
        <f ca="1">OFFSET(IND!AJ$25,$E14,0)</f>
        <v>1.5128564613240416</v>
      </c>
      <c r="AH14" s="138">
        <f ca="1">OFFSET(IND!AK$25,$E14,0)</f>
        <v>1.5859364111498258</v>
      </c>
      <c r="AI14" s="138">
        <f ca="1">OFFSET(IND!AL$25,$E14,0)</f>
        <v>1.6625688585365852</v>
      </c>
      <c r="AJ14" s="138">
        <f ca="1">OFFSET(IND!AM$25,$E14,0)</f>
        <v>2.1347972843205576</v>
      </c>
      <c r="AK14" s="138">
        <f ca="1">OFFSET(IND!AN$25,$E14,0)</f>
        <v>2.7436699912891989</v>
      </c>
      <c r="AL14" s="138">
        <f ca="1">OFFSET(IND!AO$25,$E14,0)</f>
        <v>3.8019970771776661</v>
      </c>
      <c r="AM14" s="138">
        <f ca="1">OFFSET(IND!AP$25,$E14,0)</f>
        <v>4.8830982099302682</v>
      </c>
      <c r="AQ14" s="4"/>
    </row>
    <row r="15" spans="1:56">
      <c r="A15" s="36" t="s">
        <v>315</v>
      </c>
      <c r="B15">
        <v>1.059192498941</v>
      </c>
      <c r="E15" s="141">
        <f ca="1">MATCH(F15,IND!$D$26:$D$255,0)</f>
        <v>109</v>
      </c>
      <c r="F15" s="4" t="str">
        <f t="shared" si="0"/>
        <v>ICPK</v>
      </c>
      <c r="G15" s="138">
        <f ca="1">OFFSET(IND!J$25,$E15,0)</f>
        <v>0.55647663194961794</v>
      </c>
      <c r="H15" s="138">
        <f ca="1">OFFSET(IND!K$25,$E15,0)</f>
        <v>0.57344174040329876</v>
      </c>
      <c r="I15" s="138">
        <f ca="1">OFFSET(IND!L$25,$E15,0)</f>
        <v>0.58524355497977232</v>
      </c>
      <c r="J15" s="138">
        <f ca="1">OFFSET(IND!M$25,$E15,0)</f>
        <v>0.80918000000000012</v>
      </c>
      <c r="K15" s="138">
        <f ca="1">OFFSET(IND!N$25,$E15,0)</f>
        <v>0.80918000000000012</v>
      </c>
      <c r="L15" s="138">
        <f ca="1">OFFSET(IND!O$25,$E15,0)</f>
        <v>0.80918000000000012</v>
      </c>
      <c r="M15" s="138">
        <f ca="1">OFFSET(IND!P$25,$E15,0)</f>
        <v>0.82130360278745662</v>
      </c>
      <c r="N15" s="138">
        <f ca="1">OFFSET(IND!Q$25,$E15,0)</f>
        <v>0.82623762717770055</v>
      </c>
      <c r="O15" s="217">
        <f ca="1">OFFSET(IND!R$25,$E15,0)</f>
        <v>0.76449183623693395</v>
      </c>
      <c r="P15" s="138">
        <f ca="1">OFFSET(IND!S$25,$E15,0)</f>
        <v>0.79733834146341476</v>
      </c>
      <c r="Q15" s="138">
        <f ca="1">OFFSET(IND!T$25,$E15,0)</f>
        <v>0.82581471080139379</v>
      </c>
      <c r="R15" s="138">
        <f ca="1">OFFSET(IND!U$25,$E15,0)</f>
        <v>0.85584177351916391</v>
      </c>
      <c r="S15" s="138">
        <f ca="1">OFFSET(IND!V$25,$E15,0)</f>
        <v>0.89052091637630693</v>
      </c>
      <c r="T15" s="217">
        <f ca="1">OFFSET(IND!W$25,$E15,0)</f>
        <v>0.9285833902439028</v>
      </c>
      <c r="U15" s="138">
        <f ca="1">OFFSET(IND!X$25,$E15,0)</f>
        <v>0.96918336236933833</v>
      </c>
      <c r="V15" s="138">
        <f ca="1">OFFSET(IND!Y$25,$E15,0)</f>
        <v>1.0127437491289204</v>
      </c>
      <c r="W15" s="138">
        <f ca="1">OFFSET(IND!Z$25,$E15,0)</f>
        <v>1.0599694111498261</v>
      </c>
      <c r="X15" s="138">
        <f ca="1">OFFSET(IND!AA$25,$E15,0)</f>
        <v>1.1132568745644604</v>
      </c>
      <c r="Y15" s="219">
        <f ca="1">OFFSET(IND!AB$25,$E15,0)</f>
        <v>1.1696457247386765</v>
      </c>
      <c r="Z15" s="138">
        <f ca="1">OFFSET(IND!AC$25,$E15,0)</f>
        <v>1.2243429094076659</v>
      </c>
      <c r="AA15" s="138">
        <f ca="1">OFFSET(IND!AD$25,$E15,0)</f>
        <v>1.2822824529616728</v>
      </c>
      <c r="AB15" s="138">
        <f ca="1">OFFSET(IND!AE$25,$E15,0)</f>
        <v>1.3424775505226485</v>
      </c>
      <c r="AC15" s="138">
        <f ca="1">OFFSET(IND!AF$25,$E15,0)</f>
        <v>1.4063379233449482</v>
      </c>
      <c r="AD15" s="138">
        <f ca="1">OFFSET(IND!AG$25,$E15,0)</f>
        <v>1.4685066306620214</v>
      </c>
      <c r="AE15" s="138">
        <f ca="1">OFFSET(IND!AH$25,$E15,0)</f>
        <v>1.5327899198606276</v>
      </c>
      <c r="AF15" s="138">
        <f ca="1">OFFSET(IND!AI$25,$E15,0)</f>
        <v>1.6045447317073174</v>
      </c>
      <c r="AG15" s="138">
        <f ca="1">OFFSET(IND!AJ$25,$E15,0)</f>
        <v>1.6809516236933801</v>
      </c>
      <c r="AH15" s="138">
        <f ca="1">OFFSET(IND!AK$25,$E15,0)</f>
        <v>1.7621515679442514</v>
      </c>
      <c r="AI15" s="138">
        <f ca="1">OFFSET(IND!AL$25,$E15,0)</f>
        <v>1.8472987317073175</v>
      </c>
      <c r="AJ15" s="138">
        <f ca="1">OFFSET(IND!AM$25,$E15,0)</f>
        <v>2.371996982578398</v>
      </c>
      <c r="AK15" s="138">
        <f ca="1">OFFSET(IND!AN$25,$E15,0)</f>
        <v>3.0485222125435554</v>
      </c>
      <c r="AL15" s="138">
        <f ca="1">OFFSET(IND!AO$25,$E15,0)</f>
        <v>4.2244411968640749</v>
      </c>
      <c r="AM15" s="138">
        <f ca="1">OFFSET(IND!AP$25,$E15,0)</f>
        <v>5.4256646777003006</v>
      </c>
      <c r="AQ15" s="4"/>
    </row>
    <row r="16" spans="1:56">
      <c r="A16" s="36" t="s">
        <v>316</v>
      </c>
      <c r="B16">
        <v>0.63551549936469998</v>
      </c>
      <c r="E16" s="141">
        <f ca="1">MATCH(F16,IND!$D$26:$D$255,0)</f>
        <v>111</v>
      </c>
      <c r="F16" s="4" t="str">
        <f t="shared" si="0"/>
        <v>ICPL</v>
      </c>
      <c r="G16" s="138">
        <f ca="1">OFFSET(IND!J$25,$E16,0)</f>
        <v>0.3338859791697707</v>
      </c>
      <c r="H16" s="138">
        <f ca="1">OFFSET(IND!K$25,$E16,0)</f>
        <v>0.3440650442419792</v>
      </c>
      <c r="I16" s="138">
        <f ca="1">OFFSET(IND!L$25,$E16,0)</f>
        <v>0.35114613298786335</v>
      </c>
      <c r="J16" s="138">
        <f ca="1">OFFSET(IND!M$25,$E16,0)</f>
        <v>0.48550800000000005</v>
      </c>
      <c r="K16" s="138">
        <f ca="1">OFFSET(IND!N$25,$E16,0)</f>
        <v>0.48550800000000005</v>
      </c>
      <c r="L16" s="138">
        <f ca="1">OFFSET(IND!O$25,$E16,0)</f>
        <v>0.48550800000000005</v>
      </c>
      <c r="M16" s="138">
        <f ca="1">OFFSET(IND!P$25,$E16,0)</f>
        <v>0.49278216167247396</v>
      </c>
      <c r="N16" s="138">
        <f ca="1">OFFSET(IND!Q$25,$E16,0)</f>
        <v>0.49574257630662033</v>
      </c>
      <c r="O16" s="217">
        <f ca="1">OFFSET(IND!R$25,$E16,0)</f>
        <v>0.45869510174216033</v>
      </c>
      <c r="P16" s="138">
        <f ca="1">OFFSET(IND!S$25,$E16,0)</f>
        <v>0.47840300487804882</v>
      </c>
      <c r="Q16" s="138">
        <f ca="1">OFFSET(IND!T$25,$E16,0)</f>
        <v>0.4954888264808362</v>
      </c>
      <c r="R16" s="138">
        <f ca="1">OFFSET(IND!U$25,$E16,0)</f>
        <v>0.51350506411149821</v>
      </c>
      <c r="S16" s="138">
        <f ca="1">OFFSET(IND!V$25,$E16,0)</f>
        <v>0.53431254982578402</v>
      </c>
      <c r="T16" s="217">
        <f ca="1">OFFSET(IND!W$25,$E16,0)</f>
        <v>0.55715003414634146</v>
      </c>
      <c r="U16" s="138">
        <f ca="1">OFFSET(IND!X$25,$E16,0)</f>
        <v>0.5815100174216028</v>
      </c>
      <c r="V16" s="138">
        <f ca="1">OFFSET(IND!Y$25,$E16,0)</f>
        <v>0.60764624947735202</v>
      </c>
      <c r="W16" s="138">
        <f ca="1">OFFSET(IND!Z$25,$E16,0)</f>
        <v>0.63598164668989543</v>
      </c>
      <c r="X16" s="138">
        <f ca="1">OFFSET(IND!AA$25,$E16,0)</f>
        <v>0.66795412473867599</v>
      </c>
      <c r="Y16" s="219">
        <f ca="1">OFFSET(IND!AB$25,$E16,0)</f>
        <v>0.70178743484320549</v>
      </c>
      <c r="Z16" s="138">
        <f ca="1">OFFSET(IND!AC$25,$E16,0)</f>
        <v>0.73460574564459924</v>
      </c>
      <c r="AA16" s="138">
        <f ca="1">OFFSET(IND!AD$25,$E16,0)</f>
        <v>0.76936947177700343</v>
      </c>
      <c r="AB16" s="138">
        <f ca="1">OFFSET(IND!AE$25,$E16,0)</f>
        <v>0.80548653031358886</v>
      </c>
      <c r="AC16" s="138">
        <f ca="1">OFFSET(IND!AF$25,$E16,0)</f>
        <v>0.84380275400696869</v>
      </c>
      <c r="AD16" s="138">
        <f ca="1">OFFSET(IND!AG$25,$E16,0)</f>
        <v>0.88110397839721255</v>
      </c>
      <c r="AE16" s="138">
        <f ca="1">OFFSET(IND!AH$25,$E16,0)</f>
        <v>0.91967395191637624</v>
      </c>
      <c r="AF16" s="138">
        <f ca="1">OFFSET(IND!AI$25,$E16,0)</f>
        <v>0.96272683902439005</v>
      </c>
      <c r="AG16" s="138">
        <f ca="1">OFFSET(IND!AJ$25,$E16,0)</f>
        <v>1.0085709742160278</v>
      </c>
      <c r="AH16" s="138">
        <f ca="1">OFFSET(IND!AK$25,$E16,0)</f>
        <v>1.0572909407665505</v>
      </c>
      <c r="AI16" s="138">
        <f ca="1">OFFSET(IND!AL$25,$E16,0)</f>
        <v>1.1083792390243901</v>
      </c>
      <c r="AJ16" s="138">
        <f ca="1">OFFSET(IND!AM$25,$E16,0)</f>
        <v>1.4231981895470383</v>
      </c>
      <c r="AK16" s="138">
        <f ca="1">OFFSET(IND!AN$25,$E16,0)</f>
        <v>1.8291133275261324</v>
      </c>
      <c r="AL16" s="138">
        <f ca="1">OFFSET(IND!AO$25,$E16,0)</f>
        <v>2.5346647181184436</v>
      </c>
      <c r="AM16" s="138">
        <f ca="1">OFFSET(IND!AP$25,$E16,0)</f>
        <v>3.2553988066201787</v>
      </c>
      <c r="AQ16" s="4"/>
    </row>
    <row r="17" spans="1:43">
      <c r="A17" s="36" t="s">
        <v>317</v>
      </c>
      <c r="B17">
        <v>8.4735399915289999</v>
      </c>
      <c r="E17" s="141">
        <f ca="1">MATCH(F17,IND!$D$26:$D$255,0)</f>
        <v>116</v>
      </c>
      <c r="F17" s="4" t="str">
        <f t="shared" si="0"/>
        <v>ICPO</v>
      </c>
      <c r="G17" s="138">
        <f ca="1">OFFSET(IND!J$25,$E17,0)</f>
        <v>4.4518130555969435</v>
      </c>
      <c r="H17" s="138">
        <f ca="1">OFFSET(IND!K$25,$E17,0)</f>
        <v>4.5875339232263901</v>
      </c>
      <c r="I17" s="138">
        <f ca="1">OFFSET(IND!L$25,$E17,0)</f>
        <v>4.6819484398381785</v>
      </c>
      <c r="J17" s="138">
        <f ca="1">OFFSET(IND!M$25,$E17,0)</f>
        <v>6.473440000000001</v>
      </c>
      <c r="K17" s="138">
        <f ca="1">OFFSET(IND!N$25,$E17,0)</f>
        <v>6.473440000000001</v>
      </c>
      <c r="L17" s="138">
        <f ca="1">OFFSET(IND!O$25,$E17,0)</f>
        <v>6.473440000000001</v>
      </c>
      <c r="M17" s="138">
        <f ca="1">OFFSET(IND!P$25,$E17,0)</f>
        <v>6.570428822299653</v>
      </c>
      <c r="N17" s="138">
        <f ca="1">OFFSET(IND!Q$25,$E17,0)</f>
        <v>6.6099010174216044</v>
      </c>
      <c r="O17" s="217">
        <f ca="1">OFFSET(IND!R$25,$E17,0)</f>
        <v>6.1159346898954716</v>
      </c>
      <c r="P17" s="138">
        <f ca="1">OFFSET(IND!S$25,$E17,0)</f>
        <v>6.3787067317073181</v>
      </c>
      <c r="Q17" s="138">
        <f ca="1">OFFSET(IND!T$25,$E17,0)</f>
        <v>6.6065176864111503</v>
      </c>
      <c r="R17" s="138">
        <f ca="1">OFFSET(IND!U$25,$E17,0)</f>
        <v>6.8467341881533113</v>
      </c>
      <c r="S17" s="138">
        <f ca="1">OFFSET(IND!V$25,$E17,0)</f>
        <v>7.1241673310104554</v>
      </c>
      <c r="T17" s="217">
        <f ca="1">OFFSET(IND!W$25,$E17,0)</f>
        <v>7.4286671219512224</v>
      </c>
      <c r="U17" s="138">
        <f ca="1">OFFSET(IND!X$25,$E17,0)</f>
        <v>7.7534668989547066</v>
      </c>
      <c r="V17" s="138">
        <f ca="1">OFFSET(IND!Y$25,$E17,0)</f>
        <v>8.1019499930313632</v>
      </c>
      <c r="W17" s="138">
        <f ca="1">OFFSET(IND!Z$25,$E17,0)</f>
        <v>8.479755289198609</v>
      </c>
      <c r="X17" s="138">
        <f ca="1">OFFSET(IND!AA$25,$E17,0)</f>
        <v>8.9060549965156834</v>
      </c>
      <c r="Y17" s="219">
        <f ca="1">OFFSET(IND!AB$25,$E17,0)</f>
        <v>9.3571657979094116</v>
      </c>
      <c r="Z17" s="138">
        <f ca="1">OFFSET(IND!AC$25,$E17,0)</f>
        <v>9.794743275261327</v>
      </c>
      <c r="AA17" s="138">
        <f ca="1">OFFSET(IND!AD$25,$E17,0)</f>
        <v>10.258259623693382</v>
      </c>
      <c r="AB17" s="138">
        <f ca="1">OFFSET(IND!AE$25,$E17,0)</f>
        <v>10.739820404181188</v>
      </c>
      <c r="AC17" s="138">
        <f ca="1">OFFSET(IND!AF$25,$E17,0)</f>
        <v>11.250703386759586</v>
      </c>
      <c r="AD17" s="138">
        <f ca="1">OFFSET(IND!AG$25,$E17,0)</f>
        <v>11.748053045296171</v>
      </c>
      <c r="AE17" s="138">
        <f ca="1">OFFSET(IND!AH$25,$E17,0)</f>
        <v>12.262319358885021</v>
      </c>
      <c r="AF17" s="138">
        <f ca="1">OFFSET(IND!AI$25,$E17,0)</f>
        <v>12.836357853658539</v>
      </c>
      <c r="AG17" s="138">
        <f ca="1">OFFSET(IND!AJ$25,$E17,0)</f>
        <v>13.447612989547041</v>
      </c>
      <c r="AH17" s="138">
        <f ca="1">OFFSET(IND!AK$25,$E17,0)</f>
        <v>14.097212543554011</v>
      </c>
      <c r="AI17" s="138">
        <f ca="1">OFFSET(IND!AL$25,$E17,0)</f>
        <v>14.77838985365854</v>
      </c>
      <c r="AJ17" s="138">
        <f ca="1">OFFSET(IND!AM$25,$E17,0)</f>
        <v>18.975975860627184</v>
      </c>
      <c r="AK17" s="138">
        <f ca="1">OFFSET(IND!AN$25,$E17,0)</f>
        <v>24.388177700348443</v>
      </c>
      <c r="AL17" s="138">
        <f ca="1">OFFSET(IND!AO$25,$E17,0)</f>
        <v>33.795529574912599</v>
      </c>
      <c r="AM17" s="138">
        <f ca="1">OFFSET(IND!AP$25,$E17,0)</f>
        <v>43.405317421602405</v>
      </c>
      <c r="AQ17" s="4"/>
    </row>
    <row r="18" spans="1:43">
      <c r="A18" s="36" t="s">
        <v>318</v>
      </c>
      <c r="B18">
        <v>14.828694985169999</v>
      </c>
      <c r="E18" s="141">
        <f ca="1">MATCH(F18,IND!$D$26:$D$255,0)</f>
        <v>114</v>
      </c>
      <c r="F18" s="4" t="str">
        <f t="shared" si="0"/>
        <v>ICPP</v>
      </c>
      <c r="G18" s="138">
        <f ca="1">OFFSET(IND!J$25,$E18,0)</f>
        <v>7.7906728472946494</v>
      </c>
      <c r="H18" s="138">
        <f ca="1">OFFSET(IND!K$25,$E18,0)</f>
        <v>8.0281843656461813</v>
      </c>
      <c r="I18" s="138">
        <f ca="1">OFFSET(IND!L$25,$E18,0)</f>
        <v>8.193409769716812</v>
      </c>
      <c r="J18" s="138">
        <f ca="1">OFFSET(IND!M$25,$E18,0)</f>
        <v>11.328520000000001</v>
      </c>
      <c r="K18" s="138">
        <f ca="1">OFFSET(IND!N$25,$E18,0)</f>
        <v>11.328520000000001</v>
      </c>
      <c r="L18" s="138">
        <f ca="1">OFFSET(IND!O$25,$E18,0)</f>
        <v>11.328520000000001</v>
      </c>
      <c r="M18" s="138">
        <f ca="1">OFFSET(IND!P$25,$E18,0)</f>
        <v>11.498250439024392</v>
      </c>
      <c r="N18" s="138">
        <f ca="1">OFFSET(IND!Q$25,$E18,0)</f>
        <v>11.567326780487807</v>
      </c>
      <c r="O18" s="217">
        <f ca="1">OFFSET(IND!R$25,$E18,0)</f>
        <v>10.702885707317074</v>
      </c>
      <c r="P18" s="138">
        <f ca="1">OFFSET(IND!S$25,$E18,0)</f>
        <v>11.162736780487807</v>
      </c>
      <c r="Q18" s="138">
        <f ca="1">OFFSET(IND!T$25,$E18,0)</f>
        <v>11.561405951219513</v>
      </c>
      <c r="R18" s="138">
        <f ca="1">OFFSET(IND!U$25,$E18,0)</f>
        <v>11.981784829268294</v>
      </c>
      <c r="S18" s="138">
        <f ca="1">OFFSET(IND!V$25,$E18,0)</f>
        <v>12.467292829268295</v>
      </c>
      <c r="T18" s="217">
        <f ca="1">OFFSET(IND!W$25,$E18,0)</f>
        <v>13.000167463414638</v>
      </c>
      <c r="U18" s="138">
        <f ca="1">OFFSET(IND!X$25,$E18,0)</f>
        <v>13.568567073170735</v>
      </c>
      <c r="V18" s="138">
        <f ca="1">OFFSET(IND!Y$25,$E18,0)</f>
        <v>14.178412487804883</v>
      </c>
      <c r="W18" s="138">
        <f ca="1">OFFSET(IND!Z$25,$E18,0)</f>
        <v>14.839571756097563</v>
      </c>
      <c r="X18" s="138">
        <f ca="1">OFFSET(IND!AA$25,$E18,0)</f>
        <v>15.585596243902442</v>
      </c>
      <c r="Y18" s="219">
        <f ca="1">OFFSET(IND!AB$25,$E18,0)</f>
        <v>16.375040146341465</v>
      </c>
      <c r="Z18" s="138">
        <f ca="1">OFFSET(IND!AC$25,$E18,0)</f>
        <v>17.140800731707319</v>
      </c>
      <c r="AA18" s="138">
        <f ca="1">OFFSET(IND!AD$25,$E18,0)</f>
        <v>17.951954341463416</v>
      </c>
      <c r="AB18" s="138">
        <f ca="1">OFFSET(IND!AE$25,$E18,0)</f>
        <v>18.794685707317079</v>
      </c>
      <c r="AC18" s="138">
        <f ca="1">OFFSET(IND!AF$25,$E18,0)</f>
        <v>19.688730926829276</v>
      </c>
      <c r="AD18" s="138">
        <f ca="1">OFFSET(IND!AG$25,$E18,0)</f>
        <v>20.559092829268298</v>
      </c>
      <c r="AE18" s="138">
        <f ca="1">OFFSET(IND!AH$25,$E18,0)</f>
        <v>21.459058878048786</v>
      </c>
      <c r="AF18" s="138">
        <f ca="1">OFFSET(IND!AI$25,$E18,0)</f>
        <v>22.463626243902443</v>
      </c>
      <c r="AG18" s="138">
        <f ca="1">OFFSET(IND!AJ$25,$E18,0)</f>
        <v>23.533322731707322</v>
      </c>
      <c r="AH18" s="138">
        <f ca="1">OFFSET(IND!AK$25,$E18,0)</f>
        <v>24.670121951219521</v>
      </c>
      <c r="AI18" s="138">
        <f ca="1">OFFSET(IND!AL$25,$E18,0)</f>
        <v>25.862182243902446</v>
      </c>
      <c r="AJ18" s="138">
        <f ca="1">OFFSET(IND!AM$25,$E18,0)</f>
        <v>33.207957756097571</v>
      </c>
      <c r="AK18" s="138">
        <f ca="1">OFFSET(IND!AN$25,$E18,0)</f>
        <v>42.679310975609773</v>
      </c>
      <c r="AL18" s="138">
        <f ca="1">OFFSET(IND!AO$25,$E18,0)</f>
        <v>59.142176756097044</v>
      </c>
      <c r="AM18" s="138">
        <f ca="1">OFFSET(IND!AP$25,$E18,0)</f>
        <v>75.959305487804201</v>
      </c>
      <c r="AQ18" s="4"/>
    </row>
    <row r="19" spans="1:43">
      <c r="A19" s="36" t="s">
        <v>319</v>
      </c>
      <c r="B19">
        <v>32.941303389589997</v>
      </c>
      <c r="E19" s="141">
        <f ca="1">MATCH(F19,IND!$D$26:$D$255,0)</f>
        <v>119</v>
      </c>
      <c r="F19" s="4" t="str">
        <f t="shared" si="0"/>
        <v>ICPS</v>
      </c>
      <c r="G19" s="138">
        <f ca="1">OFFSET(IND!J$25,$E19,0)</f>
        <v>27.288197120140854</v>
      </c>
      <c r="H19" s="138">
        <f ca="1">OFFSET(IND!K$25,$E19,0)</f>
        <v>28.120122841849369</v>
      </c>
      <c r="I19" s="138">
        <f ca="1">OFFSET(IND!L$25,$E19,0)</f>
        <v>28.698853778690076</v>
      </c>
      <c r="J19" s="138">
        <f ca="1">OFFSET(IND!M$25,$E19,0)</f>
        <v>16.650368400000001</v>
      </c>
      <c r="K19" s="138">
        <f ca="1">OFFSET(IND!N$25,$E19,0)</f>
        <v>16.650368400000001</v>
      </c>
      <c r="L19" s="138">
        <f ca="1">OFFSET(IND!O$25,$E19,0)</f>
        <v>16.650368400000001</v>
      </c>
      <c r="M19" s="138">
        <f ca="1">OFFSET(IND!P$25,$E19,0)</f>
        <v>16.899833849895472</v>
      </c>
      <c r="N19" s="138">
        <f ca="1">OFFSET(IND!Q$25,$E19,0)</f>
        <v>17.001360486480841</v>
      </c>
      <c r="O19" s="217">
        <f ca="1">OFFSET(IND!R$25,$E19,0)</f>
        <v>15.730827148641119</v>
      </c>
      <c r="P19" s="138">
        <f ca="1">OFFSET(IND!S$25,$E19,0)</f>
        <v>16.406704472195127</v>
      </c>
      <c r="Q19" s="138">
        <f ca="1">OFFSET(IND!T$25,$E19,0)</f>
        <v>16.992658203344952</v>
      </c>
      <c r="R19" s="138">
        <f ca="1">OFFSET(IND!U$25,$E19,0)</f>
        <v>17.610520305993038</v>
      </c>
      <c r="S19" s="138">
        <f ca="1">OFFSET(IND!V$25,$E19,0)</f>
        <v>18.324107523135897</v>
      </c>
      <c r="T19" s="217">
        <f ca="1">OFFSET(IND!W$25,$E19,0)</f>
        <v>19.107313005365864</v>
      </c>
      <c r="U19" s="138">
        <f ca="1">OFFSET(IND!X$25,$E19,0)</f>
        <v>19.94273218641116</v>
      </c>
      <c r="V19" s="138">
        <f ca="1">OFFSET(IND!Y$25,$E19,0)</f>
        <v>20.839067349407678</v>
      </c>
      <c r="W19" s="138">
        <f ca="1">OFFSET(IND!Z$25,$E19,0)</f>
        <v>21.81082229958189</v>
      </c>
      <c r="X19" s="138">
        <f ca="1">OFFSET(IND!AA$25,$E19,0)</f>
        <v>22.907309974703843</v>
      </c>
      <c r="Y19" s="219">
        <f ca="1">OFFSET(IND!AB$25,$E19,0)</f>
        <v>24.067614392822307</v>
      </c>
      <c r="Z19" s="138">
        <f ca="1">OFFSET(IND!AC$25,$E19,0)</f>
        <v>25.193109678397221</v>
      </c>
      <c r="AA19" s="138">
        <f ca="1">OFFSET(IND!AD$25,$E19,0)</f>
        <v>26.385322468013946</v>
      </c>
      <c r="AB19" s="138">
        <f ca="1">OFFSET(IND!AE$25,$E19,0)</f>
        <v>27.623947434355415</v>
      </c>
      <c r="AC19" s="138">
        <f ca="1">OFFSET(IND!AF$25,$E19,0)</f>
        <v>28.937992187874581</v>
      </c>
      <c r="AD19" s="138">
        <f ca="1">OFFSET(IND!AG$25,$E19,0)</f>
        <v>30.21722780885019</v>
      </c>
      <c r="AE19" s="138">
        <f ca="1">OFFSET(IND!AH$25,$E19,0)</f>
        <v>31.539974845505242</v>
      </c>
      <c r="AF19" s="138">
        <f ca="1">OFFSET(IND!AI$25,$E19,0)</f>
        <v>33.016462217560985</v>
      </c>
      <c r="AG19" s="138">
        <f ca="1">OFFSET(IND!AJ$25,$E19,0)</f>
        <v>34.588674704111511</v>
      </c>
      <c r="AH19" s="138">
        <f ca="1">OFFSET(IND!AK$25,$E19,0)</f>
        <v>36.259513066202111</v>
      </c>
      <c r="AI19" s="138">
        <f ca="1">OFFSET(IND!AL$25,$E19,0)</f>
        <v>38.011572737560996</v>
      </c>
      <c r="AJ19" s="138">
        <f ca="1">OFFSET(IND!AM$25,$E19,0)</f>
        <v>48.808205348153344</v>
      </c>
      <c r="AK19" s="138">
        <f ca="1">OFFSET(IND!AN$25,$E19,0)</f>
        <v>62.728957604529668</v>
      </c>
      <c r="AL19" s="138">
        <f ca="1">OFFSET(IND!AO$25,$E19,0)</f>
        <v>86.925655863866879</v>
      </c>
      <c r="AM19" s="138">
        <f ca="1">OFFSET(IND!AP$25,$E19,0)</f>
        <v>111.6430407308353</v>
      </c>
      <c r="AQ19" s="4"/>
    </row>
    <row r="20" spans="1:43">
      <c r="A20" s="36" t="s">
        <v>320</v>
      </c>
      <c r="B20">
        <v>39.685391397639997</v>
      </c>
      <c r="E20" s="141">
        <f ca="1">MATCH(F20,IND!$D$26:$D$255,0)</f>
        <v>126</v>
      </c>
      <c r="F20" s="4" t="str">
        <f t="shared" si="0"/>
        <v>ICPT</v>
      </c>
      <c r="G20" s="138">
        <f ca="1">OFFSET(IND!J$25,$E20,0)</f>
        <v>39.004000030517574</v>
      </c>
      <c r="H20" s="138">
        <f ca="1">OFFSET(IND!K$25,$E20,0)</f>
        <v>40.193101338018678</v>
      </c>
      <c r="I20" s="138">
        <f ca="1">OFFSET(IND!L$25,$E20,0)</f>
        <v>41.020302247584659</v>
      </c>
      <c r="J20" s="138">
        <f ca="1">OFFSET(IND!M$25,$E20,0)</f>
        <v>28.64</v>
      </c>
      <c r="K20" s="138">
        <f ca="1">OFFSET(IND!N$25,$E20,0)</f>
        <v>28.64</v>
      </c>
      <c r="L20" s="138">
        <f ca="1">OFFSET(IND!O$25,$E20,0)</f>
        <v>28.64</v>
      </c>
      <c r="M20" s="138">
        <f ca="1">OFFSET(IND!P$25,$E20,0)</f>
        <v>29.069101045296168</v>
      </c>
      <c r="N20" s="138">
        <f ca="1">OFFSET(IND!Q$25,$E20,0)</f>
        <v>29.243735191637633</v>
      </c>
      <c r="O20" s="217">
        <f ca="1">OFFSET(IND!R$25,$E20,0)</f>
        <v>27.058313588850172</v>
      </c>
      <c r="P20" s="138">
        <f ca="1">OFFSET(IND!S$25,$E20,0)</f>
        <v>28.220878048780484</v>
      </c>
      <c r="Q20" s="138">
        <f ca="1">OFFSET(IND!T$25,$E20,0)</f>
        <v>29.228766550522639</v>
      </c>
      <c r="R20" s="138">
        <f ca="1">OFFSET(IND!U$25,$E20,0)</f>
        <v>30.291540069686405</v>
      </c>
      <c r="S20" s="138">
        <f ca="1">OFFSET(IND!V$25,$E20,0)</f>
        <v>31.518968641114981</v>
      </c>
      <c r="T20" s="217">
        <f ca="1">OFFSET(IND!W$25,$E20,0)</f>
        <v>32.866146341463413</v>
      </c>
      <c r="U20" s="138">
        <f ca="1">OFFSET(IND!X$25,$E20,0)</f>
        <v>34.303135888501735</v>
      </c>
      <c r="V20" s="138">
        <f ca="1">OFFSET(IND!Y$25,$E20,0)</f>
        <v>35.844905923344946</v>
      </c>
      <c r="W20" s="138">
        <f ca="1">OFFSET(IND!Z$25,$E20,0)</f>
        <v>37.516404181184662</v>
      </c>
      <c r="X20" s="138">
        <f ca="1">OFFSET(IND!AA$25,$E20,0)</f>
        <v>39.402452961672466</v>
      </c>
      <c r="Y20" s="219">
        <f ca="1">OFFSET(IND!AB$25,$E20,0)</f>
        <v>41.398271777003472</v>
      </c>
      <c r="Z20" s="138">
        <f ca="1">OFFSET(IND!AC$25,$E20,0)</f>
        <v>43.334216027874554</v>
      </c>
      <c r="AA20" s="138">
        <f ca="1">OFFSET(IND!AD$25,$E20,0)</f>
        <v>45.384919860627164</v>
      </c>
      <c r="AB20" s="138">
        <f ca="1">OFFSET(IND!AE$25,$E20,0)</f>
        <v>47.515456445993024</v>
      </c>
      <c r="AC20" s="138">
        <f ca="1">OFFSET(IND!AF$25,$E20,0)</f>
        <v>49.775721254355396</v>
      </c>
      <c r="AD20" s="138">
        <f ca="1">OFFSET(IND!AG$25,$E20,0)</f>
        <v>51.976111498257836</v>
      </c>
      <c r="AE20" s="138">
        <f ca="1">OFFSET(IND!AH$25,$E20,0)</f>
        <v>54.251344947735184</v>
      </c>
      <c r="AF20" s="138">
        <f ca="1">OFFSET(IND!AI$25,$E20,0)</f>
        <v>56.791024390243884</v>
      </c>
      <c r="AG20" s="138">
        <f ca="1">OFFSET(IND!AJ$25,$E20,0)</f>
        <v>59.495358885017403</v>
      </c>
      <c r="AH20" s="138">
        <f ca="1">OFFSET(IND!AK$25,$E20,0)</f>
        <v>62.369337979094063</v>
      </c>
      <c r="AI20" s="138">
        <f ca="1">OFFSET(IND!AL$25,$E20,0)</f>
        <v>65.383024390243889</v>
      </c>
      <c r="AJ20" s="138">
        <f ca="1">OFFSET(IND!AM$25,$E20,0)</f>
        <v>83.954118466898947</v>
      </c>
      <c r="AK20" s="138">
        <f ca="1">OFFSET(IND!AN$25,$E20,0)</f>
        <v>107.89895470383276</v>
      </c>
      <c r="AL20" s="138">
        <f ca="1">OFFSET(IND!AO$25,$E20,0)</f>
        <v>149.51926132404046</v>
      </c>
      <c r="AM20" s="138">
        <f ca="1">OFFSET(IND!AP$25,$E20,0)</f>
        <v>192.03519163762888</v>
      </c>
      <c r="AQ20" s="4"/>
    </row>
    <row r="21" spans="1:43">
      <c r="A21" s="36" t="s">
        <v>321</v>
      </c>
      <c r="B21">
        <v>5.3061366499999998E-2</v>
      </c>
      <c r="E21" s="141">
        <f ca="1">MATCH(F21,IND!$D$26:$D$255,0)</f>
        <v>169</v>
      </c>
      <c r="F21" s="4" t="str">
        <f t="shared" si="0"/>
        <v>IFBA</v>
      </c>
      <c r="G21" s="138">
        <f ca="1">OFFSET(IND!J$25,$E21,0)</f>
        <v>3.1931633262906718E-2</v>
      </c>
      <c r="H21" s="138">
        <f ca="1">OFFSET(IND!K$25,$E21,0)</f>
        <v>3.3125210961670579E-2</v>
      </c>
      <c r="I21" s="138">
        <f ca="1">OFFSET(IND!L$25,$E21,0)</f>
        <v>3.4010104772823097E-2</v>
      </c>
      <c r="J21" s="138">
        <f ca="1">OFFSET(IND!M$25,$E21,0)</f>
        <v>2.9904000000000003E-2</v>
      </c>
      <c r="K21" s="138">
        <f ca="1">OFFSET(IND!N$25,$E21,0)</f>
        <v>2.9904000000000003E-2</v>
      </c>
      <c r="L21" s="138">
        <f ca="1">OFFSET(IND!O$25,$E21,0)</f>
        <v>2.9904000000000003E-2</v>
      </c>
      <c r="M21" s="138">
        <f ca="1">OFFSET(IND!P$25,$E21,0)</f>
        <v>3.0416952876553924E-2</v>
      </c>
      <c r="N21" s="138">
        <f ca="1">OFFSET(IND!Q$25,$E21,0)</f>
        <v>3.048899681989015E-2</v>
      </c>
      <c r="O21" s="217">
        <f ca="1">OFFSET(IND!R$25,$E21,0)</f>
        <v>2.9154742989303276E-2</v>
      </c>
      <c r="P21" s="138">
        <f ca="1">OFFSET(IND!S$25,$E21,0)</f>
        <v>3.0529341428158437E-2</v>
      </c>
      <c r="Q21" s="138">
        <f ca="1">OFFSET(IND!T$25,$E21,0)</f>
        <v>3.1684926279271476E-2</v>
      </c>
      <c r="R21" s="138">
        <f ca="1">OFFSET(IND!U$25,$E21,0)</f>
        <v>3.2817457068516923E-2</v>
      </c>
      <c r="S21" s="138">
        <f ca="1">OFFSET(IND!V$25,$E21,0)</f>
        <v>3.4102721017635167E-2</v>
      </c>
      <c r="T21" s="217">
        <f ca="1">OFFSET(IND!W$25,$E21,0)</f>
        <v>3.5491728245157575E-2</v>
      </c>
      <c r="U21" s="138">
        <f ca="1">OFFSET(IND!X$25,$E21,0)</f>
        <v>3.6929725354148617E-2</v>
      </c>
      <c r="V21" s="138">
        <f ca="1">OFFSET(IND!Y$25,$E21,0)</f>
        <v>3.8439766406475874E-2</v>
      </c>
      <c r="W21" s="138">
        <f ca="1">OFFSET(IND!Z$25,$E21,0)</f>
        <v>4.0024733159872809E-2</v>
      </c>
      <c r="X21" s="138">
        <f ca="1">OFFSET(IND!AA$25,$E21,0)</f>
        <v>4.1828713501011867E-2</v>
      </c>
      <c r="Y21" s="219">
        <f ca="1">OFFSET(IND!AB$25,$E21,0)</f>
        <v>4.3693210754553354E-2</v>
      </c>
      <c r="Z21" s="138">
        <f ca="1">OFFSET(IND!AC$25,$E21,0)</f>
        <v>4.5433792425556535E-2</v>
      </c>
      <c r="AA21" s="138">
        <f ca="1">OFFSET(IND!AD$25,$E21,0)</f>
        <v>4.7252181555362836E-2</v>
      </c>
      <c r="AB21" s="138">
        <f ca="1">OFFSET(IND!AE$25,$E21,0)</f>
        <v>4.9038871350101196E-2</v>
      </c>
      <c r="AC21" s="138">
        <f ca="1">OFFSET(IND!AF$25,$E21,0)</f>
        <v>5.0978294304712367E-2</v>
      </c>
      <c r="AD21" s="138">
        <f ca="1">OFFSET(IND!AG$25,$E21,0)</f>
        <v>5.2816855738652815E-2</v>
      </c>
      <c r="AE21" s="138">
        <f ca="1">OFFSET(IND!AH$25,$E21,0)</f>
        <v>5.4666944203527058E-2</v>
      </c>
      <c r="AF21" s="138">
        <f ca="1">OFFSET(IND!AI$25,$E21,0)</f>
        <v>5.674469152934377E-2</v>
      </c>
      <c r="AG21" s="138">
        <f ca="1">OFFSET(IND!AJ$25,$E21,0)</f>
        <v>5.8946354437698786E-2</v>
      </c>
      <c r="AH21" s="138">
        <f ca="1">OFFSET(IND!AK$25,$E21,0)</f>
        <v>6.132956808326108E-2</v>
      </c>
      <c r="AI21" s="138">
        <f ca="1">OFFSET(IND!AL$25,$E21,0)</f>
        <v>6.3905859496964465E-2</v>
      </c>
      <c r="AJ21" s="138">
        <f ca="1">OFFSET(IND!AM$25,$E21,0)</f>
        <v>7.9014915293437446E-2</v>
      </c>
      <c r="AK21" s="138">
        <f ca="1">OFFSET(IND!AN$25,$E21,0)</f>
        <v>9.7270850534836709E-2</v>
      </c>
      <c r="AL21" s="138">
        <f ca="1">OFFSET(IND!AO$25,$E21,0)</f>
        <v>0.13011136166522227</v>
      </c>
      <c r="AM21" s="138">
        <f ca="1">OFFSET(IND!AP$25,$E21,0)</f>
        <v>0.16347635270309416</v>
      </c>
      <c r="AQ21" s="4"/>
    </row>
    <row r="22" spans="1:43">
      <c r="A22" s="36" t="s">
        <v>322</v>
      </c>
      <c r="B22">
        <v>12.204114317089999</v>
      </c>
      <c r="E22" s="141">
        <f ca="1">MATCH(F22,IND!$D$26:$D$255,0)</f>
        <v>171</v>
      </c>
      <c r="F22" s="4" t="str">
        <f t="shared" si="0"/>
        <v>IFBC</v>
      </c>
      <c r="G22" s="138">
        <f ca="1">OFFSET(IND!J$25,$E22,0)</f>
        <v>7.3442756504685454</v>
      </c>
      <c r="H22" s="138">
        <f ca="1">OFFSET(IND!K$25,$E22,0)</f>
        <v>7.6187985211842335</v>
      </c>
      <c r="I22" s="138">
        <f ca="1">OFFSET(IND!L$25,$E22,0)</f>
        <v>7.8223240977493127</v>
      </c>
      <c r="J22" s="138">
        <f ca="1">OFFSET(IND!M$25,$E22,0)</f>
        <v>6.8779200000000005</v>
      </c>
      <c r="K22" s="138">
        <f ca="1">OFFSET(IND!N$25,$E22,0)</f>
        <v>6.8779200000000005</v>
      </c>
      <c r="L22" s="138">
        <f ca="1">OFFSET(IND!O$25,$E22,0)</f>
        <v>6.8779200000000005</v>
      </c>
      <c r="M22" s="138">
        <f ca="1">OFFSET(IND!P$25,$E22,0)</f>
        <v>6.9958991616074018</v>
      </c>
      <c r="N22" s="138">
        <f ca="1">OFFSET(IND!Q$25,$E22,0)</f>
        <v>7.0124692685747334</v>
      </c>
      <c r="O22" s="217">
        <f ca="1">OFFSET(IND!R$25,$E22,0)</f>
        <v>6.7055908875397527</v>
      </c>
      <c r="P22" s="138">
        <f ca="1">OFFSET(IND!S$25,$E22,0)</f>
        <v>7.02174852847644</v>
      </c>
      <c r="Q22" s="138">
        <f ca="1">OFFSET(IND!T$25,$E22,0)</f>
        <v>7.2875330442324389</v>
      </c>
      <c r="R22" s="138">
        <f ca="1">OFFSET(IND!U$25,$E22,0)</f>
        <v>7.5480151257588908</v>
      </c>
      <c r="S22" s="138">
        <f ca="1">OFFSET(IND!V$25,$E22,0)</f>
        <v>7.8436258340560867</v>
      </c>
      <c r="T22" s="217">
        <f ca="1">OFFSET(IND!W$25,$E22,0)</f>
        <v>8.1630974963862393</v>
      </c>
      <c r="U22" s="138">
        <f ca="1">OFFSET(IND!X$25,$E22,0)</f>
        <v>8.4938368314541801</v>
      </c>
      <c r="V22" s="138">
        <f ca="1">OFFSET(IND!Y$25,$E22,0)</f>
        <v>8.8411462734894481</v>
      </c>
      <c r="W22" s="138">
        <f ca="1">OFFSET(IND!Z$25,$E22,0)</f>
        <v>9.2056886267707423</v>
      </c>
      <c r="X22" s="138">
        <f ca="1">OFFSET(IND!AA$25,$E22,0)</f>
        <v>9.6206041052327258</v>
      </c>
      <c r="Y22" s="219">
        <f ca="1">OFFSET(IND!AB$25,$E22,0)</f>
        <v>10.049438473547267</v>
      </c>
      <c r="Z22" s="138">
        <f ca="1">OFFSET(IND!AC$25,$E22,0)</f>
        <v>10.449772257877999</v>
      </c>
      <c r="AA22" s="138">
        <f ca="1">OFFSET(IND!AD$25,$E22,0)</f>
        <v>10.868001757733447</v>
      </c>
      <c r="AB22" s="138">
        <f ca="1">OFFSET(IND!AE$25,$E22,0)</f>
        <v>11.278940410523269</v>
      </c>
      <c r="AC22" s="138">
        <f ca="1">OFFSET(IND!AF$25,$E22,0)</f>
        <v>11.725007690083837</v>
      </c>
      <c r="AD22" s="138">
        <f ca="1">OFFSET(IND!AG$25,$E22,0)</f>
        <v>12.14787681989014</v>
      </c>
      <c r="AE22" s="138">
        <f ca="1">OFFSET(IND!AH$25,$E22,0)</f>
        <v>12.573397166811215</v>
      </c>
      <c r="AF22" s="138">
        <f ca="1">OFFSET(IND!AI$25,$E22,0)</f>
        <v>13.051279051749059</v>
      </c>
      <c r="AG22" s="138">
        <f ca="1">OFFSET(IND!AJ$25,$E22,0)</f>
        <v>13.557661520670713</v>
      </c>
      <c r="AH22" s="138">
        <f ca="1">OFFSET(IND!AK$25,$E22,0)</f>
        <v>14.10580065915004</v>
      </c>
      <c r="AI22" s="138">
        <f ca="1">OFFSET(IND!AL$25,$E22,0)</f>
        <v>14.698347684301819</v>
      </c>
      <c r="AJ22" s="138">
        <f ca="1">OFFSET(IND!AM$25,$E22,0)</f>
        <v>18.173430517490601</v>
      </c>
      <c r="AK22" s="138">
        <f ca="1">OFFSET(IND!AN$25,$E22,0)</f>
        <v>22.37229562301243</v>
      </c>
      <c r="AL22" s="138">
        <f ca="1">OFFSET(IND!AO$25,$E22,0)</f>
        <v>29.925613183001108</v>
      </c>
      <c r="AM22" s="138">
        <f ca="1">OFFSET(IND!AP$25,$E22,0)</f>
        <v>37.599561121711638</v>
      </c>
      <c r="AQ22" s="4"/>
    </row>
    <row r="23" spans="1:43">
      <c r="A23" s="36" t="s">
        <v>323</v>
      </c>
      <c r="B23" t="s">
        <v>386</v>
      </c>
      <c r="E23" s="141">
        <f ca="1">MATCH(F23,IND!$D$26:$D$255,0)</f>
        <v>176</v>
      </c>
      <c r="F23" s="4" t="str">
        <f t="shared" si="0"/>
        <v>IFBE</v>
      </c>
      <c r="G23" s="138">
        <f ca="1">OFFSET(IND!J$25,$E23,0)</f>
        <v>0</v>
      </c>
      <c r="H23" s="138">
        <f ca="1">OFFSET(IND!K$25,$E23,0)</f>
        <v>0</v>
      </c>
      <c r="I23" s="138">
        <f ca="1">OFFSET(IND!L$25,$E23,0)</f>
        <v>0</v>
      </c>
      <c r="J23" s="138">
        <f ca="1">OFFSET(IND!M$25,$E23,0)</f>
        <v>0</v>
      </c>
      <c r="K23" s="138">
        <f ca="1">OFFSET(IND!N$25,$E23,0)</f>
        <v>0</v>
      </c>
      <c r="L23" s="138">
        <f ca="1">OFFSET(IND!O$25,$E23,0)</f>
        <v>0</v>
      </c>
      <c r="M23" s="138">
        <f ca="1">OFFSET(IND!P$25,$E23,0)</f>
        <v>0</v>
      </c>
      <c r="N23" s="138">
        <f ca="1">OFFSET(IND!Q$25,$E23,0)</f>
        <v>0</v>
      </c>
      <c r="O23" s="217">
        <f ca="1">OFFSET(IND!R$25,$E23,0)</f>
        <v>0</v>
      </c>
      <c r="P23" s="138">
        <f ca="1">OFFSET(IND!S$25,$E23,0)</f>
        <v>0</v>
      </c>
      <c r="Q23" s="138">
        <f ca="1">OFFSET(IND!T$25,$E23,0)</f>
        <v>0</v>
      </c>
      <c r="R23" s="138">
        <f ca="1">OFFSET(IND!U$25,$E23,0)</f>
        <v>0</v>
      </c>
      <c r="S23" s="138">
        <f ca="1">OFFSET(IND!V$25,$E23,0)</f>
        <v>0</v>
      </c>
      <c r="T23" s="217">
        <f ca="1">OFFSET(IND!W$25,$E23,0)</f>
        <v>0</v>
      </c>
      <c r="U23" s="138">
        <f ca="1">OFFSET(IND!X$25,$E23,0)</f>
        <v>0</v>
      </c>
      <c r="V23" s="138">
        <f ca="1">OFFSET(IND!Y$25,$E23,0)</f>
        <v>0</v>
      </c>
      <c r="W23" s="138">
        <f ca="1">OFFSET(IND!Z$25,$E23,0)</f>
        <v>0</v>
      </c>
      <c r="X23" s="138">
        <f ca="1">OFFSET(IND!AA$25,$E23,0)</f>
        <v>0</v>
      </c>
      <c r="Y23" s="219">
        <f ca="1">OFFSET(IND!AB$25,$E23,0)</f>
        <v>0</v>
      </c>
      <c r="Z23" s="138">
        <f ca="1">OFFSET(IND!AC$25,$E23,0)</f>
        <v>0</v>
      </c>
      <c r="AA23" s="138">
        <f ca="1">OFFSET(IND!AD$25,$E23,0)</f>
        <v>0</v>
      </c>
      <c r="AB23" s="138">
        <f ca="1">OFFSET(IND!AE$25,$E23,0)</f>
        <v>0</v>
      </c>
      <c r="AC23" s="138">
        <f ca="1">OFFSET(IND!AF$25,$E23,0)</f>
        <v>0</v>
      </c>
      <c r="AD23" s="138">
        <f ca="1">OFFSET(IND!AG$25,$E23,0)</f>
        <v>0</v>
      </c>
      <c r="AE23" s="138">
        <f ca="1">OFFSET(IND!AH$25,$E23,0)</f>
        <v>0</v>
      </c>
      <c r="AF23" s="138">
        <f ca="1">OFFSET(IND!AI$25,$E23,0)</f>
        <v>0</v>
      </c>
      <c r="AG23" s="138">
        <f ca="1">OFFSET(IND!AJ$25,$E23,0)</f>
        <v>0</v>
      </c>
      <c r="AH23" s="138">
        <f ca="1">OFFSET(IND!AK$25,$E23,0)</f>
        <v>0</v>
      </c>
      <c r="AI23" s="138">
        <f ca="1">OFFSET(IND!AL$25,$E23,0)</f>
        <v>0</v>
      </c>
      <c r="AJ23" s="138">
        <f ca="1">OFFSET(IND!AM$25,$E23,0)</f>
        <v>0</v>
      </c>
      <c r="AK23" s="138">
        <f ca="1">OFFSET(IND!AN$25,$E23,0)</f>
        <v>0</v>
      </c>
      <c r="AL23" s="138">
        <f ca="1">OFFSET(IND!AO$25,$E23,0)</f>
        <v>0</v>
      </c>
      <c r="AM23" s="138">
        <f ca="1">OFFSET(IND!AP$25,$E23,0)</f>
        <v>0</v>
      </c>
      <c r="AQ23" s="4"/>
    </row>
    <row r="24" spans="1:43">
      <c r="A24" s="36" t="s">
        <v>324</v>
      </c>
      <c r="B24">
        <v>0.84898186553730004</v>
      </c>
      <c r="E24" s="141">
        <f ca="1">MATCH(F24,IND!$D$26:$D$255,0)</f>
        <v>174</v>
      </c>
      <c r="F24" s="4" t="str">
        <f t="shared" si="0"/>
        <v>IFBF</v>
      </c>
      <c r="G24" s="138">
        <f ca="1">OFFSET(IND!J$25,$E24,0)</f>
        <v>0.51090613220650749</v>
      </c>
      <c r="H24" s="138">
        <f ca="1">OFFSET(IND!K$25,$E24,0)</f>
        <v>0.53000337538672926</v>
      </c>
      <c r="I24" s="138">
        <f ca="1">OFFSET(IND!L$25,$E24,0)</f>
        <v>0.54416167636516954</v>
      </c>
      <c r="J24" s="138">
        <f ca="1">OFFSET(IND!M$25,$E24,0)</f>
        <v>0.47846400000000006</v>
      </c>
      <c r="K24" s="138">
        <f ca="1">OFFSET(IND!N$25,$E24,0)</f>
        <v>0.47846400000000006</v>
      </c>
      <c r="L24" s="138">
        <f ca="1">OFFSET(IND!O$25,$E24,0)</f>
        <v>0.47846400000000006</v>
      </c>
      <c r="M24" s="138">
        <f ca="1">OFFSET(IND!P$25,$E24,0)</f>
        <v>0.48667124602486278</v>
      </c>
      <c r="N24" s="138">
        <f ca="1">OFFSET(IND!Q$25,$E24,0)</f>
        <v>0.48782394911824239</v>
      </c>
      <c r="O24" s="217">
        <f ca="1">OFFSET(IND!R$25,$E24,0)</f>
        <v>0.46647588782885241</v>
      </c>
      <c r="P24" s="138">
        <f ca="1">OFFSET(IND!S$25,$E24,0)</f>
        <v>0.488469462850535</v>
      </c>
      <c r="Q24" s="138">
        <f ca="1">OFFSET(IND!T$25,$E24,0)</f>
        <v>0.50695882046834362</v>
      </c>
      <c r="R24" s="138">
        <f ca="1">OFFSET(IND!U$25,$E24,0)</f>
        <v>0.52507931309627076</v>
      </c>
      <c r="S24" s="138">
        <f ca="1">OFFSET(IND!V$25,$E24,0)</f>
        <v>0.54564353628216267</v>
      </c>
      <c r="T24" s="217">
        <f ca="1">OFFSET(IND!W$25,$E24,0)</f>
        <v>0.5678676519225212</v>
      </c>
      <c r="U24" s="138">
        <f ca="1">OFFSET(IND!X$25,$E24,0)</f>
        <v>0.59087560566637787</v>
      </c>
      <c r="V24" s="138">
        <f ca="1">OFFSET(IND!Y$25,$E24,0)</f>
        <v>0.61503626250361398</v>
      </c>
      <c r="W24" s="138">
        <f ca="1">OFFSET(IND!Z$25,$E24,0)</f>
        <v>0.64039573055796495</v>
      </c>
      <c r="X24" s="138">
        <f ca="1">OFFSET(IND!AA$25,$E24,0)</f>
        <v>0.66925941601618988</v>
      </c>
      <c r="Y24" s="219">
        <f ca="1">OFFSET(IND!AB$25,$E24,0)</f>
        <v>0.69909137207285366</v>
      </c>
      <c r="Z24" s="138">
        <f ca="1">OFFSET(IND!AC$25,$E24,0)</f>
        <v>0.72694067880890456</v>
      </c>
      <c r="AA24" s="138">
        <f ca="1">OFFSET(IND!AD$25,$E24,0)</f>
        <v>0.75603490488580538</v>
      </c>
      <c r="AB24" s="138">
        <f ca="1">OFFSET(IND!AE$25,$E24,0)</f>
        <v>0.78462194160161913</v>
      </c>
      <c r="AC24" s="138">
        <f ca="1">OFFSET(IND!AF$25,$E24,0)</f>
        <v>0.81565270887539787</v>
      </c>
      <c r="AD24" s="138">
        <f ca="1">OFFSET(IND!AG$25,$E24,0)</f>
        <v>0.84506969181844505</v>
      </c>
      <c r="AE24" s="138">
        <f ca="1">OFFSET(IND!AH$25,$E24,0)</f>
        <v>0.87467110725643293</v>
      </c>
      <c r="AF24" s="138">
        <f ca="1">OFFSET(IND!AI$25,$E24,0)</f>
        <v>0.90791506446950032</v>
      </c>
      <c r="AG24" s="138">
        <f ca="1">OFFSET(IND!AJ$25,$E24,0)</f>
        <v>0.94314167100318058</v>
      </c>
      <c r="AH24" s="138">
        <f ca="1">OFFSET(IND!AK$25,$E24,0)</f>
        <v>0.98127308933217727</v>
      </c>
      <c r="AI24" s="138">
        <f ca="1">OFFSET(IND!AL$25,$E24,0)</f>
        <v>1.0224937519514314</v>
      </c>
      <c r="AJ24" s="138">
        <f ca="1">OFFSET(IND!AM$25,$E24,0)</f>
        <v>1.2642386446949991</v>
      </c>
      <c r="AK24" s="138">
        <f ca="1">OFFSET(IND!AN$25,$E24,0)</f>
        <v>1.5563336085573873</v>
      </c>
      <c r="AL24" s="138">
        <f ca="1">OFFSET(IND!AO$25,$E24,0)</f>
        <v>2.0817817866435564</v>
      </c>
      <c r="AM24" s="138">
        <f ca="1">OFFSET(IND!AP$25,$E24,0)</f>
        <v>2.6156216432495065</v>
      </c>
      <c r="AQ24" s="4"/>
    </row>
    <row r="25" spans="1:43">
      <c r="A25" s="36" t="s">
        <v>325</v>
      </c>
      <c r="B25">
        <v>1.432656898094</v>
      </c>
      <c r="E25" s="141">
        <f ca="1">MATCH(F25,IND!$D$26:$D$255,0)</f>
        <v>172</v>
      </c>
      <c r="F25" s="4" t="str">
        <f t="shared" si="0"/>
        <v>IFBH</v>
      </c>
      <c r="G25" s="138">
        <f ca="1">OFFSET(IND!J$25,$E25,0)</f>
        <v>0.86215409809848131</v>
      </c>
      <c r="H25" s="138">
        <f ca="1">OFFSET(IND!K$25,$E25,0)</f>
        <v>0.89438069596510561</v>
      </c>
      <c r="I25" s="138">
        <f ca="1">OFFSET(IND!L$25,$E25,0)</f>
        <v>0.91827282886622352</v>
      </c>
      <c r="J25" s="138">
        <f ca="1">OFFSET(IND!M$25,$E25,0)</f>
        <v>0.8074079999999999</v>
      </c>
      <c r="K25" s="138">
        <f ca="1">OFFSET(IND!N$25,$E25,0)</f>
        <v>0.8074079999999999</v>
      </c>
      <c r="L25" s="138">
        <f ca="1">OFFSET(IND!O$25,$E25,0)</f>
        <v>0.8074079999999999</v>
      </c>
      <c r="M25" s="138">
        <f ca="1">OFFSET(IND!P$25,$E25,0)</f>
        <v>0.82125772766695571</v>
      </c>
      <c r="N25" s="138">
        <f ca="1">OFFSET(IND!Q$25,$E25,0)</f>
        <v>0.82320291413703384</v>
      </c>
      <c r="O25" s="217">
        <f ca="1">OFFSET(IND!R$25,$E25,0)</f>
        <v>0.78717806071118823</v>
      </c>
      <c r="P25" s="138">
        <f ca="1">OFFSET(IND!S$25,$E25,0)</f>
        <v>0.82429221856027757</v>
      </c>
      <c r="Q25" s="138">
        <f ca="1">OFFSET(IND!T$25,$E25,0)</f>
        <v>0.85549300954032959</v>
      </c>
      <c r="R25" s="138">
        <f ca="1">OFFSET(IND!U$25,$E25,0)</f>
        <v>0.88607134084995653</v>
      </c>
      <c r="S25" s="138">
        <f ca="1">OFFSET(IND!V$25,$E25,0)</f>
        <v>0.92077346747614919</v>
      </c>
      <c r="T25" s="217">
        <f ca="1">OFFSET(IND!W$25,$E25,0)</f>
        <v>0.95827666261925415</v>
      </c>
      <c r="U25" s="138">
        <f ca="1">OFFSET(IND!X$25,$E25,0)</f>
        <v>0.99710258456201228</v>
      </c>
      <c r="V25" s="138">
        <f ca="1">OFFSET(IND!Y$25,$E25,0)</f>
        <v>1.0378736929748482</v>
      </c>
      <c r="W25" s="138">
        <f ca="1">OFFSET(IND!Z$25,$E25,0)</f>
        <v>1.0806677953165653</v>
      </c>
      <c r="X25" s="138">
        <f ca="1">OFFSET(IND!AA$25,$E25,0)</f>
        <v>1.1293752645273198</v>
      </c>
      <c r="Y25" s="219">
        <f ca="1">OFFSET(IND!AB$25,$E25,0)</f>
        <v>1.1797166903729399</v>
      </c>
      <c r="Z25" s="138">
        <f ca="1">OFFSET(IND!AC$25,$E25,0)</f>
        <v>1.2267123954900256</v>
      </c>
      <c r="AA25" s="138">
        <f ca="1">OFFSET(IND!AD$25,$E25,0)</f>
        <v>1.2758089019947958</v>
      </c>
      <c r="AB25" s="138">
        <f ca="1">OFFSET(IND!AE$25,$E25,0)</f>
        <v>1.3240495264527314</v>
      </c>
      <c r="AC25" s="138">
        <f ca="1">OFFSET(IND!AF$25,$E25,0)</f>
        <v>1.3764139462272329</v>
      </c>
      <c r="AD25" s="138">
        <f ca="1">OFFSET(IND!AG$25,$E25,0)</f>
        <v>1.426055104943625</v>
      </c>
      <c r="AE25" s="138">
        <f ca="1">OFFSET(IND!AH$25,$E25,0)</f>
        <v>1.4760074934952296</v>
      </c>
      <c r="AF25" s="138">
        <f ca="1">OFFSET(IND!AI$25,$E25,0)</f>
        <v>1.5321066712922808</v>
      </c>
      <c r="AG25" s="138">
        <f ca="1">OFFSET(IND!AJ$25,$E25,0)</f>
        <v>1.5915515698178662</v>
      </c>
      <c r="AH25" s="138">
        <f ca="1">OFFSET(IND!AK$25,$E25,0)</f>
        <v>1.6558983382480481</v>
      </c>
      <c r="AI25" s="138">
        <f ca="1">OFFSET(IND!AL$25,$E25,0)</f>
        <v>1.7254582064180395</v>
      </c>
      <c r="AJ25" s="138">
        <f ca="1">OFFSET(IND!AM$25,$E25,0)</f>
        <v>2.1334027129228095</v>
      </c>
      <c r="AK25" s="138">
        <f ca="1">OFFSET(IND!AN$25,$E25,0)</f>
        <v>2.6263129644405891</v>
      </c>
      <c r="AL25" s="138">
        <f ca="1">OFFSET(IND!AO$25,$E25,0)</f>
        <v>3.5130067649609988</v>
      </c>
      <c r="AM25" s="138">
        <f ca="1">OFFSET(IND!AP$25,$E25,0)</f>
        <v>4.413861522983539</v>
      </c>
      <c r="AQ25" s="4"/>
    </row>
    <row r="26" spans="1:43">
      <c r="A26" s="36" t="s">
        <v>326</v>
      </c>
      <c r="B26">
        <v>1.857147830862</v>
      </c>
      <c r="E26" s="141">
        <f ca="1">MATCH(F26,IND!$D$26:$D$255,0)</f>
        <v>168</v>
      </c>
      <c r="F26" s="4" t="str">
        <f t="shared" si="0"/>
        <v>IFBK</v>
      </c>
      <c r="G26" s="138">
        <f ca="1">OFFSET(IND!J$25,$E26,0)</f>
        <v>1.1176071642017353</v>
      </c>
      <c r="H26" s="138">
        <f ca="1">OFFSET(IND!K$25,$E26,0)</f>
        <v>1.1593823836584705</v>
      </c>
      <c r="I26" s="138">
        <f ca="1">OFFSET(IND!L$25,$E26,0)</f>
        <v>1.1903536670488086</v>
      </c>
      <c r="J26" s="138">
        <f ca="1">OFFSET(IND!M$25,$E26,0)</f>
        <v>1.04664</v>
      </c>
      <c r="K26" s="138">
        <f ca="1">OFFSET(IND!N$25,$E26,0)</f>
        <v>1.04664</v>
      </c>
      <c r="L26" s="138">
        <f ca="1">OFFSET(IND!O$25,$E26,0)</f>
        <v>1.04664</v>
      </c>
      <c r="M26" s="138">
        <f ca="1">OFFSET(IND!P$25,$E26,0)</f>
        <v>1.0645933506793872</v>
      </c>
      <c r="N26" s="138">
        <f ca="1">OFFSET(IND!Q$25,$E26,0)</f>
        <v>1.0671148886961552</v>
      </c>
      <c r="O26" s="217">
        <f ca="1">OFFSET(IND!R$25,$E26,0)</f>
        <v>1.0204160046256148</v>
      </c>
      <c r="P26" s="138">
        <f ca="1">OFFSET(IND!S$25,$E26,0)</f>
        <v>1.0685269499855454</v>
      </c>
      <c r="Q26" s="138">
        <f ca="1">OFFSET(IND!T$25,$E26,0)</f>
        <v>1.1089724197745017</v>
      </c>
      <c r="R26" s="138">
        <f ca="1">OFFSET(IND!U$25,$E26,0)</f>
        <v>1.1486109973980922</v>
      </c>
      <c r="S26" s="138">
        <f ca="1">OFFSET(IND!V$25,$E26,0)</f>
        <v>1.1935952356172308</v>
      </c>
      <c r="T26" s="217">
        <f ca="1">OFFSET(IND!W$25,$E26,0)</f>
        <v>1.242210488580515</v>
      </c>
      <c r="U26" s="138">
        <f ca="1">OFFSET(IND!X$25,$E26,0)</f>
        <v>1.2925403873952015</v>
      </c>
      <c r="V26" s="138">
        <f ca="1">OFFSET(IND!Y$25,$E26,0)</f>
        <v>1.3453918242266554</v>
      </c>
      <c r="W26" s="138">
        <f ca="1">OFFSET(IND!Z$25,$E26,0)</f>
        <v>1.4008656605955481</v>
      </c>
      <c r="X26" s="138">
        <f ca="1">OFFSET(IND!AA$25,$E26,0)</f>
        <v>1.4640049725354152</v>
      </c>
      <c r="Y26" s="219">
        <f ca="1">OFFSET(IND!AB$25,$E26,0)</f>
        <v>1.5292623764093671</v>
      </c>
      <c r="Z26" s="138">
        <f ca="1">OFFSET(IND!AC$25,$E26,0)</f>
        <v>1.5901827348944784</v>
      </c>
      <c r="AA26" s="138">
        <f ca="1">OFFSET(IND!AD$25,$E26,0)</f>
        <v>1.6538263544376988</v>
      </c>
      <c r="AB26" s="138">
        <f ca="1">OFFSET(IND!AE$25,$E26,0)</f>
        <v>1.7163604972535411</v>
      </c>
      <c r="AC26" s="138">
        <f ca="1">OFFSET(IND!AF$25,$E26,0)</f>
        <v>1.7842403006649319</v>
      </c>
      <c r="AD26" s="138">
        <f ca="1">OFFSET(IND!AG$25,$E26,0)</f>
        <v>1.8485899508528474</v>
      </c>
      <c r="AE26" s="138">
        <f ca="1">OFFSET(IND!AH$25,$E26,0)</f>
        <v>1.9133430471234458</v>
      </c>
      <c r="AF26" s="138">
        <f ca="1">OFFSET(IND!AI$25,$E26,0)</f>
        <v>1.9860642035270308</v>
      </c>
      <c r="AG26" s="138">
        <f ca="1">OFFSET(IND!AJ$25,$E26,0)</f>
        <v>2.0631224053194566</v>
      </c>
      <c r="AH26" s="138">
        <f ca="1">OFFSET(IND!AK$25,$E26,0)</f>
        <v>2.1465348829141369</v>
      </c>
      <c r="AI26" s="138">
        <f ca="1">OFFSET(IND!AL$25,$E26,0)</f>
        <v>2.2367050823937551</v>
      </c>
      <c r="AJ26" s="138">
        <f ca="1">OFFSET(IND!AM$25,$E26,0)</f>
        <v>2.7655220352703092</v>
      </c>
      <c r="AK26" s="138">
        <f ca="1">OFFSET(IND!AN$25,$E26,0)</f>
        <v>3.4044797687192832</v>
      </c>
      <c r="AL26" s="138">
        <f ca="1">OFFSET(IND!AO$25,$E26,0)</f>
        <v>4.5538976582827777</v>
      </c>
      <c r="AM26" s="138">
        <f ca="1">OFFSET(IND!AP$25,$E26,0)</f>
        <v>5.7216723446082938</v>
      </c>
      <c r="AQ26" s="4"/>
    </row>
    <row r="27" spans="1:43">
      <c r="A27" s="36" t="s">
        <v>327</v>
      </c>
      <c r="B27">
        <v>0.39796024947059999</v>
      </c>
      <c r="E27" s="141">
        <f ca="1">MATCH(F27,IND!$D$26:$D$255,0)</f>
        <v>170</v>
      </c>
      <c r="F27" s="4" t="str">
        <f t="shared" si="0"/>
        <v>IFBL</v>
      </c>
      <c r="G27" s="138">
        <f ca="1">OFFSET(IND!J$25,$E27,0)</f>
        <v>0.23948724947180039</v>
      </c>
      <c r="H27" s="138">
        <f ca="1">OFFSET(IND!K$25,$E27,0)</f>
        <v>0.24843908221252936</v>
      </c>
      <c r="I27" s="138">
        <f ca="1">OFFSET(IND!L$25,$E27,0)</f>
        <v>0.25507578579617324</v>
      </c>
      <c r="J27" s="138">
        <f ca="1">OFFSET(IND!M$25,$E27,0)</f>
        <v>0.22428000000000001</v>
      </c>
      <c r="K27" s="138">
        <f ca="1">OFFSET(IND!N$25,$E27,0)</f>
        <v>0.22428000000000001</v>
      </c>
      <c r="L27" s="138">
        <f ca="1">OFFSET(IND!O$25,$E27,0)</f>
        <v>0.22428000000000001</v>
      </c>
      <c r="M27" s="138">
        <f ca="1">OFFSET(IND!P$25,$E27,0)</f>
        <v>0.22812714657415439</v>
      </c>
      <c r="N27" s="138">
        <f ca="1">OFFSET(IND!Q$25,$E27,0)</f>
        <v>0.2286674761491761</v>
      </c>
      <c r="O27" s="217">
        <f ca="1">OFFSET(IND!R$25,$E27,0)</f>
        <v>0.21866057241977455</v>
      </c>
      <c r="P27" s="138">
        <f ca="1">OFFSET(IND!S$25,$E27,0)</f>
        <v>0.22897006071118828</v>
      </c>
      <c r="Q27" s="138">
        <f ca="1">OFFSET(IND!T$25,$E27,0)</f>
        <v>0.23763694709453606</v>
      </c>
      <c r="R27" s="138">
        <f ca="1">OFFSET(IND!U$25,$E27,0)</f>
        <v>0.2461309280138769</v>
      </c>
      <c r="S27" s="138">
        <f ca="1">OFFSET(IND!V$25,$E27,0)</f>
        <v>0.25577040763226372</v>
      </c>
      <c r="T27" s="217">
        <f ca="1">OFFSET(IND!W$25,$E27,0)</f>
        <v>0.26618796183868176</v>
      </c>
      <c r="U27" s="138">
        <f ca="1">OFFSET(IND!X$25,$E27,0)</f>
        <v>0.27697294015611457</v>
      </c>
      <c r="V27" s="138">
        <f ca="1">OFFSET(IND!Y$25,$E27,0)</f>
        <v>0.28829824804856896</v>
      </c>
      <c r="W27" s="138">
        <f ca="1">OFFSET(IND!Z$25,$E27,0)</f>
        <v>0.30018549869904598</v>
      </c>
      <c r="X27" s="138">
        <f ca="1">OFFSET(IND!AA$25,$E27,0)</f>
        <v>0.31371535125758893</v>
      </c>
      <c r="Y27" s="219">
        <f ca="1">OFFSET(IND!AB$25,$E27,0)</f>
        <v>0.3276990806591501</v>
      </c>
      <c r="Z27" s="138">
        <f ca="1">OFFSET(IND!AC$25,$E27,0)</f>
        <v>0.34075344319167394</v>
      </c>
      <c r="AA27" s="138">
        <f ca="1">OFFSET(IND!AD$25,$E27,0)</f>
        <v>0.35439136166522117</v>
      </c>
      <c r="AB27" s="138">
        <f ca="1">OFFSET(IND!AE$25,$E27,0)</f>
        <v>0.36779153512575885</v>
      </c>
      <c r="AC27" s="138">
        <f ca="1">OFFSET(IND!AF$25,$E27,0)</f>
        <v>0.3823372072853426</v>
      </c>
      <c r="AD27" s="138">
        <f ca="1">OFFSET(IND!AG$25,$E27,0)</f>
        <v>0.39612641803989596</v>
      </c>
      <c r="AE27" s="138">
        <f ca="1">OFFSET(IND!AH$25,$E27,0)</f>
        <v>0.41000208152645279</v>
      </c>
      <c r="AF27" s="138">
        <f ca="1">OFFSET(IND!AI$25,$E27,0)</f>
        <v>0.42558518647007815</v>
      </c>
      <c r="AG27" s="138">
        <f ca="1">OFFSET(IND!AJ$25,$E27,0)</f>
        <v>0.44209765828274078</v>
      </c>
      <c r="AH27" s="138">
        <f ca="1">OFFSET(IND!AK$25,$E27,0)</f>
        <v>0.45997176062445799</v>
      </c>
      <c r="AI27" s="138">
        <f ca="1">OFFSET(IND!AL$25,$E27,0)</f>
        <v>0.47929394622723337</v>
      </c>
      <c r="AJ27" s="138">
        <f ca="1">OFFSET(IND!AM$25,$E27,0)</f>
        <v>0.59261186470078064</v>
      </c>
      <c r="AK27" s="138">
        <f ca="1">OFFSET(IND!AN$25,$E27,0)</f>
        <v>0.72953137901127507</v>
      </c>
      <c r="AL27" s="138">
        <f ca="1">OFFSET(IND!AO$25,$E27,0)</f>
        <v>0.97583521248916671</v>
      </c>
      <c r="AM27" s="138">
        <f ca="1">OFFSET(IND!AP$25,$E27,0)</f>
        <v>1.2260726452732058</v>
      </c>
      <c r="AQ27" s="4"/>
    </row>
    <row r="28" spans="1:43">
      <c r="A28" s="36" t="s">
        <v>328</v>
      </c>
      <c r="B28">
        <v>4.45715479407</v>
      </c>
      <c r="E28" s="141">
        <f ca="1">MATCH(F28,IND!$D$26:$D$255,0)</f>
        <v>175</v>
      </c>
      <c r="F28" s="4" t="str">
        <f t="shared" si="0"/>
        <v>IFBO</v>
      </c>
      <c r="G28" s="138">
        <f ca="1">OFFSET(IND!J$25,$E28,0)</f>
        <v>2.6822571940841642</v>
      </c>
      <c r="H28" s="138">
        <f ca="1">OFFSET(IND!K$25,$E28,0)</f>
        <v>2.7825177207803287</v>
      </c>
      <c r="I28" s="138">
        <f ca="1">OFFSET(IND!L$25,$E28,0)</f>
        <v>2.85684880091714</v>
      </c>
      <c r="J28" s="138">
        <f ca="1">OFFSET(IND!M$25,$E28,0)</f>
        <v>2.5119360000000004</v>
      </c>
      <c r="K28" s="138">
        <f ca="1">OFFSET(IND!N$25,$E28,0)</f>
        <v>2.5119360000000004</v>
      </c>
      <c r="L28" s="138">
        <f ca="1">OFFSET(IND!O$25,$E28,0)</f>
        <v>2.5119360000000004</v>
      </c>
      <c r="M28" s="138">
        <f ca="1">OFFSET(IND!P$25,$E28,0)</f>
        <v>2.5550240416305297</v>
      </c>
      <c r="N28" s="138">
        <f ca="1">OFFSET(IND!Q$25,$E28,0)</f>
        <v>2.5610757328707727</v>
      </c>
      <c r="O28" s="217">
        <f ca="1">OFFSET(IND!R$25,$E28,0)</f>
        <v>2.4489984111014755</v>
      </c>
      <c r="P28" s="138">
        <f ca="1">OFFSET(IND!S$25,$E28,0)</f>
        <v>2.564464679965309</v>
      </c>
      <c r="Q28" s="138">
        <f ca="1">OFFSET(IND!T$25,$E28,0)</f>
        <v>2.6615338074588042</v>
      </c>
      <c r="R28" s="138">
        <f ca="1">OFFSET(IND!U$25,$E28,0)</f>
        <v>2.7566663937554217</v>
      </c>
      <c r="S28" s="138">
        <f ca="1">OFFSET(IND!V$25,$E28,0)</f>
        <v>2.8646285654813544</v>
      </c>
      <c r="T28" s="217">
        <f ca="1">OFFSET(IND!W$25,$E28,0)</f>
        <v>2.9813051725932365</v>
      </c>
      <c r="U28" s="138">
        <f ca="1">OFFSET(IND!X$25,$E28,0)</f>
        <v>3.1020969297484844</v>
      </c>
      <c r="V28" s="138">
        <f ca="1">OFFSET(IND!Y$25,$E28,0)</f>
        <v>3.2289403781439736</v>
      </c>
      <c r="W28" s="138">
        <f ca="1">OFFSET(IND!Z$25,$E28,0)</f>
        <v>3.3620775854293159</v>
      </c>
      <c r="X28" s="138">
        <f ca="1">OFFSET(IND!AA$25,$E28,0)</f>
        <v>3.5136119340849969</v>
      </c>
      <c r="Y28" s="219">
        <f ca="1">OFFSET(IND!AB$25,$E28,0)</f>
        <v>3.670229703382482</v>
      </c>
      <c r="Z28" s="138">
        <f ca="1">OFFSET(IND!AC$25,$E28,0)</f>
        <v>3.8164385637467491</v>
      </c>
      <c r="AA28" s="138">
        <f ca="1">OFFSET(IND!AD$25,$E28,0)</f>
        <v>3.9691832506504783</v>
      </c>
      <c r="AB28" s="138">
        <f ca="1">OFFSET(IND!AE$25,$E28,0)</f>
        <v>4.1192651934085003</v>
      </c>
      <c r="AC28" s="138">
        <f ca="1">OFFSET(IND!AF$25,$E28,0)</f>
        <v>4.2821767215958388</v>
      </c>
      <c r="AD28" s="138">
        <f ca="1">OFFSET(IND!AG$25,$E28,0)</f>
        <v>4.4366158820468362</v>
      </c>
      <c r="AE28" s="138">
        <f ca="1">OFFSET(IND!AH$25,$E28,0)</f>
        <v>4.5920233130962727</v>
      </c>
      <c r="AF28" s="138">
        <f ca="1">OFFSET(IND!AI$25,$E28,0)</f>
        <v>4.7665540884648765</v>
      </c>
      <c r="AG28" s="138">
        <f ca="1">OFFSET(IND!AJ$25,$E28,0)</f>
        <v>4.9514937727666979</v>
      </c>
      <c r="AH28" s="138">
        <f ca="1">OFFSET(IND!AK$25,$E28,0)</f>
        <v>5.1516837189939304</v>
      </c>
      <c r="AI28" s="138">
        <f ca="1">OFFSET(IND!AL$25,$E28,0)</f>
        <v>5.3680921977450149</v>
      </c>
      <c r="AJ28" s="138">
        <f ca="1">OFFSET(IND!AM$25,$E28,0)</f>
        <v>6.6372528846487446</v>
      </c>
      <c r="AK28" s="138">
        <f ca="1">OFFSET(IND!AN$25,$E28,0)</f>
        <v>8.1707514449262817</v>
      </c>
      <c r="AL28" s="138">
        <f ca="1">OFFSET(IND!AO$25,$E28,0)</f>
        <v>10.929354379878669</v>
      </c>
      <c r="AM28" s="138">
        <f ca="1">OFFSET(IND!AP$25,$E28,0)</f>
        <v>13.732013627059908</v>
      </c>
      <c r="AQ28" s="4"/>
    </row>
    <row r="29" spans="1:43">
      <c r="A29" s="36" t="s">
        <v>329</v>
      </c>
      <c r="B29">
        <v>5.9428730587610001</v>
      </c>
      <c r="E29" s="141">
        <f ca="1">MATCH(F29,IND!$D$26:$D$255,0)</f>
        <v>173</v>
      </c>
      <c r="F29" s="4" t="str">
        <f t="shared" si="0"/>
        <v>IFBP</v>
      </c>
      <c r="G29" s="138">
        <f ca="1">OFFSET(IND!J$25,$E29,0)</f>
        <v>3.576342925445553</v>
      </c>
      <c r="H29" s="138">
        <f ca="1">OFFSET(IND!K$25,$E29,0)</f>
        <v>3.7100236277071055</v>
      </c>
      <c r="I29" s="138">
        <f ca="1">OFFSET(IND!L$25,$E29,0)</f>
        <v>3.8091317345561873</v>
      </c>
      <c r="J29" s="138">
        <f ca="1">OFFSET(IND!M$25,$E29,0)</f>
        <v>3.3492480000000002</v>
      </c>
      <c r="K29" s="138">
        <f ca="1">OFFSET(IND!N$25,$E29,0)</f>
        <v>3.3492480000000002</v>
      </c>
      <c r="L29" s="138">
        <f ca="1">OFFSET(IND!O$25,$E29,0)</f>
        <v>3.3492480000000002</v>
      </c>
      <c r="M29" s="138">
        <f ca="1">OFFSET(IND!P$25,$E29,0)</f>
        <v>3.4066987221740392</v>
      </c>
      <c r="N29" s="138">
        <f ca="1">OFFSET(IND!Q$25,$E29,0)</f>
        <v>3.4147676438276964</v>
      </c>
      <c r="O29" s="217">
        <f ca="1">OFFSET(IND!R$25,$E29,0)</f>
        <v>3.2653312148019666</v>
      </c>
      <c r="P29" s="138">
        <f ca="1">OFFSET(IND!S$25,$E29,0)</f>
        <v>3.4192862399537449</v>
      </c>
      <c r="Q29" s="138">
        <f ca="1">OFFSET(IND!T$25,$E29,0)</f>
        <v>3.548711743278405</v>
      </c>
      <c r="R29" s="138">
        <f ca="1">OFFSET(IND!U$25,$E29,0)</f>
        <v>3.6755551916738947</v>
      </c>
      <c r="S29" s="138">
        <f ca="1">OFFSET(IND!V$25,$E29,0)</f>
        <v>3.8195047539751381</v>
      </c>
      <c r="T29" s="217">
        <f ca="1">OFFSET(IND!W$25,$E29,0)</f>
        <v>3.9750735634576477</v>
      </c>
      <c r="U29" s="138">
        <f ca="1">OFFSET(IND!X$25,$E29,0)</f>
        <v>4.136129239664645</v>
      </c>
      <c r="V29" s="138">
        <f ca="1">OFFSET(IND!Y$25,$E29,0)</f>
        <v>4.3052538375252976</v>
      </c>
      <c r="W29" s="138">
        <f ca="1">OFFSET(IND!Z$25,$E29,0)</f>
        <v>4.4827701139057536</v>
      </c>
      <c r="X29" s="138">
        <f ca="1">OFFSET(IND!AA$25,$E29,0)</f>
        <v>4.6848159121133284</v>
      </c>
      <c r="Y29" s="219">
        <f ca="1">OFFSET(IND!AB$25,$E29,0)</f>
        <v>4.8936396045099748</v>
      </c>
      <c r="Z29" s="138">
        <f ca="1">OFFSET(IND!AC$25,$E29,0)</f>
        <v>5.0885847516623306</v>
      </c>
      <c r="AA29" s="138">
        <f ca="1">OFFSET(IND!AD$25,$E29,0)</f>
        <v>5.2922443342006362</v>
      </c>
      <c r="AB29" s="138">
        <f ca="1">OFFSET(IND!AE$25,$E29,0)</f>
        <v>5.4923535912113319</v>
      </c>
      <c r="AC29" s="138">
        <f ca="1">OFFSET(IND!AF$25,$E29,0)</f>
        <v>5.7095689621277828</v>
      </c>
      <c r="AD29" s="138">
        <f ca="1">OFFSET(IND!AG$25,$E29,0)</f>
        <v>5.9154878427291129</v>
      </c>
      <c r="AE29" s="138">
        <f ca="1">OFFSET(IND!AH$25,$E29,0)</f>
        <v>6.1226977507950284</v>
      </c>
      <c r="AF29" s="138">
        <f ca="1">OFFSET(IND!AI$25,$E29,0)</f>
        <v>6.3554054512864999</v>
      </c>
      <c r="AG29" s="138">
        <f ca="1">OFFSET(IND!AJ$25,$E29,0)</f>
        <v>6.6019916970222621</v>
      </c>
      <c r="AH29" s="138">
        <f ca="1">OFFSET(IND!AK$25,$E29,0)</f>
        <v>6.8689116253252385</v>
      </c>
      <c r="AI29" s="138">
        <f ca="1">OFFSET(IND!AL$25,$E29,0)</f>
        <v>7.1574562636600172</v>
      </c>
      <c r="AJ29" s="138">
        <f ca="1">OFFSET(IND!AM$25,$E29,0)</f>
        <v>8.8496705128649893</v>
      </c>
      <c r="AK29" s="138">
        <f ca="1">OFFSET(IND!AN$25,$E29,0)</f>
        <v>10.894335259901705</v>
      </c>
      <c r="AL29" s="138">
        <f ca="1">OFFSET(IND!AO$25,$E29,0)</f>
        <v>14.572472506504887</v>
      </c>
      <c r="AM29" s="138">
        <f ca="1">OFFSET(IND!AP$25,$E29,0)</f>
        <v>18.309351502746537</v>
      </c>
      <c r="AQ29" s="4"/>
    </row>
    <row r="30" spans="1:43">
      <c r="A30" s="36" t="s">
        <v>330</v>
      </c>
      <c r="B30">
        <v>28.205650466129999</v>
      </c>
      <c r="E30" s="141">
        <f ca="1">MATCH(F30,IND!$D$26:$D$255,0)</f>
        <v>178</v>
      </c>
      <c r="F30" s="4" t="str">
        <f t="shared" si="0"/>
        <v>IFBS</v>
      </c>
      <c r="G30" s="138">
        <f ca="1">OFFSET(IND!J$25,$E30,0)</f>
        <v>20.421862032418336</v>
      </c>
      <c r="H30" s="138">
        <f ca="1">OFFSET(IND!K$25,$E30,0)</f>
        <v>21.185214125574252</v>
      </c>
      <c r="I30" s="138">
        <f ca="1">OFFSET(IND!L$25,$E30,0)</f>
        <v>21.751147573948465</v>
      </c>
      <c r="J30" s="138">
        <f ca="1">OFFSET(IND!M$25,$E30,0)</f>
        <v>6.8922304000000008</v>
      </c>
      <c r="K30" s="138">
        <f ca="1">OFFSET(IND!N$25,$E30,0)</f>
        <v>6.8922304000000008</v>
      </c>
      <c r="L30" s="138">
        <f ca="1">OFFSET(IND!O$25,$E30,0)</f>
        <v>6.8922304000000008</v>
      </c>
      <c r="M30" s="138">
        <f ca="1">OFFSET(IND!P$25,$E30,0)</f>
        <v>7.0104550324756687</v>
      </c>
      <c r="N30" s="138">
        <f ca="1">OFFSET(IND!Q$25,$E30,0)</f>
        <v>7.0270596156885441</v>
      </c>
      <c r="O30" s="217">
        <f ca="1">OFFSET(IND!R$25,$E30,0)</f>
        <v>6.7195427345861063</v>
      </c>
      <c r="P30" s="138">
        <f ca="1">OFFSET(IND!S$25,$E30,0)</f>
        <v>7.0363581822877546</v>
      </c>
      <c r="Q30" s="138">
        <f ca="1">OFFSET(IND!T$25,$E30,0)</f>
        <v>7.302695697022263</v>
      </c>
      <c r="R30" s="138">
        <f ca="1">OFFSET(IND!U$25,$E30,0)</f>
        <v>7.5637197451286511</v>
      </c>
      <c r="S30" s="138">
        <f ca="1">OFFSET(IND!V$25,$E30,0)</f>
        <v>7.8599455096463346</v>
      </c>
      <c r="T30" s="217">
        <f ca="1">OFFSET(IND!W$25,$E30,0)</f>
        <v>8.1800818739905576</v>
      </c>
      <c r="U30" s="138">
        <f ca="1">OFFSET(IND!X$25,$E30,0)</f>
        <v>8.5115093549195358</v>
      </c>
      <c r="V30" s="138">
        <f ca="1">OFFSET(IND!Y$25,$E30,0)</f>
        <v>8.8595414190613866</v>
      </c>
      <c r="W30" s="138">
        <f ca="1">OFFSET(IND!Z$25,$E30,0)</f>
        <v>9.2248422497446274</v>
      </c>
      <c r="X30" s="138">
        <f ca="1">OFFSET(IND!AA$25,$E30,0)</f>
        <v>9.640621013395009</v>
      </c>
      <c r="Y30" s="219">
        <f ca="1">OFFSET(IND!AB$25,$E30,0)</f>
        <v>10.070347626944205</v>
      </c>
      <c r="Z30" s="138">
        <f ca="1">OFFSET(IND!AC$25,$E30,0)</f>
        <v>10.471514357367255</v>
      </c>
      <c r="AA30" s="138">
        <f ca="1">OFFSET(IND!AD$25,$E30,0)</f>
        <v>10.89061403766021</v>
      </c>
      <c r="AB30" s="138">
        <f ca="1">OFFSET(IND!AE$25,$E30,0)</f>
        <v>11.302407701339499</v>
      </c>
      <c r="AC30" s="138">
        <f ca="1">OFFSET(IND!AF$25,$E30,0)</f>
        <v>11.749403081430087</v>
      </c>
      <c r="AD30" s="138">
        <f ca="1">OFFSET(IND!AG$25,$E30,0)</f>
        <v>12.173152045022647</v>
      </c>
      <c r="AE30" s="138">
        <f ca="1">OFFSET(IND!AH$25,$E30,0)</f>
        <v>12.599557741929267</v>
      </c>
      <c r="AF30" s="138">
        <f ca="1">OFFSET(IND!AI$25,$E30,0)</f>
        <v>13.078433921788571</v>
      </c>
      <c r="AG30" s="138">
        <f ca="1">OFFSET(IND!AJ$25,$E30,0)</f>
        <v>13.585869984774019</v>
      </c>
      <c r="AH30" s="138">
        <f ca="1">OFFSET(IND!AK$25,$E30,0)</f>
        <v>14.135149597455911</v>
      </c>
      <c r="AI30" s="138">
        <f ca="1">OFFSET(IND!AL$25,$E30,0)</f>
        <v>14.728929493148307</v>
      </c>
      <c r="AJ30" s="138">
        <f ca="1">OFFSET(IND!AM$25,$E30,0)</f>
        <v>18.211242684552374</v>
      </c>
      <c r="AK30" s="138">
        <f ca="1">OFFSET(IND!AN$25,$E30,0)</f>
        <v>22.418844070694806</v>
      </c>
      <c r="AL30" s="138">
        <f ca="1">OFFSET(IND!AO$25,$E30,0)</f>
        <v>29.987877282451819</v>
      </c>
      <c r="AM30" s="138">
        <f ca="1">OFFSET(IND!AP$25,$E30,0)</f>
        <v>37.677791859998237</v>
      </c>
      <c r="AQ30" s="4"/>
    </row>
    <row r="31" spans="1:43">
      <c r="A31" s="36" t="s">
        <v>331</v>
      </c>
      <c r="B31">
        <v>1.0975498905550001</v>
      </c>
      <c r="E31" s="141">
        <f ca="1">MATCH(F31,IND!$D$26:$D$255,0)</f>
        <v>47</v>
      </c>
      <c r="F31" s="4" t="str">
        <f t="shared" si="0"/>
        <v>IMIA</v>
      </c>
      <c r="G31" s="138">
        <f ca="1">OFFSET(IND!J$25,$E31,0)</f>
        <v>0.99318058118269725</v>
      </c>
      <c r="H31" s="138">
        <f ca="1">OFFSET(IND!K$25,$E31,0)</f>
        <v>1.0216110932829436</v>
      </c>
      <c r="I31" s="138">
        <f ca="1">OFFSET(IND!L$25,$E31,0)</f>
        <v>1.0297674112227857</v>
      </c>
      <c r="J31" s="138">
        <f ca="1">OFFSET(IND!M$25,$E31,0)</f>
        <v>1.0228235984706235</v>
      </c>
      <c r="K31" s="138">
        <f ca="1">OFFSET(IND!N$25,$E31,0)</f>
        <v>1.0228235984706235</v>
      </c>
      <c r="L31" s="138">
        <f ca="1">OFFSET(IND!O$25,$E31,0)</f>
        <v>1.0228235984706235</v>
      </c>
      <c r="M31" s="138">
        <f ca="1">OFFSET(IND!P$25,$E31,0)</f>
        <v>1.0201655861436185</v>
      </c>
      <c r="N31" s="138">
        <f ca="1">OFFSET(IND!Q$25,$E31,0)</f>
        <v>1.0124854362269506</v>
      </c>
      <c r="O31" s="217">
        <f ca="1">OFFSET(IND!R$25,$E31,0)</f>
        <v>0.93707330208126294</v>
      </c>
      <c r="P31" s="138">
        <f ca="1">OFFSET(IND!S$25,$E31,0)</f>
        <v>0.96679699666285379</v>
      </c>
      <c r="Q31" s="138">
        <f ca="1">OFFSET(IND!T$25,$E31,0)</f>
        <v>0.99249445005046255</v>
      </c>
      <c r="R31" s="138">
        <f ca="1">OFFSET(IND!U$25,$E31,0)</f>
        <v>1.019605380694323</v>
      </c>
      <c r="S31" s="138">
        <f ca="1">OFFSET(IND!V$25,$E31,0)</f>
        <v>1.051308242152124</v>
      </c>
      <c r="T31" s="217">
        <f ca="1">OFFSET(IND!W$25,$E31,0)</f>
        <v>1.0855759138429313</v>
      </c>
      <c r="U31" s="138">
        <f ca="1">OFFSET(IND!X$25,$E31,0)</f>
        <v>1.1255819454504898</v>
      </c>
      <c r="V31" s="138">
        <f ca="1">OFFSET(IND!Y$25,$E31,0)</f>
        <v>1.1700598014009018</v>
      </c>
      <c r="W31" s="138">
        <f ca="1">OFFSET(IND!Z$25,$E31,0)</f>
        <v>1.2190643965952304</v>
      </c>
      <c r="X31" s="138">
        <f ca="1">OFFSET(IND!AA$25,$E31,0)</f>
        <v>1.2728918792816351</v>
      </c>
      <c r="Y31" s="219">
        <f ca="1">OFFSET(IND!AB$25,$E31,0)</f>
        <v>1.3291290097516979</v>
      </c>
      <c r="Z31" s="138">
        <f ca="1">OFFSET(IND!AC$25,$E31,0)</f>
        <v>1.3782644800892319</v>
      </c>
      <c r="AA31" s="138">
        <f ca="1">OFFSET(IND!AD$25,$E31,0)</f>
        <v>1.4311311449198527</v>
      </c>
      <c r="AB31" s="138">
        <f ca="1">OFFSET(IND!AE$25,$E31,0)</f>
        <v>1.4855968931046539</v>
      </c>
      <c r="AC31" s="138">
        <f ca="1">OFFSET(IND!AF$25,$E31,0)</f>
        <v>1.5419524670716678</v>
      </c>
      <c r="AD31" s="138">
        <f ca="1">OFFSET(IND!AG$25,$E31,0)</f>
        <v>1.5977265561826164</v>
      </c>
      <c r="AE31" s="138">
        <f ca="1">OFFSET(IND!AH$25,$E31,0)</f>
        <v>1.6520469331534009</v>
      </c>
      <c r="AF31" s="138">
        <f ca="1">OFFSET(IND!AI$25,$E31,0)</f>
        <v>1.7080148505497046</v>
      </c>
      <c r="AG31" s="138">
        <f ca="1">OFFSET(IND!AJ$25,$E31,0)</f>
        <v>1.7719781847169085</v>
      </c>
      <c r="AH31" s="138">
        <f ca="1">OFFSET(IND!AK$25,$E31,0)</f>
        <v>1.8404964835899587</v>
      </c>
      <c r="AI31" s="138">
        <f ca="1">OFFSET(IND!AL$25,$E31,0)</f>
        <v>1.9123098633140472</v>
      </c>
      <c r="AJ31" s="138">
        <f ca="1">OFFSET(IND!AM$25,$E31,0)</f>
        <v>2.3773523769524245</v>
      </c>
      <c r="AK31" s="138">
        <f ca="1">OFFSET(IND!AN$25,$E31,0)</f>
        <v>3.0400512845817294</v>
      </c>
      <c r="AL31" s="138">
        <f ca="1">OFFSET(IND!AO$25,$E31,0)</f>
        <v>4.1348499735175892</v>
      </c>
      <c r="AM31" s="138">
        <f ca="1">OFFSET(IND!AP$25,$E31,0)</f>
        <v>5.2625913947852867</v>
      </c>
      <c r="AQ31" s="4"/>
    </row>
    <row r="32" spans="1:43">
      <c r="A32" s="36" t="s">
        <v>332</v>
      </c>
      <c r="B32">
        <v>19.17682172608</v>
      </c>
      <c r="E32" s="141">
        <f ca="1">MATCH(F32,IND!$D$26:$D$255,0)</f>
        <v>49</v>
      </c>
      <c r="F32" s="4" t="str">
        <f t="shared" si="0"/>
        <v>IMIC</v>
      </c>
      <c r="G32" s="138">
        <f ca="1">OFFSET(IND!J$25,$E32,0)</f>
        <v>17.35324025908308</v>
      </c>
      <c r="H32" s="138">
        <f ca="1">OFFSET(IND!K$25,$E32,0)</f>
        <v>17.84998930604576</v>
      </c>
      <c r="I32" s="138">
        <f ca="1">OFFSET(IND!L$25,$E32,0)</f>
        <v>17.992499688871611</v>
      </c>
      <c r="J32" s="138">
        <f ca="1">OFFSET(IND!M$25,$E32,0)</f>
        <v>17.871174671764589</v>
      </c>
      <c r="K32" s="138">
        <f ca="1">OFFSET(IND!N$25,$E32,0)</f>
        <v>17.871174671764589</v>
      </c>
      <c r="L32" s="138">
        <f ca="1">OFFSET(IND!O$25,$E32,0)</f>
        <v>17.871174671764589</v>
      </c>
      <c r="M32" s="138">
        <f ca="1">OFFSET(IND!P$25,$E32,0)</f>
        <v>17.824732838933752</v>
      </c>
      <c r="N32" s="138">
        <f ca="1">OFFSET(IND!Q$25,$E32,0)</f>
        <v>17.690542250379345</v>
      </c>
      <c r="O32" s="217">
        <f ca="1">OFFSET(IND!R$25,$E32,0)</f>
        <v>16.372911894858333</v>
      </c>
      <c r="P32" s="138">
        <f ca="1">OFFSET(IND!S$25,$E32,0)</f>
        <v>16.892255932825453</v>
      </c>
      <c r="Q32" s="138">
        <f ca="1">OFFSET(IND!T$25,$E32,0)</f>
        <v>17.3412519071031</v>
      </c>
      <c r="R32" s="138">
        <f ca="1">OFFSET(IND!U$25,$E32,0)</f>
        <v>17.814944709825859</v>
      </c>
      <c r="S32" s="138">
        <f ca="1">OFFSET(IND!V$25,$E32,0)</f>
        <v>18.368869526924598</v>
      </c>
      <c r="T32" s="217">
        <f ca="1">OFFSET(IND!W$25,$E32,0)</f>
        <v>18.9676077133497</v>
      </c>
      <c r="U32" s="138">
        <f ca="1">OFFSET(IND!X$25,$E32,0)</f>
        <v>19.666608772625072</v>
      </c>
      <c r="V32" s="138">
        <f ca="1">OFFSET(IND!Y$25,$E32,0)</f>
        <v>20.443743298953883</v>
      </c>
      <c r="W32" s="138">
        <f ca="1">OFFSET(IND!Z$25,$E32,0)</f>
        <v>21.299970787004074</v>
      </c>
      <c r="X32" s="138">
        <f ca="1">OFFSET(IND!AA$25,$E32,0)</f>
        <v>22.240465655003302</v>
      </c>
      <c r="Y32" s="219">
        <f ca="1">OFFSET(IND!AB$25,$E32,0)</f>
        <v>23.223062833218655</v>
      </c>
      <c r="Z32" s="138">
        <f ca="1">OFFSET(IND!AC$25,$E32,0)</f>
        <v>24.081577023049988</v>
      </c>
      <c r="AA32" s="138">
        <f ca="1">OFFSET(IND!AD$25,$E32,0)</f>
        <v>25.005284105008556</v>
      </c>
      <c r="AB32" s="138">
        <f ca="1">OFFSET(IND!AE$25,$E32,0)</f>
        <v>25.956930997878796</v>
      </c>
      <c r="AC32" s="138">
        <f ca="1">OFFSET(IND!AF$25,$E32,0)</f>
        <v>26.941597667281005</v>
      </c>
      <c r="AD32" s="138">
        <f ca="1">OFFSET(IND!AG$25,$E32,0)</f>
        <v>27.916104405442614</v>
      </c>
      <c r="AE32" s="138">
        <f ca="1">OFFSET(IND!AH$25,$E32,0)</f>
        <v>28.865211315502698</v>
      </c>
      <c r="AF32" s="138">
        <f ca="1">OFFSET(IND!AI$25,$E32,0)</f>
        <v>29.843104697411174</v>
      </c>
      <c r="AG32" s="138">
        <f ca="1">OFFSET(IND!AJ$25,$E32,0)</f>
        <v>30.960697133877996</v>
      </c>
      <c r="AH32" s="138">
        <f ca="1">OFFSET(IND!AK$25,$E32,0)</f>
        <v>32.157875698396246</v>
      </c>
      <c r="AI32" s="138">
        <f ca="1">OFFSET(IND!AL$25,$E32,0)</f>
        <v>33.412627206611283</v>
      </c>
      <c r="AJ32" s="138">
        <f ca="1">OFFSET(IND!AM$25,$E32,0)</f>
        <v>41.538032216287156</v>
      </c>
      <c r="AK32" s="138">
        <f ca="1">OFFSET(IND!AN$25,$E32,0)</f>
        <v>53.116967186832859</v>
      </c>
      <c r="AL32" s="138">
        <f ca="1">OFFSET(IND!AO$25,$E32,0)</f>
        <v>72.245718840242773</v>
      </c>
      <c r="AM32" s="138">
        <f ca="1">OFFSET(IND!AP$25,$E32,0)</f>
        <v>91.950058820464619</v>
      </c>
      <c r="AQ32" s="4"/>
    </row>
    <row r="33" spans="1:43">
      <c r="A33" s="36" t="s">
        <v>333</v>
      </c>
      <c r="B33">
        <v>0.20646280210080001</v>
      </c>
      <c r="E33" s="141">
        <f ca="1">MATCH(F33,IND!$D$26:$D$255,0)</f>
        <v>54</v>
      </c>
      <c r="F33" s="4" t="str">
        <f t="shared" si="0"/>
        <v>IMIE</v>
      </c>
      <c r="G33" s="138">
        <f ca="1">OFFSET(IND!J$25,$E33,0)</f>
        <v>0.18682963530638833</v>
      </c>
      <c r="H33" s="138">
        <f ca="1">OFFSET(IND!K$25,$E33,0)</f>
        <v>0.19217776867498246</v>
      </c>
      <c r="I33" s="138">
        <f ca="1">OFFSET(IND!L$25,$E33,0)</f>
        <v>0.19371207364933971</v>
      </c>
      <c r="J33" s="138">
        <f ca="1">OFFSET(IND!M$25,$E33,0)</f>
        <v>0.19240585599999999</v>
      </c>
      <c r="K33" s="138">
        <f ca="1">OFFSET(IND!N$25,$E33,0)</f>
        <v>0.19240585599999999</v>
      </c>
      <c r="L33" s="138">
        <f ca="1">OFFSET(IND!O$25,$E33,0)</f>
        <v>0.19240585599999999</v>
      </c>
      <c r="M33" s="138">
        <f ca="1">OFFSET(IND!P$25,$E33,0)</f>
        <v>0.19190585078130867</v>
      </c>
      <c r="N33" s="138">
        <f ca="1">OFFSET(IND!Q$25,$E33,0)</f>
        <v>0.19046111894178686</v>
      </c>
      <c r="O33" s="217">
        <f ca="1">OFFSET(IND!R$25,$E33,0)</f>
        <v>0.17627515740865099</v>
      </c>
      <c r="P33" s="138">
        <f ca="1">OFFSET(IND!S$25,$E33,0)</f>
        <v>0.18186655450586783</v>
      </c>
      <c r="Q33" s="138">
        <f ca="1">OFFSET(IND!T$25,$E33,0)</f>
        <v>0.18670056549608743</v>
      </c>
      <c r="R33" s="138">
        <f ca="1">OFFSET(IND!U$25,$E33,0)</f>
        <v>0.19180046916010957</v>
      </c>
      <c r="S33" s="138">
        <f ca="1">OFFSET(IND!V$25,$E33,0)</f>
        <v>0.19776417219312362</v>
      </c>
      <c r="T33" s="217">
        <f ca="1">OFFSET(IND!W$25,$E33,0)</f>
        <v>0.20421034797031076</v>
      </c>
      <c r="U33" s="138">
        <f ca="1">OFFSET(IND!X$25,$E33,0)</f>
        <v>0.21173598070710414</v>
      </c>
      <c r="V33" s="138">
        <f ca="1">OFFSET(IND!Y$25,$E33,0)</f>
        <v>0.22010281929000325</v>
      </c>
      <c r="W33" s="138">
        <f ca="1">OFFSET(IND!Z$25,$E33,0)</f>
        <v>0.2293211938957482</v>
      </c>
      <c r="X33" s="138">
        <f ca="1">OFFSET(IND!AA$25,$E33,0)</f>
        <v>0.23944681369772458</v>
      </c>
      <c r="Y33" s="219">
        <f ca="1">OFFSET(IND!AB$25,$E33,0)</f>
        <v>0.25002571825492809</v>
      </c>
      <c r="Z33" s="138">
        <f ca="1">OFFSET(IND!AC$25,$E33,0)</f>
        <v>0.259268712104886</v>
      </c>
      <c r="AA33" s="138">
        <f ca="1">OFFSET(IND!AD$25,$E33,0)</f>
        <v>0.26921359010321355</v>
      </c>
      <c r="AB33" s="138">
        <f ca="1">OFFSET(IND!AE$25,$E33,0)</f>
        <v>0.27945927559369954</v>
      </c>
      <c r="AC33" s="138">
        <f ca="1">OFFSET(IND!AF$25,$E33,0)</f>
        <v>0.29006046084764536</v>
      </c>
      <c r="AD33" s="138">
        <f ca="1">OFFSET(IND!AG$25,$E33,0)</f>
        <v>0.30055226155898823</v>
      </c>
      <c r="AE33" s="138">
        <f ca="1">OFFSET(IND!AH$25,$E33,0)</f>
        <v>0.31077060091382341</v>
      </c>
      <c r="AF33" s="138">
        <f ca="1">OFFSET(IND!AI$25,$E33,0)</f>
        <v>0.32129886313936723</v>
      </c>
      <c r="AG33" s="138">
        <f ca="1">OFFSET(IND!AJ$25,$E33,0)</f>
        <v>0.33333116282570296</v>
      </c>
      <c r="AH33" s="138">
        <f ca="1">OFFSET(IND!AK$25,$E33,0)</f>
        <v>0.34622030809576265</v>
      </c>
      <c r="AI33" s="138">
        <f ca="1">OFFSET(IND!AL$25,$E33,0)</f>
        <v>0.35972929910723972</v>
      </c>
      <c r="AJ33" s="138">
        <f ca="1">OFFSET(IND!AM$25,$E33,0)</f>
        <v>0.44720958705403124</v>
      </c>
      <c r="AK33" s="138">
        <f ca="1">OFFSET(IND!AN$25,$E33,0)</f>
        <v>0.57187150410731036</v>
      </c>
      <c r="AL33" s="138">
        <f ca="1">OFFSET(IND!AO$25,$E33,0)</f>
        <v>0.77781677092296619</v>
      </c>
      <c r="AM33" s="138">
        <f ca="1">OFFSET(IND!AP$25,$E33,0)</f>
        <v>0.98995897592303983</v>
      </c>
      <c r="AQ33" s="4"/>
    </row>
    <row r="34" spans="1:43">
      <c r="A34" s="36" t="s">
        <v>334</v>
      </c>
      <c r="B34">
        <v>6.5077475668130003</v>
      </c>
      <c r="E34" s="141">
        <f ca="1">MATCH(F34,IND!$D$26:$D$255,0)</f>
        <v>52</v>
      </c>
      <c r="F34" s="4" t="str">
        <f t="shared" si="0"/>
        <v>IMIF</v>
      </c>
      <c r="G34" s="138">
        <f ca="1">OFFSET(IND!J$25,$E34,0)</f>
        <v>5.8889063414920679</v>
      </c>
      <c r="H34" s="138">
        <f ca="1">OFFSET(IND!K$25,$E34,0)</f>
        <v>6.0574805425700191</v>
      </c>
      <c r="I34" s="138">
        <f ca="1">OFFSET(IND!L$25,$E34,0)</f>
        <v>6.1058421329486432</v>
      </c>
      <c r="J34" s="138">
        <f ca="1">OFFSET(IND!M$25,$E34,0)</f>
        <v>6.0646698992933636</v>
      </c>
      <c r="K34" s="138">
        <f ca="1">OFFSET(IND!N$25,$E34,0)</f>
        <v>6.0646698992933636</v>
      </c>
      <c r="L34" s="138">
        <f ca="1">OFFSET(IND!O$25,$E34,0)</f>
        <v>6.0646698992933636</v>
      </c>
      <c r="M34" s="138">
        <f ca="1">OFFSET(IND!P$25,$E34,0)</f>
        <v>6.0489096378214535</v>
      </c>
      <c r="N34" s="138">
        <f ca="1">OFFSET(IND!Q$25,$E34,0)</f>
        <v>6.0033714100260447</v>
      </c>
      <c r="O34" s="217">
        <f ca="1">OFFSET(IND!R$25,$E34,0)</f>
        <v>5.5562271510563868</v>
      </c>
      <c r="P34" s="138">
        <f ca="1">OFFSET(IND!S$25,$E34,0)</f>
        <v>5.7324690720428633</v>
      </c>
      <c r="Q34" s="138">
        <f ca="1">OFFSET(IND!T$25,$E34,0)</f>
        <v>5.8848380360375883</v>
      </c>
      <c r="R34" s="138">
        <f ca="1">OFFSET(IND!U$25,$E34,0)</f>
        <v>6.0455879886819144</v>
      </c>
      <c r="S34" s="138">
        <f ca="1">OFFSET(IND!V$25,$E34,0)</f>
        <v>6.233565064975501</v>
      </c>
      <c r="T34" s="217">
        <f ca="1">OFFSET(IND!W$25,$E34,0)</f>
        <v>6.4367497757436647</v>
      </c>
      <c r="U34" s="138">
        <f ca="1">OFFSET(IND!X$25,$E34,0)</f>
        <v>6.6739591792452275</v>
      </c>
      <c r="V34" s="138">
        <f ca="1">OFFSET(IND!Y$25,$E34,0)</f>
        <v>6.9376835541725406</v>
      </c>
      <c r="W34" s="138">
        <f ca="1">OFFSET(IND!Z$25,$E34,0)</f>
        <v>7.2282485097000464</v>
      </c>
      <c r="X34" s="138">
        <f ca="1">OFFSET(IND!AA$25,$E34,0)</f>
        <v>7.5474100097779599</v>
      </c>
      <c r="Y34" s="219">
        <f ca="1">OFFSET(IND!AB$25,$E34,0)</f>
        <v>7.8808591332577018</v>
      </c>
      <c r="Z34" s="138">
        <f ca="1">OFFSET(IND!AC$25,$E34,0)</f>
        <v>8.1722000921378388</v>
      </c>
      <c r="AA34" s="138">
        <f ca="1">OFFSET(IND!AD$25,$E34,0)</f>
        <v>8.4856645755088742</v>
      </c>
      <c r="AB34" s="138">
        <f ca="1">OFFSET(IND!AE$25,$E34,0)</f>
        <v>8.8086105693760093</v>
      </c>
      <c r="AC34" s="138">
        <f ca="1">OFFSET(IND!AF$25,$E34,0)</f>
        <v>9.1427619847385344</v>
      </c>
      <c r="AD34" s="138">
        <f ca="1">OFFSET(IND!AG$25,$E34,0)</f>
        <v>9.4734655781024788</v>
      </c>
      <c r="AE34" s="138">
        <f ca="1">OFFSET(IND!AH$25,$E34,0)</f>
        <v>9.7955496164699678</v>
      </c>
      <c r="AF34" s="138">
        <f ca="1">OFFSET(IND!AI$25,$E34,0)</f>
        <v>10.127402483833439</v>
      </c>
      <c r="AG34" s="138">
        <f ca="1">OFFSET(IND!AJ$25,$E34,0)</f>
        <v>10.506662903677404</v>
      </c>
      <c r="AH34" s="138">
        <f ca="1">OFFSET(IND!AK$25,$E34,0)</f>
        <v>10.912931262510257</v>
      </c>
      <c r="AI34" s="138">
        <f ca="1">OFFSET(IND!AL$25,$E34,0)</f>
        <v>11.338737279335076</v>
      </c>
      <c r="AJ34" s="138">
        <f ca="1">OFFSET(IND!AM$25,$E34,0)</f>
        <v>14.096132922700644</v>
      </c>
      <c r="AK34" s="138">
        <f ca="1">OFFSET(IND!AN$25,$E34,0)</f>
        <v>18.02550072708404</v>
      </c>
      <c r="AL34" s="138">
        <f ca="1">OFFSET(IND!AO$25,$E34,0)</f>
        <v>24.516935481330027</v>
      </c>
      <c r="AM34" s="138">
        <f ca="1">OFFSET(IND!AP$25,$E34,0)</f>
        <v>31.203698929079085</v>
      </c>
      <c r="AQ34" s="4"/>
    </row>
    <row r="35" spans="1:43">
      <c r="A35" s="36" t="s">
        <v>335</v>
      </c>
      <c r="B35">
        <v>8.5041886448849997</v>
      </c>
      <c r="E35" s="141">
        <f ca="1">MATCH(F35,IND!$D$26:$D$255,0)</f>
        <v>50</v>
      </c>
      <c r="F35" s="4" t="str">
        <f t="shared" si="0"/>
        <v>IMIH</v>
      </c>
      <c r="G35" s="138">
        <f ca="1">OFFSET(IND!J$25,$E35,0)</f>
        <v>7.6954998524370488</v>
      </c>
      <c r="H35" s="138">
        <f ca="1">OFFSET(IND!K$25,$E35,0)</f>
        <v>7.9157890987406976</v>
      </c>
      <c r="I35" s="138">
        <f ca="1">OFFSET(IND!L$25,$E35,0)</f>
        <v>7.9789870153046119</v>
      </c>
      <c r="J35" s="138">
        <f ca="1">OFFSET(IND!M$25,$E35,0)</f>
        <v>7.9251840000000016</v>
      </c>
      <c r="K35" s="138">
        <f ca="1">OFFSET(IND!N$25,$E35,0)</f>
        <v>7.9251840000000016</v>
      </c>
      <c r="L35" s="138">
        <f ca="1">OFFSET(IND!O$25,$E35,0)</f>
        <v>7.9251840000000016</v>
      </c>
      <c r="M35" s="138">
        <f ca="1">OFFSET(IND!P$25,$E35,0)</f>
        <v>7.9045888193674081</v>
      </c>
      <c r="N35" s="138">
        <f ca="1">OFFSET(IND!Q$25,$E35,0)</f>
        <v>7.84508041407818</v>
      </c>
      <c r="O35" s="217">
        <f ca="1">OFFSET(IND!R$25,$E35,0)</f>
        <v>7.2607616323929491</v>
      </c>
      <c r="P35" s="138">
        <f ca="1">OFFSET(IND!S$25,$E35,0)</f>
        <v>7.4910708949785407</v>
      </c>
      <c r="Q35" s="138">
        <f ca="1">OFFSET(IND!T$25,$E35,0)</f>
        <v>7.6901834758113852</v>
      </c>
      <c r="R35" s="138">
        <f ca="1">OFFSET(IND!U$25,$E35,0)</f>
        <v>7.9002481576246533</v>
      </c>
      <c r="S35" s="138">
        <f ca="1">OFFSET(IND!V$25,$E35,0)</f>
        <v>8.1458926761469712</v>
      </c>
      <c r="T35" s="217">
        <f ca="1">OFFSET(IND!W$25,$E35,0)</f>
        <v>8.4114102138800799</v>
      </c>
      <c r="U35" s="138">
        <f ca="1">OFFSET(IND!X$25,$E35,0)</f>
        <v>8.721390509674773</v>
      </c>
      <c r="V35" s="138">
        <f ca="1">OFFSET(IND!Y$25,$E35,0)</f>
        <v>9.0660200165218754</v>
      </c>
      <c r="W35" s="138">
        <f ca="1">OFFSET(IND!Z$25,$E35,0)</f>
        <v>9.4457242336921485</v>
      </c>
      <c r="X35" s="138">
        <f ca="1">OFFSET(IND!AA$25,$E35,0)</f>
        <v>9.8627978182129148</v>
      </c>
      <c r="Y35" s="219">
        <f ca="1">OFFSET(IND!AB$25,$E35,0)</f>
        <v>10.29854217068354</v>
      </c>
      <c r="Z35" s="138">
        <f ca="1">OFFSET(IND!AC$25,$E35,0)</f>
        <v>10.679260452832837</v>
      </c>
      <c r="AA35" s="138">
        <f ca="1">OFFSET(IND!AD$25,$E35,0)</f>
        <v>11.088889294869213</v>
      </c>
      <c r="AB35" s="138">
        <f ca="1">OFFSET(IND!AE$25,$E35,0)</f>
        <v>11.510908376857193</v>
      </c>
      <c r="AC35" s="138">
        <f ca="1">OFFSET(IND!AF$25,$E35,0)</f>
        <v>11.947570469697068</v>
      </c>
      <c r="AD35" s="138">
        <f ca="1">OFFSET(IND!AG$25,$E35,0)</f>
        <v>12.379727020736363</v>
      </c>
      <c r="AE35" s="138">
        <f ca="1">OFFSET(IND!AH$25,$E35,0)</f>
        <v>12.800619717274197</v>
      </c>
      <c r="AF35" s="138">
        <f ca="1">OFFSET(IND!AI$25,$E35,0)</f>
        <v>13.23427811558035</v>
      </c>
      <c r="AG35" s="138">
        <f ca="1">OFFSET(IND!AJ$25,$E35,0)</f>
        <v>13.729887713644523</v>
      </c>
      <c r="AH35" s="138">
        <f ca="1">OFFSET(IND!AK$25,$E35,0)</f>
        <v>14.260790722479932</v>
      </c>
      <c r="AI35" s="138">
        <f ca="1">OFFSET(IND!AL$25,$E35,0)</f>
        <v>14.817225134851986</v>
      </c>
      <c r="AJ35" s="138">
        <f ca="1">OFFSET(IND!AM$25,$E35,0)</f>
        <v>18.420532189868574</v>
      </c>
      <c r="AK35" s="138">
        <f ca="1">OFFSET(IND!AN$25,$E35,0)</f>
        <v>23.5553479952668</v>
      </c>
      <c r="AL35" s="138">
        <f ca="1">OFFSET(IND!AO$25,$E35,0)</f>
        <v>32.038219397284664</v>
      </c>
      <c r="AM35" s="138">
        <f ca="1">OFFSET(IND!AP$25,$E35,0)</f>
        <v>40.776342257699596</v>
      </c>
      <c r="AQ35" s="4"/>
    </row>
    <row r="36" spans="1:43">
      <c r="A36" s="36" t="s">
        <v>336</v>
      </c>
      <c r="B36">
        <v>2.3622746235790002</v>
      </c>
      <c r="E36" s="141">
        <f ca="1">MATCH(F36,IND!$D$26:$D$255,0)</f>
        <v>46</v>
      </c>
      <c r="F36" s="4" t="str">
        <f t="shared" si="0"/>
        <v>IMIK</v>
      </c>
      <c r="G36" s="138">
        <f ca="1">OFFSET(IND!J$25,$E36,0)</f>
        <v>2.1376388478991801</v>
      </c>
      <c r="H36" s="138">
        <f ca="1">OFFSET(IND!K$25,$E36,0)</f>
        <v>2.1988303052057492</v>
      </c>
      <c r="I36" s="138">
        <f ca="1">OFFSET(IND!L$25,$E36,0)</f>
        <v>2.2163852820290586</v>
      </c>
      <c r="J36" s="138">
        <f ca="1">OFFSET(IND!M$25,$E36,0)</f>
        <v>2.2014400000000003</v>
      </c>
      <c r="K36" s="138">
        <f ca="1">OFFSET(IND!N$25,$E36,0)</f>
        <v>2.2014400000000003</v>
      </c>
      <c r="L36" s="138">
        <f ca="1">OFFSET(IND!O$25,$E36,0)</f>
        <v>2.2014400000000003</v>
      </c>
      <c r="M36" s="138">
        <f ca="1">OFFSET(IND!P$25,$E36,0)</f>
        <v>2.1957191164909466</v>
      </c>
      <c r="N36" s="138">
        <f ca="1">OFFSET(IND!Q$25,$E36,0)</f>
        <v>2.1791890039106057</v>
      </c>
      <c r="O36" s="217">
        <f ca="1">OFFSET(IND!R$25,$E36,0)</f>
        <v>2.0168782312202636</v>
      </c>
      <c r="P36" s="138">
        <f ca="1">OFFSET(IND!S$25,$E36,0)</f>
        <v>2.0808530263829277</v>
      </c>
      <c r="Q36" s="138">
        <f ca="1">OFFSET(IND!T$25,$E36,0)</f>
        <v>2.1361620766142733</v>
      </c>
      <c r="R36" s="138">
        <f ca="1">OFFSET(IND!U$25,$E36,0)</f>
        <v>2.1945133771179588</v>
      </c>
      <c r="S36" s="138">
        <f ca="1">OFFSET(IND!V$25,$E36,0)</f>
        <v>2.2627479655963803</v>
      </c>
      <c r="T36" s="217">
        <f ca="1">OFFSET(IND!W$25,$E36,0)</f>
        <v>2.3365028371889105</v>
      </c>
      <c r="U36" s="138">
        <f ca="1">OFFSET(IND!X$25,$E36,0)</f>
        <v>2.4226084749096586</v>
      </c>
      <c r="V36" s="138">
        <f ca="1">OFFSET(IND!Y$25,$E36,0)</f>
        <v>2.5183388934782984</v>
      </c>
      <c r="W36" s="138">
        <f ca="1">OFFSET(IND!Z$25,$E36,0)</f>
        <v>2.6238122871367073</v>
      </c>
      <c r="X36" s="138">
        <f ca="1">OFFSET(IND!AA$25,$E36,0)</f>
        <v>2.7396660606146979</v>
      </c>
      <c r="Y36" s="219">
        <f ca="1">OFFSET(IND!AB$25,$E36,0)</f>
        <v>2.8607061585232043</v>
      </c>
      <c r="Z36" s="138">
        <f ca="1">OFFSET(IND!AC$25,$E36,0)</f>
        <v>2.966461236898009</v>
      </c>
      <c r="AA36" s="138">
        <f ca="1">OFFSET(IND!AD$25,$E36,0)</f>
        <v>3.0802470263525579</v>
      </c>
      <c r="AB36" s="138">
        <f ca="1">OFFSET(IND!AE$25,$E36,0)</f>
        <v>3.1974745491269969</v>
      </c>
      <c r="AC36" s="138">
        <f ca="1">OFFSET(IND!AF$25,$E36,0)</f>
        <v>3.318769574915851</v>
      </c>
      <c r="AD36" s="138">
        <f ca="1">OFFSET(IND!AG$25,$E36,0)</f>
        <v>3.4388130613156549</v>
      </c>
      <c r="AE36" s="138">
        <f ca="1">OFFSET(IND!AH$25,$E36,0)</f>
        <v>3.5557276992428308</v>
      </c>
      <c r="AF36" s="138">
        <f ca="1">OFFSET(IND!AI$25,$E36,0)</f>
        <v>3.6761883654389846</v>
      </c>
      <c r="AG36" s="138">
        <f ca="1">OFFSET(IND!AJ$25,$E36,0)</f>
        <v>3.8138576982345884</v>
      </c>
      <c r="AH36" s="138">
        <f ca="1">OFFSET(IND!AK$25,$E36,0)</f>
        <v>3.9613307562444247</v>
      </c>
      <c r="AI36" s="138">
        <f ca="1">OFFSET(IND!AL$25,$E36,0)</f>
        <v>4.1158958707922171</v>
      </c>
      <c r="AJ36" s="138">
        <f ca="1">OFFSET(IND!AM$25,$E36,0)</f>
        <v>5.1168144971857128</v>
      </c>
      <c r="AK36" s="138">
        <f ca="1">OFFSET(IND!AN$25,$E36,0)</f>
        <v>6.5431522209074418</v>
      </c>
      <c r="AL36" s="138">
        <f ca="1">OFFSET(IND!AO$25,$E36,0)</f>
        <v>8.8995053881346244</v>
      </c>
      <c r="AM36" s="138">
        <f ca="1">OFFSET(IND!AP$25,$E36,0)</f>
        <v>11.326761738249884</v>
      </c>
      <c r="AQ36" s="4"/>
    </row>
    <row r="37" spans="1:43">
      <c r="A37" s="36" t="s">
        <v>337</v>
      </c>
      <c r="B37">
        <v>1.594535370916</v>
      </c>
      <c r="E37" s="141">
        <f ca="1">MATCH(F37,IND!$D$26:$D$255,0)</f>
        <v>48</v>
      </c>
      <c r="F37" s="4" t="str">
        <f t="shared" si="0"/>
        <v>IMIL</v>
      </c>
      <c r="G37" s="138">
        <f ca="1">OFFSET(IND!J$25,$E37,0)</f>
        <v>1.4429062223319464</v>
      </c>
      <c r="H37" s="138">
        <f ca="1">OFFSET(IND!K$25,$E37,0)</f>
        <v>1.4842104560138805</v>
      </c>
      <c r="I37" s="138">
        <f ca="1">OFFSET(IND!L$25,$E37,0)</f>
        <v>1.4960600653696143</v>
      </c>
      <c r="J37" s="138">
        <f ca="1">OFFSET(IND!M$25,$E37,0)</f>
        <v>1.4859720000000001</v>
      </c>
      <c r="K37" s="138">
        <f ca="1">OFFSET(IND!N$25,$E37,0)</f>
        <v>1.4859720000000001</v>
      </c>
      <c r="L37" s="138">
        <f ca="1">OFFSET(IND!O$25,$E37,0)</f>
        <v>1.4859720000000001</v>
      </c>
      <c r="M37" s="138">
        <f ca="1">OFFSET(IND!P$25,$E37,0)</f>
        <v>1.4821104036313888</v>
      </c>
      <c r="N37" s="138">
        <f ca="1">OFFSET(IND!Q$25,$E37,0)</f>
        <v>1.4709525776396586</v>
      </c>
      <c r="O37" s="217">
        <f ca="1">OFFSET(IND!R$25,$E37,0)</f>
        <v>1.3613928060736777</v>
      </c>
      <c r="P37" s="138">
        <f ca="1">OFFSET(IND!S$25,$E37,0)</f>
        <v>1.4045757928084761</v>
      </c>
      <c r="Q37" s="138">
        <f ca="1">OFFSET(IND!T$25,$E37,0)</f>
        <v>1.4419094017146346</v>
      </c>
      <c r="R37" s="138">
        <f ca="1">OFFSET(IND!U$25,$E37,0)</f>
        <v>1.4812965295546223</v>
      </c>
      <c r="S37" s="138">
        <f ca="1">OFFSET(IND!V$25,$E37,0)</f>
        <v>1.5273548767775569</v>
      </c>
      <c r="T37" s="217">
        <f ca="1">OFFSET(IND!W$25,$E37,0)</f>
        <v>1.5771394151025149</v>
      </c>
      <c r="U37" s="138">
        <f ca="1">OFFSET(IND!X$25,$E37,0)</f>
        <v>1.6352607205640199</v>
      </c>
      <c r="V37" s="138">
        <f ca="1">OFFSET(IND!Y$25,$E37,0)</f>
        <v>1.6998787530978519</v>
      </c>
      <c r="W37" s="138">
        <f ca="1">OFFSET(IND!Z$25,$E37,0)</f>
        <v>1.771073293817278</v>
      </c>
      <c r="X37" s="138">
        <f ca="1">OFFSET(IND!AA$25,$E37,0)</f>
        <v>1.8492745909149215</v>
      </c>
      <c r="Y37" s="219">
        <f ca="1">OFFSET(IND!AB$25,$E37,0)</f>
        <v>1.9309766570031635</v>
      </c>
      <c r="Z37" s="138">
        <f ca="1">OFFSET(IND!AC$25,$E37,0)</f>
        <v>2.0023613349061566</v>
      </c>
      <c r="AA37" s="138">
        <f ca="1">OFFSET(IND!AD$25,$E37,0)</f>
        <v>2.0791667427879772</v>
      </c>
      <c r="AB37" s="138">
        <f ca="1">OFFSET(IND!AE$25,$E37,0)</f>
        <v>2.1582953206607236</v>
      </c>
      <c r="AC37" s="138">
        <f ca="1">OFFSET(IND!AF$25,$E37,0)</f>
        <v>2.2401694630682001</v>
      </c>
      <c r="AD37" s="138">
        <f ca="1">OFFSET(IND!AG$25,$E37,0)</f>
        <v>2.3211988163880677</v>
      </c>
      <c r="AE37" s="138">
        <f ca="1">OFFSET(IND!AH$25,$E37,0)</f>
        <v>2.4001161969889115</v>
      </c>
      <c r="AF37" s="138">
        <f ca="1">OFFSET(IND!AI$25,$E37,0)</f>
        <v>2.4814271466713156</v>
      </c>
      <c r="AG37" s="138">
        <f ca="1">OFFSET(IND!AJ$25,$E37,0)</f>
        <v>2.574353946308348</v>
      </c>
      <c r="AH37" s="138">
        <f ca="1">OFFSET(IND!AK$25,$E37,0)</f>
        <v>2.6738982604649872</v>
      </c>
      <c r="AI37" s="138">
        <f ca="1">OFFSET(IND!AL$25,$E37,0)</f>
        <v>2.7782297127847473</v>
      </c>
      <c r="AJ37" s="138">
        <f ca="1">OFFSET(IND!AM$25,$E37,0)</f>
        <v>3.4538497856003572</v>
      </c>
      <c r="AK37" s="138">
        <f ca="1">OFFSET(IND!AN$25,$E37,0)</f>
        <v>4.416627749112525</v>
      </c>
      <c r="AL37" s="138">
        <f ca="1">OFFSET(IND!AO$25,$E37,0)</f>
        <v>6.0071661369908744</v>
      </c>
      <c r="AM37" s="138">
        <f ca="1">OFFSET(IND!AP$25,$E37,0)</f>
        <v>7.6455641733186743</v>
      </c>
      <c r="AQ37" s="4"/>
    </row>
    <row r="38" spans="1:43">
      <c r="A38" s="36" t="s">
        <v>338</v>
      </c>
      <c r="B38">
        <v>31.93143244434</v>
      </c>
      <c r="E38" s="141">
        <f ca="1">MATCH(F38,IND!$D$26:$D$255,0)</f>
        <v>53</v>
      </c>
      <c r="F38" s="4" t="str">
        <f t="shared" si="0"/>
        <v>IMIO</v>
      </c>
      <c r="G38" s="138">
        <f ca="1">OFFSET(IND!J$25,$E38,0)</f>
        <v>28.894976807848312</v>
      </c>
      <c r="H38" s="138">
        <f ca="1">OFFSET(IND!K$25,$E38,0)</f>
        <v>29.722116406966951</v>
      </c>
      <c r="I38" s="138">
        <f ca="1">OFFSET(IND!L$25,$E38,0)</f>
        <v>29.959411237508768</v>
      </c>
      <c r="J38" s="138">
        <f ca="1">OFFSET(IND!M$25,$E38,0)</f>
        <v>29.757392277177463</v>
      </c>
      <c r="K38" s="138">
        <f ca="1">OFFSET(IND!N$25,$E38,0)</f>
        <v>29.757392277177463</v>
      </c>
      <c r="L38" s="138">
        <f ca="1">OFFSET(IND!O$25,$E38,0)</f>
        <v>29.757392277177463</v>
      </c>
      <c r="M38" s="138">
        <f ca="1">OFFSET(IND!P$25,$E38,0)</f>
        <v>29.680061723198726</v>
      </c>
      <c r="N38" s="138">
        <f ca="1">OFFSET(IND!Q$25,$E38,0)</f>
        <v>29.456620228341215</v>
      </c>
      <c r="O38" s="217">
        <f ca="1">OFFSET(IND!R$25,$E38,0)</f>
        <v>27.262626599735263</v>
      </c>
      <c r="P38" s="138">
        <f ca="1">OFFSET(IND!S$25,$E38,0)</f>
        <v>28.12738924396244</v>
      </c>
      <c r="Q38" s="138">
        <f ca="1">OFFSET(IND!T$25,$E38,0)</f>
        <v>28.87501493633301</v>
      </c>
      <c r="R38" s="138">
        <f ca="1">OFFSET(IND!U$25,$E38,0)</f>
        <v>29.66376345501698</v>
      </c>
      <c r="S38" s="138">
        <f ca="1">OFFSET(IND!V$25,$E38,0)</f>
        <v>30.586106746782445</v>
      </c>
      <c r="T38" s="217">
        <f ca="1">OFFSET(IND!W$25,$E38,0)</f>
        <v>31.583069028894052</v>
      </c>
      <c r="U38" s="138">
        <f ca="1">OFFSET(IND!X$25,$E38,0)</f>
        <v>32.746979577867826</v>
      </c>
      <c r="V38" s="138">
        <f ca="1">OFFSET(IND!Y$25,$E38,0)</f>
        <v>34.040990597112234</v>
      </c>
      <c r="W38" s="138">
        <f ca="1">OFFSET(IND!Z$25,$E38,0)</f>
        <v>35.466699746531901</v>
      </c>
      <c r="X38" s="138">
        <f ca="1">OFFSET(IND!AA$25,$E38,0)</f>
        <v>37.032722978678052</v>
      </c>
      <c r="Y38" s="219">
        <f ca="1">OFFSET(IND!AB$25,$E38,0)</f>
        <v>38.668851001577337</v>
      </c>
      <c r="Z38" s="138">
        <f ca="1">OFFSET(IND!AC$25,$E38,0)</f>
        <v>40.098367750842684</v>
      </c>
      <c r="AA38" s="138">
        <f ca="1">OFFSET(IND!AD$25,$E38,0)</f>
        <v>41.636437547142982</v>
      </c>
      <c r="AB38" s="138">
        <f ca="1">OFFSET(IND!AE$25,$E38,0)</f>
        <v>43.22103007788683</v>
      </c>
      <c r="AC38" s="138">
        <f ca="1">OFFSET(IND!AF$25,$E38,0)</f>
        <v>44.860604022063953</v>
      </c>
      <c r="AD38" s="138">
        <f ca="1">OFFSET(IND!AG$25,$E38,0)</f>
        <v>46.483260608261617</v>
      </c>
      <c r="AE38" s="138">
        <f ca="1">OFFSET(IND!AH$25,$E38,0)</f>
        <v>48.063623799510594</v>
      </c>
      <c r="AF38" s="138">
        <f ca="1">OFFSET(IND!AI$25,$E38,0)</f>
        <v>49.69191950503474</v>
      </c>
      <c r="AG38" s="138">
        <f ca="1">OFFSET(IND!AJ$25,$E38,0)</f>
        <v>51.552828882776616</v>
      </c>
      <c r="AH38" s="138">
        <f ca="1">OFFSET(IND!AK$25,$E38,0)</f>
        <v>53.546257564691018</v>
      </c>
      <c r="AI38" s="138">
        <f ca="1">OFFSET(IND!AL$25,$E38,0)</f>
        <v>55.635551275155777</v>
      </c>
      <c r="AJ38" s="138">
        <f ca="1">OFFSET(IND!AM$25,$E38,0)</f>
        <v>69.165208319238232</v>
      </c>
      <c r="AK38" s="138">
        <f ca="1">OFFSET(IND!AN$25,$E38,0)</f>
        <v>88.445357296509414</v>
      </c>
      <c r="AL38" s="138">
        <f ca="1">OFFSET(IND!AO$25,$E38,0)</f>
        <v>120.2967479956649</v>
      </c>
      <c r="AM38" s="138">
        <f ca="1">OFFSET(IND!AP$25,$E38,0)</f>
        <v>153.10655401701899</v>
      </c>
      <c r="AQ38" s="4"/>
    </row>
    <row r="39" spans="1:43">
      <c r="A39" s="36" t="s">
        <v>339</v>
      </c>
      <c r="B39">
        <v>16.901755910559999</v>
      </c>
      <c r="E39" s="141">
        <f ca="1">MATCH(F39,IND!$D$26:$D$255,0)</f>
        <v>51</v>
      </c>
      <c r="F39" s="4" t="str">
        <f t="shared" si="0"/>
        <v>IMIP</v>
      </c>
      <c r="G39" s="138">
        <f ca="1">OFFSET(IND!J$25,$E39,0)</f>
        <v>15.294517272248457</v>
      </c>
      <c r="H39" s="138">
        <f ca="1">OFFSET(IND!K$25,$E39,0)</f>
        <v>15.732333885475313</v>
      </c>
      <c r="I39" s="138">
        <f ca="1">OFFSET(IND!L$25,$E39,0)</f>
        <v>15.857937373876499</v>
      </c>
      <c r="J39" s="138">
        <f ca="1">OFFSET(IND!M$25,$E39,0)</f>
        <v>15.751005899293361</v>
      </c>
      <c r="K39" s="138">
        <f ca="1">OFFSET(IND!N$25,$E39,0)</f>
        <v>15.751005899293361</v>
      </c>
      <c r="L39" s="138">
        <f ca="1">OFFSET(IND!O$25,$E39,0)</f>
        <v>15.751005899293361</v>
      </c>
      <c r="M39" s="138">
        <f ca="1">OFFSET(IND!P$25,$E39,0)</f>
        <v>15.710073750381614</v>
      </c>
      <c r="N39" s="138">
        <f ca="1">OFFSET(IND!Q$25,$E39,0)</f>
        <v>15.591803027232704</v>
      </c>
      <c r="O39" s="217">
        <f ca="1">OFFSET(IND!R$25,$E39,0)</f>
        <v>14.430491368425542</v>
      </c>
      <c r="P39" s="138">
        <f ca="1">OFFSET(IND!S$25,$E39,0)</f>
        <v>14.888222388127742</v>
      </c>
      <c r="Q39" s="138">
        <f ca="1">OFFSET(IND!T$25,$E39,0)</f>
        <v>15.283951173140387</v>
      </c>
      <c r="R39" s="138">
        <f ca="1">OFFSET(IND!U$25,$E39,0)</f>
        <v>15.701446848000931</v>
      </c>
      <c r="S39" s="138">
        <f ca="1">OFFSET(IND!V$25,$E39,0)</f>
        <v>16.189656113599572</v>
      </c>
      <c r="T39" s="217">
        <f ca="1">OFFSET(IND!W$25,$E39,0)</f>
        <v>16.71736225937487</v>
      </c>
      <c r="U39" s="138">
        <f ca="1">OFFSET(IND!X$25,$E39,0)</f>
        <v>17.333436468847726</v>
      </c>
      <c r="V39" s="138">
        <f ca="1">OFFSET(IND!Y$25,$E39,0)</f>
        <v>18.018374685477053</v>
      </c>
      <c r="W39" s="138">
        <f ca="1">OFFSET(IND!Z$25,$E39,0)</f>
        <v>18.773022573101557</v>
      </c>
      <c r="X39" s="138">
        <f ca="1">OFFSET(IND!AA$25,$E39,0)</f>
        <v>19.601940676482627</v>
      </c>
      <c r="Y39" s="219">
        <f ca="1">OFFSET(IND!AB$25,$E39,0)</f>
        <v>20.467966230759799</v>
      </c>
      <c r="Z39" s="138">
        <f ca="1">OFFSET(IND!AC$25,$E39,0)</f>
        <v>21.224629534489075</v>
      </c>
      <c r="AA39" s="138">
        <f ca="1">OFFSET(IND!AD$25,$E39,0)</f>
        <v>22.038751491460125</v>
      </c>
      <c r="AB39" s="138">
        <f ca="1">OFFSET(IND!AE$25,$E39,0)</f>
        <v>22.877498585534791</v>
      </c>
      <c r="AC39" s="138">
        <f ca="1">OFFSET(IND!AF$25,$E39,0)</f>
        <v>23.745348114368273</v>
      </c>
      <c r="AD39" s="138">
        <f ca="1">OFFSET(IND!AG$25,$E39,0)</f>
        <v>24.604243047891355</v>
      </c>
      <c r="AE39" s="138">
        <f ca="1">OFFSET(IND!AH$25,$E39,0)</f>
        <v>25.440751493138418</v>
      </c>
      <c r="AF39" s="138">
        <f ca="1">OFFSET(IND!AI$25,$E39,0)</f>
        <v>26.302631291764964</v>
      </c>
      <c r="AG39" s="138">
        <f ca="1">OFFSET(IND!AJ$25,$E39,0)</f>
        <v>27.287636775909586</v>
      </c>
      <c r="AH39" s="138">
        <f ca="1">OFFSET(IND!AK$25,$E39,0)</f>
        <v>28.342786589985717</v>
      </c>
      <c r="AI39" s="138">
        <f ca="1">OFFSET(IND!AL$25,$E39,0)</f>
        <v>29.448679110820823</v>
      </c>
      <c r="AJ39" s="138">
        <f ca="1">OFFSET(IND!AM$25,$E39,0)</f>
        <v>36.610116710317769</v>
      </c>
      <c r="AK39" s="138">
        <f ca="1">OFFSET(IND!AN$25,$E39,0)</f>
        <v>46.815370499076771</v>
      </c>
      <c r="AL39" s="138">
        <f ca="1">OFFSET(IND!AO$25,$E39,0)</f>
        <v>63.674759189122362</v>
      </c>
      <c r="AM39" s="138">
        <f ca="1">OFFSET(IND!AP$25,$E39,0)</f>
        <v>81.041450577378555</v>
      </c>
      <c r="AQ39" s="4"/>
    </row>
    <row r="40" spans="1:43">
      <c r="A40" s="36" t="s">
        <v>340</v>
      </c>
      <c r="B40">
        <v>28.149155918999998</v>
      </c>
      <c r="E40" s="141">
        <f ca="1">MATCH(F40,IND!$D$26:$D$255,0)</f>
        <v>63</v>
      </c>
      <c r="F40" s="4" t="str">
        <f t="shared" si="0"/>
        <v>IMIR</v>
      </c>
      <c r="G40" s="138">
        <f ca="1">OFFSET(IND!J$25,$E40,0)</f>
        <v>51.488523217763458</v>
      </c>
      <c r="H40" s="138">
        <f ca="1">OFFSET(IND!K$25,$E40,0)</f>
        <v>52.962419415596152</v>
      </c>
      <c r="I40" s="138">
        <f ca="1">OFFSET(IND!L$25,$E40,0)</f>
        <v>53.38525970624795</v>
      </c>
      <c r="J40" s="138">
        <f ca="1">OFFSET(IND!M$25,$E40,0)</f>
        <v>46.045999999999999</v>
      </c>
      <c r="K40" s="138">
        <f ca="1">OFFSET(IND!N$25,$E40,0)</f>
        <v>46.045999999999999</v>
      </c>
      <c r="L40" s="138">
        <f ca="1">OFFSET(IND!O$25,$E40,0)</f>
        <v>46.045999999999999</v>
      </c>
      <c r="M40" s="138">
        <f ca="1">OFFSET(IND!P$25,$E40,0)</f>
        <v>45.926340230913446</v>
      </c>
      <c r="N40" s="138">
        <f ca="1">OFFSET(IND!Q$25,$E40,0)</f>
        <v>45.58059128300917</v>
      </c>
      <c r="O40" s="217">
        <f ca="1">OFFSET(IND!R$25,$E40,0)</f>
        <v>42.185648954669773</v>
      </c>
      <c r="P40" s="138">
        <f ca="1">OFFSET(IND!S$25,$E40,0)</f>
        <v>43.523765559283135</v>
      </c>
      <c r="Q40" s="138">
        <f ca="1">OFFSET(IND!T$25,$E40,0)</f>
        <v>44.68062676238317</v>
      </c>
      <c r="R40" s="138">
        <f ca="1">OFFSET(IND!U$25,$E40,0)</f>
        <v>45.901120613222943</v>
      </c>
      <c r="S40" s="138">
        <f ca="1">OFFSET(IND!V$25,$E40,0)</f>
        <v>47.328336372488423</v>
      </c>
      <c r="T40" s="217">
        <f ca="1">OFFSET(IND!W$25,$E40,0)</f>
        <v>48.871016080929103</v>
      </c>
      <c r="U40" s="138">
        <f ca="1">OFFSET(IND!X$25,$E40,0)</f>
        <v>50.672028234105916</v>
      </c>
      <c r="V40" s="138">
        <f ca="1">OFFSET(IND!Y$25,$E40,0)</f>
        <v>52.6743552806807</v>
      </c>
      <c r="W40" s="138">
        <f ca="1">OFFSET(IND!Z$25,$E40,0)</f>
        <v>54.880469407976967</v>
      </c>
      <c r="X40" s="138">
        <f ca="1">OFFSET(IND!AA$25,$E40,0)</f>
        <v>57.303702770488577</v>
      </c>
      <c r="Y40" s="219">
        <f ca="1">OFFSET(IND!AB$25,$E40,0)</f>
        <v>59.835414899047656</v>
      </c>
      <c r="Z40" s="138">
        <f ca="1">OFFSET(IND!AC$25,$E40,0)</f>
        <v>62.047420831004132</v>
      </c>
      <c r="AA40" s="138">
        <f ca="1">OFFSET(IND!AD$25,$E40,0)</f>
        <v>64.427399600002673</v>
      </c>
      <c r="AB40" s="138">
        <f ca="1">OFFSET(IND!AE$25,$E40,0)</f>
        <v>66.879366727733526</v>
      </c>
      <c r="AC40" s="138">
        <f ca="1">OFFSET(IND!AF$25,$E40,0)</f>
        <v>69.416411006693465</v>
      </c>
      <c r="AD40" s="138">
        <f ca="1">OFFSET(IND!AG$25,$E40,0)</f>
        <v>71.927277700659857</v>
      </c>
      <c r="AE40" s="138">
        <f ca="1">OFFSET(IND!AH$25,$E40,0)</f>
        <v>74.37270043214231</v>
      </c>
      <c r="AF40" s="138">
        <f ca="1">OFFSET(IND!AI$25,$E40,0)</f>
        <v>76.892292987773217</v>
      </c>
      <c r="AG40" s="138">
        <f ca="1">OFFSET(IND!AJ$25,$E40,0)</f>
        <v>79.771827337065659</v>
      </c>
      <c r="AH40" s="138">
        <f ca="1">OFFSET(IND!AK$25,$E40,0)</f>
        <v>82.856419435474393</v>
      </c>
      <c r="AI40" s="138">
        <f ca="1">OFFSET(IND!AL$25,$E40,0)</f>
        <v>86.089351182180039</v>
      </c>
      <c r="AJ40" s="138">
        <f ca="1">OFFSET(IND!AM$25,$E40,0)</f>
        <v>107.02487478078591</v>
      </c>
      <c r="AK40" s="138">
        <f ca="1">OFFSET(IND!AN$25,$E40,0)</f>
        <v>136.85859581178869</v>
      </c>
      <c r="AL40" s="138">
        <f ca="1">OFFSET(IND!AO$25,$E40,0)</f>
        <v>186.14480753599778</v>
      </c>
      <c r="AM40" s="138">
        <f ca="1">OFFSET(IND!AP$25,$E40,0)</f>
        <v>236.91405216560713</v>
      </c>
      <c r="AQ40" s="4"/>
    </row>
    <row r="41" spans="1:43">
      <c r="A41" s="36" t="s">
        <v>341</v>
      </c>
      <c r="B41">
        <v>5.2585839407999997E-2</v>
      </c>
      <c r="E41" s="141">
        <f ca="1">MATCH(F41,IND!$D$26:$D$255,0)</f>
        <v>56</v>
      </c>
      <c r="F41" s="4" t="str">
        <f t="shared" si="0"/>
        <v>IMIS</v>
      </c>
      <c r="G41" s="138">
        <f ca="1">OFFSET(IND!J$25,$E41,0)</f>
        <v>20.275122960000004</v>
      </c>
      <c r="H41" s="138">
        <f ca="1">OFFSET(IND!K$25,$E41,0)</f>
        <v>20.855513011486753</v>
      </c>
      <c r="I41" s="138">
        <f ca="1">OFFSET(IND!L$25,$E41,0)</f>
        <v>21.0220188335541</v>
      </c>
      <c r="J41" s="138">
        <f ca="1">OFFSET(IND!M$25,$E41,0)</f>
        <v>0.90805719120000006</v>
      </c>
      <c r="K41" s="138">
        <f ca="1">OFFSET(IND!N$25,$E41,0)</f>
        <v>0.90805719120000006</v>
      </c>
      <c r="L41" s="138">
        <f ca="1">OFFSET(IND!O$25,$E41,0)</f>
        <v>0.90805719120000006</v>
      </c>
      <c r="M41" s="138">
        <f ca="1">OFFSET(IND!P$25,$E41,0)</f>
        <v>0.90569742240756701</v>
      </c>
      <c r="N41" s="138">
        <f ca="1">OFFSET(IND!Q$25,$E41,0)</f>
        <v>0.89887902735708891</v>
      </c>
      <c r="O41" s="217">
        <f ca="1">OFFSET(IND!R$25,$E41,0)</f>
        <v>0.83192854751176337</v>
      </c>
      <c r="P41" s="138">
        <f ca="1">OFFSET(IND!S$25,$E41,0)</f>
        <v>0.85831708083677072</v>
      </c>
      <c r="Q41" s="138">
        <f ca="1">OFFSET(IND!T$25,$E41,0)</f>
        <v>0.88113113927171127</v>
      </c>
      <c r="R41" s="138">
        <f ca="1">OFFSET(IND!U$25,$E41,0)</f>
        <v>0.90520007507656808</v>
      </c>
      <c r="S41" s="138">
        <f ca="1">OFFSET(IND!V$25,$E41,0)</f>
        <v>0.93334570191918165</v>
      </c>
      <c r="T41" s="217">
        <f ca="1">OFFSET(IND!W$25,$E41,0)</f>
        <v>0.96376835324541799</v>
      </c>
      <c r="U41" s="138">
        <f ca="1">OFFSET(IND!X$25,$E41,0)</f>
        <v>0.99928548909067716</v>
      </c>
      <c r="V41" s="138">
        <f ca="1">OFFSET(IND!Y$25,$E41,0)</f>
        <v>1.0387726861061939</v>
      </c>
      <c r="W41" s="138">
        <f ca="1">OFFSET(IND!Z$25,$E41,0)</f>
        <v>1.0822786974404963</v>
      </c>
      <c r="X41" s="138">
        <f ca="1">OFFSET(IND!AA$25,$E41,0)</f>
        <v>1.1300664418870154</v>
      </c>
      <c r="Y41" s="219">
        <f ca="1">OFFSET(IND!AB$25,$E41,0)</f>
        <v>1.1799934584440743</v>
      </c>
      <c r="Z41" s="138">
        <f ca="1">OFFSET(IND!AC$25,$E41,0)</f>
        <v>1.2236156600140291</v>
      </c>
      <c r="AA41" s="138">
        <f ca="1">OFFSET(IND!AD$25,$E41,0)</f>
        <v>1.2705503956282507</v>
      </c>
      <c r="AB41" s="138">
        <f ca="1">OFFSET(IND!AE$25,$E41,0)</f>
        <v>1.3189047886900154</v>
      </c>
      <c r="AC41" s="138">
        <f ca="1">OFFSET(IND!AF$25,$E41,0)</f>
        <v>1.3689369587352396</v>
      </c>
      <c r="AD41" s="138">
        <f ca="1">OFFSET(IND!AG$25,$E41,0)</f>
        <v>1.4184528897086304</v>
      </c>
      <c r="AE41" s="138">
        <f ca="1">OFFSET(IND!AH$25,$E41,0)</f>
        <v>1.4666782230024364</v>
      </c>
      <c r="AF41" s="138">
        <f ca="1">OFFSET(IND!AI$25,$E41,0)</f>
        <v>1.5163662336664383</v>
      </c>
      <c r="AG41" s="138">
        <f ca="1">OFFSET(IND!AJ$25,$E41,0)</f>
        <v>1.5731525315681545</v>
      </c>
      <c r="AH41" s="138">
        <f ca="1">OFFSET(IND!AK$25,$E41,0)</f>
        <v>1.6339827021992352</v>
      </c>
      <c r="AI41" s="138">
        <f ca="1">OFFSET(IND!AL$25,$E41,0)</f>
        <v>1.697738227570708</v>
      </c>
      <c r="AJ41" s="138">
        <f ca="1">OFFSET(IND!AM$25,$E41,0)</f>
        <v>2.1106004252697779</v>
      </c>
      <c r="AK41" s="138">
        <f ca="1">OFFSET(IND!AN$25,$E41,0)</f>
        <v>2.6989408874696812</v>
      </c>
      <c r="AL41" s="138">
        <f ca="1">OFFSET(IND!AO$25,$E41,0)</f>
        <v>3.6708971699518478</v>
      </c>
      <c r="AM41" s="138">
        <f ca="1">OFFSET(IND!AP$25,$E41,0)</f>
        <v>4.6720998298508345</v>
      </c>
      <c r="AQ41" s="4"/>
    </row>
    <row r="42" spans="1:43">
      <c r="A42" s="36" t="s">
        <v>342</v>
      </c>
      <c r="B42" t="s">
        <v>386</v>
      </c>
      <c r="E42" s="141">
        <f ca="1">MATCH(F42,IND!$D$26:$D$255,0)</f>
        <v>131</v>
      </c>
      <c r="F42" s="4" t="str">
        <f t="shared" si="0"/>
        <v>INFA</v>
      </c>
      <c r="G42" s="138">
        <f ca="1">OFFSET(IND!J$25,$E42,0)</f>
        <v>0</v>
      </c>
      <c r="H42" s="138">
        <f ca="1">OFFSET(IND!K$25,$E42,0)</f>
        <v>0</v>
      </c>
      <c r="I42" s="138">
        <f ca="1">OFFSET(IND!L$25,$E42,0)</f>
        <v>0</v>
      </c>
      <c r="J42" s="138">
        <f ca="1">OFFSET(IND!M$25,$E42,0)</f>
        <v>0</v>
      </c>
      <c r="K42" s="138">
        <f ca="1">OFFSET(IND!N$25,$E42,0)</f>
        <v>0</v>
      </c>
      <c r="L42" s="138">
        <f ca="1">OFFSET(IND!O$25,$E42,0)</f>
        <v>0</v>
      </c>
      <c r="M42" s="138">
        <f ca="1">OFFSET(IND!P$25,$E42,0)</f>
        <v>0</v>
      </c>
      <c r="N42" s="138">
        <f ca="1">OFFSET(IND!Q$25,$E42,0)</f>
        <v>0</v>
      </c>
      <c r="O42" s="217">
        <f ca="1">OFFSET(IND!R$25,$E42,0)</f>
        <v>0</v>
      </c>
      <c r="P42" s="138">
        <f ca="1">OFFSET(IND!S$25,$E42,0)</f>
        <v>0</v>
      </c>
      <c r="Q42" s="138">
        <f ca="1">OFFSET(IND!T$25,$E42,0)</f>
        <v>0</v>
      </c>
      <c r="R42" s="138">
        <f ca="1">OFFSET(IND!U$25,$E42,0)</f>
        <v>0</v>
      </c>
      <c r="S42" s="138">
        <f ca="1">OFFSET(IND!V$25,$E42,0)</f>
        <v>0</v>
      </c>
      <c r="T42" s="217">
        <f ca="1">OFFSET(IND!W$25,$E42,0)</f>
        <v>0</v>
      </c>
      <c r="U42" s="138">
        <f ca="1">OFFSET(IND!X$25,$E42,0)</f>
        <v>0</v>
      </c>
      <c r="V42" s="138">
        <f ca="1">OFFSET(IND!Y$25,$E42,0)</f>
        <v>0</v>
      </c>
      <c r="W42" s="138">
        <f ca="1">OFFSET(IND!Z$25,$E42,0)</f>
        <v>0</v>
      </c>
      <c r="X42" s="138">
        <f ca="1">OFFSET(IND!AA$25,$E42,0)</f>
        <v>0</v>
      </c>
      <c r="Y42" s="219">
        <f ca="1">OFFSET(IND!AB$25,$E42,0)</f>
        <v>0</v>
      </c>
      <c r="Z42" s="138">
        <f ca="1">OFFSET(IND!AC$25,$E42,0)</f>
        <v>0</v>
      </c>
      <c r="AA42" s="138">
        <f ca="1">OFFSET(IND!AD$25,$E42,0)</f>
        <v>0</v>
      </c>
      <c r="AB42" s="138">
        <f ca="1">OFFSET(IND!AE$25,$E42,0)</f>
        <v>0</v>
      </c>
      <c r="AC42" s="138">
        <f ca="1">OFFSET(IND!AF$25,$E42,0)</f>
        <v>0</v>
      </c>
      <c r="AD42" s="138">
        <f ca="1">OFFSET(IND!AG$25,$E42,0)</f>
        <v>0</v>
      </c>
      <c r="AE42" s="138">
        <f ca="1">OFFSET(IND!AH$25,$E42,0)</f>
        <v>0</v>
      </c>
      <c r="AF42" s="138">
        <f ca="1">OFFSET(IND!AI$25,$E42,0)</f>
        <v>0</v>
      </c>
      <c r="AG42" s="138">
        <f ca="1">OFFSET(IND!AJ$25,$E42,0)</f>
        <v>0</v>
      </c>
      <c r="AH42" s="138">
        <f ca="1">OFFSET(IND!AK$25,$E42,0)</f>
        <v>0</v>
      </c>
      <c r="AI42" s="138">
        <f ca="1">OFFSET(IND!AL$25,$E42,0)</f>
        <v>0</v>
      </c>
      <c r="AJ42" s="138">
        <f ca="1">OFFSET(IND!AM$25,$E42,0)</f>
        <v>0</v>
      </c>
      <c r="AK42" s="138">
        <f ca="1">OFFSET(IND!AN$25,$E42,0)</f>
        <v>0</v>
      </c>
      <c r="AL42" s="138">
        <f ca="1">OFFSET(IND!AO$25,$E42,0)</f>
        <v>0</v>
      </c>
      <c r="AM42" s="138">
        <f ca="1">OFFSET(IND!AP$25,$E42,0)</f>
        <v>0</v>
      </c>
      <c r="AQ42" s="4"/>
    </row>
    <row r="43" spans="1:43">
      <c r="A43" s="36" t="s">
        <v>343</v>
      </c>
      <c r="B43" t="s">
        <v>386</v>
      </c>
      <c r="E43" s="141">
        <f ca="1">MATCH(F43,IND!$D$26:$D$255,0)</f>
        <v>133</v>
      </c>
      <c r="F43" s="4" t="str">
        <f t="shared" si="0"/>
        <v>INFC</v>
      </c>
      <c r="G43" s="138">
        <f ca="1">OFFSET(IND!J$25,$E43,0)</f>
        <v>0</v>
      </c>
      <c r="H43" s="138">
        <f ca="1">OFFSET(IND!K$25,$E43,0)</f>
        <v>0</v>
      </c>
      <c r="I43" s="138">
        <f ca="1">OFFSET(IND!L$25,$E43,0)</f>
        <v>0</v>
      </c>
      <c r="J43" s="138">
        <f ca="1">OFFSET(IND!M$25,$E43,0)</f>
        <v>0</v>
      </c>
      <c r="K43" s="138">
        <f ca="1">OFFSET(IND!N$25,$E43,0)</f>
        <v>0</v>
      </c>
      <c r="L43" s="138">
        <f ca="1">OFFSET(IND!O$25,$E43,0)</f>
        <v>0</v>
      </c>
      <c r="M43" s="138">
        <f ca="1">OFFSET(IND!P$25,$E43,0)</f>
        <v>0</v>
      </c>
      <c r="N43" s="138">
        <f ca="1">OFFSET(IND!Q$25,$E43,0)</f>
        <v>0</v>
      </c>
      <c r="O43" s="217">
        <f ca="1">OFFSET(IND!R$25,$E43,0)</f>
        <v>0</v>
      </c>
      <c r="P43" s="138">
        <f ca="1">OFFSET(IND!S$25,$E43,0)</f>
        <v>0</v>
      </c>
      <c r="Q43" s="138">
        <f ca="1">OFFSET(IND!T$25,$E43,0)</f>
        <v>0</v>
      </c>
      <c r="R43" s="138">
        <f ca="1">OFFSET(IND!U$25,$E43,0)</f>
        <v>0</v>
      </c>
      <c r="S43" s="138">
        <f ca="1">OFFSET(IND!V$25,$E43,0)</f>
        <v>0</v>
      </c>
      <c r="T43" s="217">
        <f ca="1">OFFSET(IND!W$25,$E43,0)</f>
        <v>0</v>
      </c>
      <c r="U43" s="138">
        <f ca="1">OFFSET(IND!X$25,$E43,0)</f>
        <v>0</v>
      </c>
      <c r="V43" s="138">
        <f ca="1">OFFSET(IND!Y$25,$E43,0)</f>
        <v>0</v>
      </c>
      <c r="W43" s="138">
        <f ca="1">OFFSET(IND!Z$25,$E43,0)</f>
        <v>0</v>
      </c>
      <c r="X43" s="138">
        <f ca="1">OFFSET(IND!AA$25,$E43,0)</f>
        <v>0</v>
      </c>
      <c r="Y43" s="219">
        <f ca="1">OFFSET(IND!AB$25,$E43,0)</f>
        <v>0</v>
      </c>
      <c r="Z43" s="138">
        <f ca="1">OFFSET(IND!AC$25,$E43,0)</f>
        <v>0</v>
      </c>
      <c r="AA43" s="138">
        <f ca="1">OFFSET(IND!AD$25,$E43,0)</f>
        <v>0</v>
      </c>
      <c r="AB43" s="138">
        <f ca="1">OFFSET(IND!AE$25,$E43,0)</f>
        <v>0</v>
      </c>
      <c r="AC43" s="138">
        <f ca="1">OFFSET(IND!AF$25,$E43,0)</f>
        <v>0</v>
      </c>
      <c r="AD43" s="138">
        <f ca="1">OFFSET(IND!AG$25,$E43,0)</f>
        <v>0</v>
      </c>
      <c r="AE43" s="138">
        <f ca="1">OFFSET(IND!AH$25,$E43,0)</f>
        <v>0</v>
      </c>
      <c r="AF43" s="138">
        <f ca="1">OFFSET(IND!AI$25,$E43,0)</f>
        <v>0</v>
      </c>
      <c r="AG43" s="138">
        <f ca="1">OFFSET(IND!AJ$25,$E43,0)</f>
        <v>0</v>
      </c>
      <c r="AH43" s="138">
        <f ca="1">OFFSET(IND!AK$25,$E43,0)</f>
        <v>0</v>
      </c>
      <c r="AI43" s="138">
        <f ca="1">OFFSET(IND!AL$25,$E43,0)</f>
        <v>0</v>
      </c>
      <c r="AJ43" s="138">
        <f ca="1">OFFSET(IND!AM$25,$E43,0)</f>
        <v>0</v>
      </c>
      <c r="AK43" s="138">
        <f ca="1">OFFSET(IND!AN$25,$E43,0)</f>
        <v>0</v>
      </c>
      <c r="AL43" s="138">
        <f ca="1">OFFSET(IND!AO$25,$E43,0)</f>
        <v>0</v>
      </c>
      <c r="AM43" s="138">
        <f ca="1">OFFSET(IND!AP$25,$E43,0)</f>
        <v>0</v>
      </c>
      <c r="AQ43" s="4"/>
    </row>
    <row r="44" spans="1:43">
      <c r="A44" s="36" t="s">
        <v>344</v>
      </c>
      <c r="B44">
        <v>55.015944485879999</v>
      </c>
      <c r="E44" s="141">
        <f ca="1">MATCH(F44,IND!$D$26:$D$255,0)</f>
        <v>138</v>
      </c>
      <c r="F44" s="4" t="str">
        <f t="shared" si="0"/>
        <v>INFE</v>
      </c>
      <c r="G44" s="138">
        <f ca="1">OFFSET(IND!J$25,$E44,0)</f>
        <v>45.684078335879221</v>
      </c>
      <c r="H44" s="138">
        <f ca="1">OFFSET(IND!K$25,$E44,0)</f>
        <v>38.725277085903556</v>
      </c>
      <c r="I44" s="138">
        <f ca="1">OFFSET(IND!L$25,$E44,0)</f>
        <v>35.200689439811981</v>
      </c>
      <c r="J44" s="138">
        <f ca="1">OFFSET(IND!M$25,$E44,0)</f>
        <v>11.427588</v>
      </c>
      <c r="K44" s="138">
        <f ca="1">OFFSET(IND!N$25,$E44,0)</f>
        <v>11.427588</v>
      </c>
      <c r="L44" s="138">
        <f ca="1">OFFSET(IND!O$25,$E44,0)</f>
        <v>11.427588</v>
      </c>
      <c r="M44" s="138">
        <f ca="1">OFFSET(IND!P$25,$E44,0)</f>
        <v>11.161830139534883</v>
      </c>
      <c r="N44" s="138">
        <f ca="1">OFFSET(IND!Q$25,$E44,0)</f>
        <v>10.708478495212038</v>
      </c>
      <c r="O44" s="217">
        <f ca="1">OFFSET(IND!R$25,$E44,0)</f>
        <v>8.8169078413132684</v>
      </c>
      <c r="P44" s="138">
        <f ca="1">OFFSET(IND!S$25,$E44,0)</f>
        <v>9.2077282243502037</v>
      </c>
      <c r="Q44" s="138">
        <f ca="1">OFFSET(IND!T$25,$E44,0)</f>
        <v>9.3796891928864561</v>
      </c>
      <c r="R44" s="138">
        <f ca="1">OFFSET(IND!U$25,$E44,0)</f>
        <v>9.5516501614227067</v>
      </c>
      <c r="S44" s="138">
        <f ca="1">OFFSET(IND!V$25,$E44,0)</f>
        <v>9.8330408372092997</v>
      </c>
      <c r="T44" s="217">
        <f ca="1">OFFSET(IND!W$25,$E44,0)</f>
        <v>10.176962774281801</v>
      </c>
      <c r="U44" s="138">
        <f ca="1">OFFSET(IND!X$25,$E44,0)</f>
        <v>10.55215034199726</v>
      </c>
      <c r="V44" s="138">
        <f ca="1">OFFSET(IND!Y$25,$E44,0)</f>
        <v>10.974236355677151</v>
      </c>
      <c r="W44" s="138">
        <f ca="1">OFFSET(IND!Z$25,$E44,0)</f>
        <v>11.411955184678519</v>
      </c>
      <c r="X44" s="138">
        <f ca="1">OFFSET(IND!AA$25,$E44,0)</f>
        <v>11.94347090560875</v>
      </c>
      <c r="Y44" s="219">
        <f ca="1">OFFSET(IND!AB$25,$E44,0)</f>
        <v>12.537517887824894</v>
      </c>
      <c r="Z44" s="138">
        <f ca="1">OFFSET(IND!AC$25,$E44,0)</f>
        <v>13.069033608755126</v>
      </c>
      <c r="AA44" s="138">
        <f ca="1">OFFSET(IND!AD$25,$E44,0)</f>
        <v>13.584916514363881</v>
      </c>
      <c r="AB44" s="138">
        <f ca="1">OFFSET(IND!AE$25,$E44,0)</f>
        <v>14.02263534336525</v>
      </c>
      <c r="AC44" s="138">
        <f ca="1">OFFSET(IND!AF$25,$E44,0)</f>
        <v>14.413455726402187</v>
      </c>
      <c r="AD44" s="138">
        <f ca="1">OFFSET(IND!AG$25,$E44,0)</f>
        <v>14.741744848153211</v>
      </c>
      <c r="AE44" s="138">
        <f ca="1">OFFSET(IND!AH$25,$E44,0)</f>
        <v>14.991869893296849</v>
      </c>
      <c r="AF44" s="138">
        <f ca="1">OFFSET(IND!AI$25,$E44,0)</f>
        <v>15.195096492476058</v>
      </c>
      <c r="AG44" s="138">
        <f ca="1">OFFSET(IND!AJ$25,$E44,0)</f>
        <v>15.35142464569083</v>
      </c>
      <c r="AH44" s="138">
        <f ca="1">OFFSET(IND!AK$25,$E44,0)</f>
        <v>15.523385614227083</v>
      </c>
      <c r="AI44" s="138">
        <f ca="1">OFFSET(IND!AL$25,$E44,0)</f>
        <v>15.695346582763332</v>
      </c>
      <c r="AJ44" s="138">
        <f ca="1">OFFSET(IND!AM$25,$E44,0)</f>
        <v>18.227862664842675</v>
      </c>
      <c r="AK44" s="138">
        <f ca="1">OFFSET(IND!AN$25,$E44,0)</f>
        <v>23.214730752393972</v>
      </c>
      <c r="AL44" s="138">
        <f ca="1">OFFSET(IND!AO$25,$E44,0)</f>
        <v>30.325056254445919</v>
      </c>
      <c r="AM44" s="138">
        <f ca="1">OFFSET(IND!AP$25,$E44,0)</f>
        <v>37.844440424076474</v>
      </c>
      <c r="AQ44" s="4"/>
    </row>
    <row r="45" spans="1:43">
      <c r="A45" s="36" t="s">
        <v>345</v>
      </c>
      <c r="B45" t="s">
        <v>386</v>
      </c>
      <c r="E45" s="141">
        <f ca="1">MATCH(F45,IND!$D$26:$D$255,0)</f>
        <v>136</v>
      </c>
      <c r="F45" s="4" t="str">
        <f t="shared" si="0"/>
        <v>INFF</v>
      </c>
      <c r="G45" s="138">
        <f ca="1">OFFSET(IND!J$25,$E45,0)</f>
        <v>0</v>
      </c>
      <c r="H45" s="138">
        <f ca="1">OFFSET(IND!K$25,$E45,0)</f>
        <v>0</v>
      </c>
      <c r="I45" s="138">
        <f ca="1">OFFSET(IND!L$25,$E45,0)</f>
        <v>0</v>
      </c>
      <c r="J45" s="138">
        <f ca="1">OFFSET(IND!M$25,$E45,0)</f>
        <v>0</v>
      </c>
      <c r="K45" s="138">
        <f ca="1">OFFSET(IND!N$25,$E45,0)</f>
        <v>0</v>
      </c>
      <c r="L45" s="138">
        <f ca="1">OFFSET(IND!O$25,$E45,0)</f>
        <v>0</v>
      </c>
      <c r="M45" s="138">
        <f ca="1">OFFSET(IND!P$25,$E45,0)</f>
        <v>0</v>
      </c>
      <c r="N45" s="138">
        <f ca="1">OFFSET(IND!Q$25,$E45,0)</f>
        <v>0</v>
      </c>
      <c r="O45" s="217">
        <f ca="1">OFFSET(IND!R$25,$E45,0)</f>
        <v>0</v>
      </c>
      <c r="P45" s="138">
        <f ca="1">OFFSET(IND!S$25,$E45,0)</f>
        <v>0</v>
      </c>
      <c r="Q45" s="138">
        <f ca="1">OFFSET(IND!T$25,$E45,0)</f>
        <v>0</v>
      </c>
      <c r="R45" s="138">
        <f ca="1">OFFSET(IND!U$25,$E45,0)</f>
        <v>0</v>
      </c>
      <c r="S45" s="138">
        <f ca="1">OFFSET(IND!V$25,$E45,0)</f>
        <v>0</v>
      </c>
      <c r="T45" s="217">
        <f ca="1">OFFSET(IND!W$25,$E45,0)</f>
        <v>0</v>
      </c>
      <c r="U45" s="138">
        <f ca="1">OFFSET(IND!X$25,$E45,0)</f>
        <v>0</v>
      </c>
      <c r="V45" s="138">
        <f ca="1">OFFSET(IND!Y$25,$E45,0)</f>
        <v>0</v>
      </c>
      <c r="W45" s="138">
        <f ca="1">OFFSET(IND!Z$25,$E45,0)</f>
        <v>0</v>
      </c>
      <c r="X45" s="138">
        <f ca="1">OFFSET(IND!AA$25,$E45,0)</f>
        <v>0</v>
      </c>
      <c r="Y45" s="219">
        <f ca="1">OFFSET(IND!AB$25,$E45,0)</f>
        <v>0</v>
      </c>
      <c r="Z45" s="138">
        <f ca="1">OFFSET(IND!AC$25,$E45,0)</f>
        <v>0</v>
      </c>
      <c r="AA45" s="138">
        <f ca="1">OFFSET(IND!AD$25,$E45,0)</f>
        <v>0</v>
      </c>
      <c r="AB45" s="138">
        <f ca="1">OFFSET(IND!AE$25,$E45,0)</f>
        <v>0</v>
      </c>
      <c r="AC45" s="138">
        <f ca="1">OFFSET(IND!AF$25,$E45,0)</f>
        <v>0</v>
      </c>
      <c r="AD45" s="138">
        <f ca="1">OFFSET(IND!AG$25,$E45,0)</f>
        <v>0</v>
      </c>
      <c r="AE45" s="138">
        <f ca="1">OFFSET(IND!AH$25,$E45,0)</f>
        <v>0</v>
      </c>
      <c r="AF45" s="138">
        <f ca="1">OFFSET(IND!AI$25,$E45,0)</f>
        <v>0</v>
      </c>
      <c r="AG45" s="138">
        <f ca="1">OFFSET(IND!AJ$25,$E45,0)</f>
        <v>0</v>
      </c>
      <c r="AH45" s="138">
        <f ca="1">OFFSET(IND!AK$25,$E45,0)</f>
        <v>0</v>
      </c>
      <c r="AI45" s="138">
        <f ca="1">OFFSET(IND!AL$25,$E45,0)</f>
        <v>0</v>
      </c>
      <c r="AJ45" s="138">
        <f ca="1">OFFSET(IND!AM$25,$E45,0)</f>
        <v>0</v>
      </c>
      <c r="AK45" s="138">
        <f ca="1">OFFSET(IND!AN$25,$E45,0)</f>
        <v>0</v>
      </c>
      <c r="AL45" s="138">
        <f ca="1">OFFSET(IND!AO$25,$E45,0)</f>
        <v>0</v>
      </c>
      <c r="AM45" s="138">
        <f ca="1">OFFSET(IND!AP$25,$E45,0)</f>
        <v>0</v>
      </c>
      <c r="AQ45" s="4"/>
    </row>
    <row r="46" spans="1:43">
      <c r="A46" s="36" t="s">
        <v>346</v>
      </c>
      <c r="B46">
        <v>0.72389400639309998</v>
      </c>
      <c r="E46" s="141">
        <f ca="1">MATCH(F46,IND!$D$26:$D$255,0)</f>
        <v>134</v>
      </c>
      <c r="F46" s="4" t="str">
        <f t="shared" si="0"/>
        <v>INFH</v>
      </c>
      <c r="G46" s="138">
        <f ca="1">OFFSET(IND!J$25,$E46,0)</f>
        <v>0.60110629389314751</v>
      </c>
      <c r="H46" s="138">
        <f ca="1">OFFSET(IND!K$25,$E46,0)</f>
        <v>0.50954311955136244</v>
      </c>
      <c r="I46" s="138">
        <f ca="1">OFFSET(IND!L$25,$E46,0)</f>
        <v>0.46316696631331544</v>
      </c>
      <c r="J46" s="138">
        <f ca="1">OFFSET(IND!M$25,$E46,0)</f>
        <v>0.15036300000000002</v>
      </c>
      <c r="K46" s="138">
        <f ca="1">OFFSET(IND!N$25,$E46,0)</f>
        <v>0.15036300000000002</v>
      </c>
      <c r="L46" s="138">
        <f ca="1">OFFSET(IND!O$25,$E46,0)</f>
        <v>0.15036300000000002</v>
      </c>
      <c r="M46" s="138">
        <f ca="1">OFFSET(IND!P$25,$E46,0)</f>
        <v>0.14686618604651164</v>
      </c>
      <c r="N46" s="138">
        <f ca="1">OFFSET(IND!Q$25,$E46,0)</f>
        <v>0.14090103283173736</v>
      </c>
      <c r="O46" s="217">
        <f ca="1">OFFSET(IND!R$25,$E46,0)</f>
        <v>0.11601194528043776</v>
      </c>
      <c r="P46" s="138">
        <f ca="1">OFFSET(IND!S$25,$E46,0)</f>
        <v>0.12115431874145008</v>
      </c>
      <c r="Q46" s="138">
        <f ca="1">OFFSET(IND!T$25,$E46,0)</f>
        <v>0.1234169630642955</v>
      </c>
      <c r="R46" s="138">
        <f ca="1">OFFSET(IND!U$25,$E46,0)</f>
        <v>0.12567960738714093</v>
      </c>
      <c r="S46" s="138">
        <f ca="1">OFFSET(IND!V$25,$E46,0)</f>
        <v>0.12938211627906979</v>
      </c>
      <c r="T46" s="217">
        <f ca="1">OFFSET(IND!W$25,$E46,0)</f>
        <v>0.13390740492476061</v>
      </c>
      <c r="U46" s="138">
        <f ca="1">OFFSET(IND!X$25,$E46,0)</f>
        <v>0.13884408344733243</v>
      </c>
      <c r="V46" s="138">
        <f ca="1">OFFSET(IND!Y$25,$E46,0)</f>
        <v>0.14439784678522574</v>
      </c>
      <c r="W46" s="138">
        <f ca="1">OFFSET(IND!Z$25,$E46,0)</f>
        <v>0.15015730506155953</v>
      </c>
      <c r="X46" s="138">
        <f ca="1">OFFSET(IND!AA$25,$E46,0)</f>
        <v>0.15715093296853627</v>
      </c>
      <c r="Y46" s="219">
        <f ca="1">OFFSET(IND!AB$25,$E46,0)</f>
        <v>0.16496734062927501</v>
      </c>
      <c r="Z46" s="138">
        <f ca="1">OFFSET(IND!AC$25,$E46,0)</f>
        <v>0.17196096853625173</v>
      </c>
      <c r="AA46" s="138">
        <f ca="1">OFFSET(IND!AD$25,$E46,0)</f>
        <v>0.17874890150478798</v>
      </c>
      <c r="AB46" s="138">
        <f ca="1">OFFSET(IND!AE$25,$E46,0)</f>
        <v>0.18450835978112176</v>
      </c>
      <c r="AC46" s="138">
        <f ca="1">OFFSET(IND!AF$25,$E46,0)</f>
        <v>0.18965073324213408</v>
      </c>
      <c r="AD46" s="138">
        <f ca="1">OFFSET(IND!AG$25,$E46,0)</f>
        <v>0.19397032694938438</v>
      </c>
      <c r="AE46" s="138">
        <f ca="1">OFFSET(IND!AH$25,$E46,0)</f>
        <v>0.19726144596443226</v>
      </c>
      <c r="AF46" s="138">
        <f ca="1">OFFSET(IND!AI$25,$E46,0)</f>
        <v>0.19993548016415869</v>
      </c>
      <c r="AG46" s="138">
        <f ca="1">OFFSET(IND!AJ$25,$E46,0)</f>
        <v>0.20199242954856358</v>
      </c>
      <c r="AH46" s="138">
        <f ca="1">OFFSET(IND!AK$25,$E46,0)</f>
        <v>0.20425507387140901</v>
      </c>
      <c r="AI46" s="138">
        <f ca="1">OFFSET(IND!AL$25,$E46,0)</f>
        <v>0.20651771819425441</v>
      </c>
      <c r="AJ46" s="138">
        <f ca="1">OFFSET(IND!AM$25,$E46,0)</f>
        <v>0.23984029822161421</v>
      </c>
      <c r="AK46" s="138">
        <f ca="1">OFFSET(IND!AN$25,$E46,0)</f>
        <v>0.30545698358413131</v>
      </c>
      <c r="AL46" s="138">
        <f ca="1">OFFSET(IND!AO$25,$E46,0)</f>
        <v>0.39901389808481486</v>
      </c>
      <c r="AM46" s="138">
        <f ca="1">OFFSET(IND!AP$25,$E46,0)</f>
        <v>0.4979531634746906</v>
      </c>
      <c r="AQ46" s="4"/>
    </row>
    <row r="47" spans="1:43">
      <c r="A47" s="36" t="s">
        <v>347</v>
      </c>
      <c r="B47">
        <v>0.80432667377019995</v>
      </c>
      <c r="E47" s="141">
        <f ca="1">MATCH(F47,IND!$D$26:$D$255,0)</f>
        <v>130</v>
      </c>
      <c r="F47" s="4" t="str">
        <f t="shared" si="0"/>
        <v>INFK</v>
      </c>
      <c r="G47" s="138">
        <f ca="1">OFFSET(IND!J$25,$E47,0)</f>
        <v>0.66789588210349726</v>
      </c>
      <c r="H47" s="138">
        <f ca="1">OFFSET(IND!K$25,$E47,0)</f>
        <v>0.56615902172373611</v>
      </c>
      <c r="I47" s="138">
        <f ca="1">OFFSET(IND!L$25,$E47,0)</f>
        <v>0.51462996257035054</v>
      </c>
      <c r="J47" s="138">
        <f ca="1">OFFSET(IND!M$25,$E47,0)</f>
        <v>0.16707000000000002</v>
      </c>
      <c r="K47" s="138">
        <f ca="1">OFFSET(IND!N$25,$E47,0)</f>
        <v>0.16707000000000002</v>
      </c>
      <c r="L47" s="138">
        <f ca="1">OFFSET(IND!O$25,$E47,0)</f>
        <v>0.16707000000000002</v>
      </c>
      <c r="M47" s="138">
        <f ca="1">OFFSET(IND!P$25,$E47,0)</f>
        <v>0.16318465116279071</v>
      </c>
      <c r="N47" s="138">
        <f ca="1">OFFSET(IND!Q$25,$E47,0)</f>
        <v>0.15655670314637485</v>
      </c>
      <c r="O47" s="217">
        <f ca="1">OFFSET(IND!R$25,$E47,0)</f>
        <v>0.12890216142270863</v>
      </c>
      <c r="P47" s="138">
        <f ca="1">OFFSET(IND!S$25,$E47,0)</f>
        <v>0.13461590971272233</v>
      </c>
      <c r="Q47" s="138">
        <f ca="1">OFFSET(IND!T$25,$E47,0)</f>
        <v>0.13712995896032837</v>
      </c>
      <c r="R47" s="138">
        <f ca="1">OFFSET(IND!U$25,$E47,0)</f>
        <v>0.13964400820793438</v>
      </c>
      <c r="S47" s="138">
        <f ca="1">OFFSET(IND!V$25,$E47,0)</f>
        <v>0.1437579069767442</v>
      </c>
      <c r="T47" s="217">
        <f ca="1">OFFSET(IND!W$25,$E47,0)</f>
        <v>0.14878600547195622</v>
      </c>
      <c r="U47" s="138">
        <f ca="1">OFFSET(IND!X$25,$E47,0)</f>
        <v>0.15427120383036935</v>
      </c>
      <c r="V47" s="138">
        <f ca="1">OFFSET(IND!Y$25,$E47,0)</f>
        <v>0.16044205198358413</v>
      </c>
      <c r="W47" s="138">
        <f ca="1">OFFSET(IND!Z$25,$E47,0)</f>
        <v>0.16684145006839946</v>
      </c>
      <c r="X47" s="138">
        <f ca="1">OFFSET(IND!AA$25,$E47,0)</f>
        <v>0.17461214774281805</v>
      </c>
      <c r="Y47" s="219">
        <f ca="1">OFFSET(IND!AB$25,$E47,0)</f>
        <v>0.18329704514363887</v>
      </c>
      <c r="Z47" s="138">
        <f ca="1">OFFSET(IND!AC$25,$E47,0)</f>
        <v>0.19106774281805747</v>
      </c>
      <c r="AA47" s="138">
        <f ca="1">OFFSET(IND!AD$25,$E47,0)</f>
        <v>0.19860989056087552</v>
      </c>
      <c r="AB47" s="138">
        <f ca="1">OFFSET(IND!AE$25,$E47,0)</f>
        <v>0.20500928864569085</v>
      </c>
      <c r="AC47" s="138">
        <f ca="1">OFFSET(IND!AF$25,$E47,0)</f>
        <v>0.21072303693570454</v>
      </c>
      <c r="AD47" s="138">
        <f ca="1">OFFSET(IND!AG$25,$E47,0)</f>
        <v>0.21552258549931599</v>
      </c>
      <c r="AE47" s="138">
        <f ca="1">OFFSET(IND!AH$25,$E47,0)</f>
        <v>0.21917938440492477</v>
      </c>
      <c r="AF47" s="138">
        <f ca="1">OFFSET(IND!AI$25,$E47,0)</f>
        <v>0.22215053351573191</v>
      </c>
      <c r="AG47" s="138">
        <f ca="1">OFFSET(IND!AJ$25,$E47,0)</f>
        <v>0.22443603283173735</v>
      </c>
      <c r="AH47" s="138">
        <f ca="1">OFFSET(IND!AK$25,$E47,0)</f>
        <v>0.22695008207934336</v>
      </c>
      <c r="AI47" s="138">
        <f ca="1">OFFSET(IND!AL$25,$E47,0)</f>
        <v>0.22946413132694934</v>
      </c>
      <c r="AJ47" s="138">
        <f ca="1">OFFSET(IND!AM$25,$E47,0)</f>
        <v>0.266489220246238</v>
      </c>
      <c r="AK47" s="138">
        <f ca="1">OFFSET(IND!AN$25,$E47,0)</f>
        <v>0.33939664842681255</v>
      </c>
      <c r="AL47" s="138">
        <f ca="1">OFFSET(IND!AO$25,$E47,0)</f>
        <v>0.44334877564979425</v>
      </c>
      <c r="AM47" s="138">
        <f ca="1">OFFSET(IND!AP$25,$E47,0)</f>
        <v>0.55328129274965621</v>
      </c>
      <c r="AQ47" s="4"/>
    </row>
    <row r="48" spans="1:43">
      <c r="A48" s="36" t="s">
        <v>348</v>
      </c>
      <c r="B48">
        <v>0.241298002131</v>
      </c>
      <c r="E48" s="141">
        <f ca="1">MATCH(F48,IND!$D$26:$D$255,0)</f>
        <v>132</v>
      </c>
      <c r="F48" s="4" t="str">
        <f t="shared" si="0"/>
        <v>INFL</v>
      </c>
      <c r="G48" s="138">
        <f ca="1">OFFSET(IND!J$25,$E48,0)</f>
        <v>0.20036876463104916</v>
      </c>
      <c r="H48" s="138">
        <f ca="1">OFFSET(IND!K$25,$E48,0)</f>
        <v>0.16984770651712083</v>
      </c>
      <c r="I48" s="138">
        <f ca="1">OFFSET(IND!L$25,$E48,0)</f>
        <v>0.15438898877110516</v>
      </c>
      <c r="J48" s="138">
        <f ca="1">OFFSET(IND!M$25,$E48,0)</f>
        <v>5.0121000000000006E-2</v>
      </c>
      <c r="K48" s="138">
        <f ca="1">OFFSET(IND!N$25,$E48,0)</f>
        <v>5.0121000000000006E-2</v>
      </c>
      <c r="L48" s="138">
        <f ca="1">OFFSET(IND!O$25,$E48,0)</f>
        <v>5.0121000000000006E-2</v>
      </c>
      <c r="M48" s="138">
        <f ca="1">OFFSET(IND!P$25,$E48,0)</f>
        <v>4.8955395348837215E-2</v>
      </c>
      <c r="N48" s="138">
        <f ca="1">OFFSET(IND!Q$25,$E48,0)</f>
        <v>4.6967010943912459E-2</v>
      </c>
      <c r="O48" s="217">
        <f ca="1">OFFSET(IND!R$25,$E48,0)</f>
        <v>3.8670648426812594E-2</v>
      </c>
      <c r="P48" s="138">
        <f ca="1">OFFSET(IND!S$25,$E48,0)</f>
        <v>4.0384772913816702E-2</v>
      </c>
      <c r="Q48" s="138">
        <f ca="1">OFFSET(IND!T$25,$E48,0)</f>
        <v>4.1138987688098511E-2</v>
      </c>
      <c r="R48" s="138">
        <f ca="1">OFFSET(IND!U$25,$E48,0)</f>
        <v>4.1893202462380319E-2</v>
      </c>
      <c r="S48" s="138">
        <f ca="1">OFFSET(IND!V$25,$E48,0)</f>
        <v>4.3127372093023267E-2</v>
      </c>
      <c r="T48" s="217">
        <f ca="1">OFFSET(IND!W$25,$E48,0)</f>
        <v>4.463580164158687E-2</v>
      </c>
      <c r="U48" s="138">
        <f ca="1">OFFSET(IND!X$25,$E48,0)</f>
        <v>4.6281361149110814E-2</v>
      </c>
      <c r="V48" s="138">
        <f ca="1">OFFSET(IND!Y$25,$E48,0)</f>
        <v>4.813261559507525E-2</v>
      </c>
      <c r="W48" s="138">
        <f ca="1">OFFSET(IND!Z$25,$E48,0)</f>
        <v>5.0052435020519849E-2</v>
      </c>
      <c r="X48" s="138">
        <f ca="1">OFFSET(IND!AA$25,$E48,0)</f>
        <v>5.2383644322845424E-2</v>
      </c>
      <c r="Y48" s="219">
        <f ca="1">OFFSET(IND!AB$25,$E48,0)</f>
        <v>5.4989113543091668E-2</v>
      </c>
      <c r="Z48" s="138">
        <f ca="1">OFFSET(IND!AC$25,$E48,0)</f>
        <v>5.7320322845417243E-2</v>
      </c>
      <c r="AA48" s="138">
        <f ca="1">OFFSET(IND!AD$25,$E48,0)</f>
        <v>5.9582967168262661E-2</v>
      </c>
      <c r="AB48" s="138">
        <f ca="1">OFFSET(IND!AE$25,$E48,0)</f>
        <v>6.1502786593707261E-2</v>
      </c>
      <c r="AC48" s="138">
        <f ca="1">OFFSET(IND!AF$25,$E48,0)</f>
        <v>6.3216911080711369E-2</v>
      </c>
      <c r="AD48" s="138">
        <f ca="1">OFFSET(IND!AG$25,$E48,0)</f>
        <v>6.4656775649794801E-2</v>
      </c>
      <c r="AE48" s="138">
        <f ca="1">OFFSET(IND!AH$25,$E48,0)</f>
        <v>6.5753815321477435E-2</v>
      </c>
      <c r="AF48" s="138">
        <f ca="1">OFFSET(IND!AI$25,$E48,0)</f>
        <v>6.6645160054719571E-2</v>
      </c>
      <c r="AG48" s="138">
        <f ca="1">OFFSET(IND!AJ$25,$E48,0)</f>
        <v>6.7330809849521209E-2</v>
      </c>
      <c r="AH48" s="138">
        <f ca="1">OFFSET(IND!AK$25,$E48,0)</f>
        <v>6.8085024623803017E-2</v>
      </c>
      <c r="AI48" s="138">
        <f ca="1">OFFSET(IND!AL$25,$E48,0)</f>
        <v>6.8839239398084812E-2</v>
      </c>
      <c r="AJ48" s="138">
        <f ca="1">OFFSET(IND!AM$25,$E48,0)</f>
        <v>7.9946766073871411E-2</v>
      </c>
      <c r="AK48" s="138">
        <f ca="1">OFFSET(IND!AN$25,$E48,0)</f>
        <v>0.10181899452804379</v>
      </c>
      <c r="AL48" s="138">
        <f ca="1">OFFSET(IND!AO$25,$E48,0)</f>
        <v>0.13300463269493831</v>
      </c>
      <c r="AM48" s="138">
        <f ca="1">OFFSET(IND!AP$25,$E48,0)</f>
        <v>0.16598438782489688</v>
      </c>
      <c r="AQ48" s="4"/>
    </row>
    <row r="49" spans="1:43">
      <c r="A49" s="36" t="s">
        <v>349</v>
      </c>
      <c r="B49">
        <v>4.5042293731129996</v>
      </c>
      <c r="E49" s="141">
        <f ca="1">MATCH(F49,IND!$D$26:$D$255,0)</f>
        <v>137</v>
      </c>
      <c r="F49" s="4" t="str">
        <f t="shared" si="0"/>
        <v>INFO</v>
      </c>
      <c r="G49" s="138">
        <f ca="1">OFFSET(IND!J$25,$E49,0)</f>
        <v>3.7402169397795855</v>
      </c>
      <c r="H49" s="138">
        <f ca="1">OFFSET(IND!K$25,$E49,0)</f>
        <v>3.1704905216529231</v>
      </c>
      <c r="I49" s="138">
        <f ca="1">OFFSET(IND!L$25,$E49,0)</f>
        <v>2.8819277903939637</v>
      </c>
      <c r="J49" s="138">
        <f ca="1">OFFSET(IND!M$25,$E49,0)</f>
        <v>0.9355920000000002</v>
      </c>
      <c r="K49" s="138">
        <f ca="1">OFFSET(IND!N$25,$E49,0)</f>
        <v>0.9355920000000002</v>
      </c>
      <c r="L49" s="138">
        <f ca="1">OFFSET(IND!O$25,$E49,0)</f>
        <v>0.9355920000000002</v>
      </c>
      <c r="M49" s="138">
        <f ca="1">OFFSET(IND!P$25,$E49,0)</f>
        <v>0.91383404651162803</v>
      </c>
      <c r="N49" s="138">
        <f ca="1">OFFSET(IND!Q$25,$E49,0)</f>
        <v>0.87671753761969917</v>
      </c>
      <c r="O49" s="217">
        <f ca="1">OFFSET(IND!R$25,$E49,0)</f>
        <v>0.72185210396716837</v>
      </c>
      <c r="P49" s="138">
        <f ca="1">OFFSET(IND!S$25,$E49,0)</f>
        <v>0.75384909439124503</v>
      </c>
      <c r="Q49" s="138">
        <f ca="1">OFFSET(IND!T$25,$E49,0)</f>
        <v>0.76792777017783875</v>
      </c>
      <c r="R49" s="138">
        <f ca="1">OFFSET(IND!U$25,$E49,0)</f>
        <v>0.78200644596443247</v>
      </c>
      <c r="S49" s="138">
        <f ca="1">OFFSET(IND!V$25,$E49,0)</f>
        <v>0.8050442790697675</v>
      </c>
      <c r="T49" s="217">
        <f ca="1">OFFSET(IND!W$25,$E49,0)</f>
        <v>0.83320163064295483</v>
      </c>
      <c r="U49" s="138">
        <f ca="1">OFFSET(IND!X$25,$E49,0)</f>
        <v>0.86391874145006842</v>
      </c>
      <c r="V49" s="138">
        <f ca="1">OFFSET(IND!Y$25,$E49,0)</f>
        <v>0.89847549110807123</v>
      </c>
      <c r="W49" s="138">
        <f ca="1">OFFSET(IND!Z$25,$E49,0)</f>
        <v>0.93431212038303701</v>
      </c>
      <c r="X49" s="138">
        <f ca="1">OFFSET(IND!AA$25,$E49,0)</f>
        <v>0.97782802735978114</v>
      </c>
      <c r="Y49" s="219">
        <f ca="1">OFFSET(IND!AB$25,$E49,0)</f>
        <v>1.0264634528043777</v>
      </c>
      <c r="Z49" s="138">
        <f ca="1">OFFSET(IND!AC$25,$E49,0)</f>
        <v>1.0699793597811218</v>
      </c>
      <c r="AA49" s="138">
        <f ca="1">OFFSET(IND!AD$25,$E49,0)</f>
        <v>1.1122153871409028</v>
      </c>
      <c r="AB49" s="138">
        <f ca="1">OFFSET(IND!AE$25,$E49,0)</f>
        <v>1.1480520164158687</v>
      </c>
      <c r="AC49" s="138">
        <f ca="1">OFFSET(IND!AF$25,$E49,0)</f>
        <v>1.1800490068399454</v>
      </c>
      <c r="AD49" s="138">
        <f ca="1">OFFSET(IND!AG$25,$E49,0)</f>
        <v>1.2069264787961695</v>
      </c>
      <c r="AE49" s="138">
        <f ca="1">OFFSET(IND!AH$25,$E49,0)</f>
        <v>1.2274045526675785</v>
      </c>
      <c r="AF49" s="138">
        <f ca="1">OFFSET(IND!AI$25,$E49,0)</f>
        <v>1.2440429876880985</v>
      </c>
      <c r="AG49" s="138">
        <f ca="1">OFFSET(IND!AJ$25,$E49,0)</f>
        <v>1.256841783857729</v>
      </c>
      <c r="AH49" s="138">
        <f ca="1">OFFSET(IND!AK$25,$E49,0)</f>
        <v>1.2709204596443229</v>
      </c>
      <c r="AI49" s="138">
        <f ca="1">OFFSET(IND!AL$25,$E49,0)</f>
        <v>1.2849991354309165</v>
      </c>
      <c r="AJ49" s="138">
        <f ca="1">OFFSET(IND!AM$25,$E49,0)</f>
        <v>1.4923396333789329</v>
      </c>
      <c r="AK49" s="138">
        <f ca="1">OFFSET(IND!AN$25,$E49,0)</f>
        <v>1.9006212311901505</v>
      </c>
      <c r="AL49" s="138">
        <f ca="1">OFFSET(IND!AO$25,$E49,0)</f>
        <v>2.4827531436388481</v>
      </c>
      <c r="AM49" s="138">
        <f ca="1">OFFSET(IND!AP$25,$E49,0)</f>
        <v>3.098375239398075</v>
      </c>
      <c r="AQ49" s="4"/>
    </row>
    <row r="50" spans="1:43">
      <c r="A50" s="36" t="s">
        <v>350</v>
      </c>
      <c r="B50" t="s">
        <v>386</v>
      </c>
      <c r="E50" s="141">
        <f ca="1">MATCH(F50,IND!$D$26:$D$255,0)</f>
        <v>135</v>
      </c>
      <c r="F50" s="4" t="str">
        <f t="shared" si="0"/>
        <v>INFP</v>
      </c>
      <c r="G50" s="138">
        <f ca="1">OFFSET(IND!J$25,$E50,0)</f>
        <v>0</v>
      </c>
      <c r="H50" s="138">
        <f ca="1">OFFSET(IND!K$25,$E50,0)</f>
        <v>0</v>
      </c>
      <c r="I50" s="138">
        <f ca="1">OFFSET(IND!L$25,$E50,0)</f>
        <v>0</v>
      </c>
      <c r="J50" s="138">
        <f ca="1">OFFSET(IND!M$25,$E50,0)</f>
        <v>0</v>
      </c>
      <c r="K50" s="138">
        <f ca="1">OFFSET(IND!N$25,$E50,0)</f>
        <v>0</v>
      </c>
      <c r="L50" s="138">
        <f ca="1">OFFSET(IND!O$25,$E50,0)</f>
        <v>0</v>
      </c>
      <c r="M50" s="138">
        <f ca="1">OFFSET(IND!P$25,$E50,0)</f>
        <v>0</v>
      </c>
      <c r="N50" s="138">
        <f ca="1">OFFSET(IND!Q$25,$E50,0)</f>
        <v>0</v>
      </c>
      <c r="O50" s="217">
        <f ca="1">OFFSET(IND!R$25,$E50,0)</f>
        <v>0</v>
      </c>
      <c r="P50" s="138">
        <f ca="1">OFFSET(IND!S$25,$E50,0)</f>
        <v>0</v>
      </c>
      <c r="Q50" s="138">
        <f ca="1">OFFSET(IND!T$25,$E50,0)</f>
        <v>0</v>
      </c>
      <c r="R50" s="138">
        <f ca="1">OFFSET(IND!U$25,$E50,0)</f>
        <v>0</v>
      </c>
      <c r="S50" s="138">
        <f ca="1">OFFSET(IND!V$25,$E50,0)</f>
        <v>0</v>
      </c>
      <c r="T50" s="217">
        <f ca="1">OFFSET(IND!W$25,$E50,0)</f>
        <v>0</v>
      </c>
      <c r="U50" s="138">
        <f ca="1">OFFSET(IND!X$25,$E50,0)</f>
        <v>0</v>
      </c>
      <c r="V50" s="138">
        <f ca="1">OFFSET(IND!Y$25,$E50,0)</f>
        <v>0</v>
      </c>
      <c r="W50" s="138">
        <f ca="1">OFFSET(IND!Z$25,$E50,0)</f>
        <v>0</v>
      </c>
      <c r="X50" s="138">
        <f ca="1">OFFSET(IND!AA$25,$E50,0)</f>
        <v>0</v>
      </c>
      <c r="Y50" s="219">
        <f ca="1">OFFSET(IND!AB$25,$E50,0)</f>
        <v>0</v>
      </c>
      <c r="Z50" s="138">
        <f ca="1">OFFSET(IND!AC$25,$E50,0)</f>
        <v>0</v>
      </c>
      <c r="AA50" s="138">
        <f ca="1">OFFSET(IND!AD$25,$E50,0)</f>
        <v>0</v>
      </c>
      <c r="AB50" s="138">
        <f ca="1">OFFSET(IND!AE$25,$E50,0)</f>
        <v>0</v>
      </c>
      <c r="AC50" s="138">
        <f ca="1">OFFSET(IND!AF$25,$E50,0)</f>
        <v>0</v>
      </c>
      <c r="AD50" s="138">
        <f ca="1">OFFSET(IND!AG$25,$E50,0)</f>
        <v>0</v>
      </c>
      <c r="AE50" s="138">
        <f ca="1">OFFSET(IND!AH$25,$E50,0)</f>
        <v>0</v>
      </c>
      <c r="AF50" s="138">
        <f ca="1">OFFSET(IND!AI$25,$E50,0)</f>
        <v>0</v>
      </c>
      <c r="AG50" s="138">
        <f ca="1">OFFSET(IND!AJ$25,$E50,0)</f>
        <v>0</v>
      </c>
      <c r="AH50" s="138">
        <f ca="1">OFFSET(IND!AK$25,$E50,0)</f>
        <v>0</v>
      </c>
      <c r="AI50" s="138">
        <f ca="1">OFFSET(IND!AL$25,$E50,0)</f>
        <v>0</v>
      </c>
      <c r="AJ50" s="138">
        <f ca="1">OFFSET(IND!AM$25,$E50,0)</f>
        <v>0</v>
      </c>
      <c r="AK50" s="138">
        <f ca="1">OFFSET(IND!AN$25,$E50,0)</f>
        <v>0</v>
      </c>
      <c r="AL50" s="138">
        <f ca="1">OFFSET(IND!AO$25,$E50,0)</f>
        <v>0</v>
      </c>
      <c r="AM50" s="138">
        <f ca="1">OFFSET(IND!AP$25,$E50,0)</f>
        <v>0</v>
      </c>
      <c r="AQ50" s="4"/>
    </row>
    <row r="51" spans="1:43">
      <c r="A51" s="36" t="s">
        <v>351</v>
      </c>
      <c r="B51">
        <v>0.51839999999999997</v>
      </c>
      <c r="E51" s="141">
        <f ca="1">MATCH(F51,IND!$D$26:$D$255,0)</f>
        <v>140</v>
      </c>
      <c r="F51" s="4" t="str">
        <f t="shared" si="0"/>
        <v>INFS</v>
      </c>
      <c r="G51" s="138">
        <f ca="1">OFFSET(IND!J$25,$E51,0)</f>
        <v>2.487856608</v>
      </c>
      <c r="H51" s="138">
        <f ca="1">OFFSET(IND!K$25,$E51,0)</f>
        <v>2.1088952651394659</v>
      </c>
      <c r="I51" s="138">
        <f ca="1">OFFSET(IND!L$25,$E51,0)</f>
        <v>1.916953805768546</v>
      </c>
      <c r="J51" s="138">
        <f ca="1">OFFSET(IND!M$25,$E51,0)</f>
        <v>0.65368000000000004</v>
      </c>
      <c r="K51" s="138">
        <f ca="1">OFFSET(IND!N$25,$E51,0)</f>
        <v>0.65368000000000004</v>
      </c>
      <c r="L51" s="138">
        <f ca="1">OFFSET(IND!O$25,$E51,0)</f>
        <v>0.65368000000000004</v>
      </c>
      <c r="M51" s="138">
        <f ca="1">OFFSET(IND!P$25,$E51,0)</f>
        <v>0.63847813953488375</v>
      </c>
      <c r="N51" s="138">
        <f ca="1">OFFSET(IND!Q$25,$E51,0)</f>
        <v>0.61254555403556776</v>
      </c>
      <c r="O51" s="217">
        <f ca="1">OFFSET(IND!R$25,$E51,0)</f>
        <v>0.50434407660738712</v>
      </c>
      <c r="P51" s="138">
        <f ca="1">OFFSET(IND!S$25,$E51,0)</f>
        <v>0.52669975376196987</v>
      </c>
      <c r="Q51" s="138">
        <f ca="1">OFFSET(IND!T$25,$E51,0)</f>
        <v>0.53653625170998631</v>
      </c>
      <c r="R51" s="138">
        <f ca="1">OFFSET(IND!U$25,$E51,0)</f>
        <v>0.54637274965800275</v>
      </c>
      <c r="S51" s="138">
        <f ca="1">OFFSET(IND!V$25,$E51,0)</f>
        <v>0.5624688372093023</v>
      </c>
      <c r="T51" s="217">
        <f ca="1">OFFSET(IND!W$25,$E51,0)</f>
        <v>0.58214183310533507</v>
      </c>
      <c r="U51" s="138">
        <f ca="1">OFFSET(IND!X$25,$E51,0)</f>
        <v>0.60360328317373457</v>
      </c>
      <c r="V51" s="138">
        <f ca="1">OFFSET(IND!Y$25,$E51,0)</f>
        <v>0.62774741450068394</v>
      </c>
      <c r="W51" s="138">
        <f ca="1">OFFSET(IND!Z$25,$E51,0)</f>
        <v>0.65278577291381668</v>
      </c>
      <c r="X51" s="138">
        <f ca="1">OFFSET(IND!AA$25,$E51,0)</f>
        <v>0.68318949384404914</v>
      </c>
      <c r="Y51" s="219">
        <f ca="1">OFFSET(IND!AB$25,$E51,0)</f>
        <v>0.71717012311901496</v>
      </c>
      <c r="Z51" s="138">
        <f ca="1">OFFSET(IND!AC$25,$E51,0)</f>
        <v>0.74757384404924743</v>
      </c>
      <c r="AA51" s="138">
        <f ca="1">OFFSET(IND!AD$25,$E51,0)</f>
        <v>0.77708333789329664</v>
      </c>
      <c r="AB51" s="138">
        <f ca="1">OFFSET(IND!AE$25,$E51,0)</f>
        <v>0.80212169630642938</v>
      </c>
      <c r="AC51" s="138">
        <f ca="1">OFFSET(IND!AF$25,$E51,0)</f>
        <v>0.82447737346101213</v>
      </c>
      <c r="AD51" s="138">
        <f ca="1">OFFSET(IND!AG$25,$E51,0)</f>
        <v>0.84325614227086154</v>
      </c>
      <c r="AE51" s="138">
        <f ca="1">OFFSET(IND!AH$25,$E51,0)</f>
        <v>0.85756377564979458</v>
      </c>
      <c r="AF51" s="138">
        <f ca="1">OFFSET(IND!AI$25,$E51,0)</f>
        <v>0.86918872777017775</v>
      </c>
      <c r="AG51" s="138">
        <f ca="1">OFFSET(IND!AJ$25,$E51,0)</f>
        <v>0.87813099863201072</v>
      </c>
      <c r="AH51" s="138">
        <f ca="1">OFFSET(IND!AK$25,$E51,0)</f>
        <v>0.88796749658002716</v>
      </c>
      <c r="AI51" s="138">
        <f ca="1">OFFSET(IND!AL$25,$E51,0)</f>
        <v>0.89780399452804349</v>
      </c>
      <c r="AJ51" s="138">
        <f ca="1">OFFSET(IND!AM$25,$E51,0)</f>
        <v>1.0426687824897398</v>
      </c>
      <c r="AK51" s="138">
        <f ca="1">OFFSET(IND!AN$25,$E51,0)</f>
        <v>1.3279272229822159</v>
      </c>
      <c r="AL51" s="138">
        <f ca="1">OFFSET(IND!AO$25,$E51,0)</f>
        <v>1.7346515093479229</v>
      </c>
      <c r="AM51" s="138">
        <f ca="1">OFFSET(IND!AP$25,$E51,0)</f>
        <v>2.1647747378020901</v>
      </c>
      <c r="AQ51" s="4"/>
    </row>
    <row r="52" spans="1:43">
      <c r="A52" s="36" t="s">
        <v>352</v>
      </c>
      <c r="B52">
        <v>0.24189876324029999</v>
      </c>
      <c r="E52" s="141">
        <f ca="1">MATCH(F52,IND!$D$26:$D$255,0)</f>
        <v>209</v>
      </c>
      <c r="F52" s="4" t="str">
        <f t="shared" si="0"/>
        <v>IOTA</v>
      </c>
      <c r="G52" s="138">
        <f ca="1">OFFSET(IND!J$25,$E52,0)</f>
        <v>0.22789646617646991</v>
      </c>
      <c r="H52" s="138">
        <f ca="1">OFFSET(IND!K$25,$E52,0)</f>
        <v>0.23441885336130819</v>
      </c>
      <c r="I52" s="138">
        <f ca="1">OFFSET(IND!L$25,$E52,0)</f>
        <v>0.23889936562626385</v>
      </c>
      <c r="J52" s="138">
        <f ca="1">OFFSET(IND!M$25,$E52,0)</f>
        <v>0.12355272</v>
      </c>
      <c r="K52" s="138">
        <f ca="1">OFFSET(IND!N$25,$E52,0)</f>
        <v>0.12355272</v>
      </c>
      <c r="L52" s="138">
        <f ca="1">OFFSET(IND!O$25,$E52,0)</f>
        <v>0.12355272</v>
      </c>
      <c r="M52" s="138">
        <f ca="1">OFFSET(IND!P$25,$E52,0)</f>
        <v>0.12541923598450161</v>
      </c>
      <c r="N52" s="138">
        <f ca="1">OFFSET(IND!Q$25,$E52,0)</f>
        <v>0.1263670005776682</v>
      </c>
      <c r="O52" s="217">
        <f ca="1">OFFSET(IND!R$25,$E52,0)</f>
        <v>0.11505185186333217</v>
      </c>
      <c r="P52" s="138">
        <f ca="1">OFFSET(IND!S$25,$E52,0)</f>
        <v>0.12022587285663966</v>
      </c>
      <c r="Q52" s="138">
        <f ca="1">OFFSET(IND!T$25,$E52,0)</f>
        <v>0.12482446534695314</v>
      </c>
      <c r="R52" s="138">
        <f ca="1">OFFSET(IND!U$25,$E52,0)</f>
        <v>0.12970351878830574</v>
      </c>
      <c r="S52" s="138">
        <f ca="1">OFFSET(IND!V$25,$E52,0)</f>
        <v>0.13525954693906306</v>
      </c>
      <c r="T52" s="217">
        <f ca="1">OFFSET(IND!W$25,$E52,0)</f>
        <v>0.14125560865093342</v>
      </c>
      <c r="U52" s="138">
        <f ca="1">OFFSET(IND!X$25,$E52,0)</f>
        <v>0.14789963187037689</v>
      </c>
      <c r="V52" s="138">
        <f ca="1">OFFSET(IND!Y$25,$E52,0)</f>
        <v>0.15499819525184924</v>
      </c>
      <c r="W52" s="138">
        <f ca="1">OFFSET(IND!Z$25,$E52,0)</f>
        <v>0.16266251606903839</v>
      </c>
      <c r="X52" s="138">
        <f ca="1">OFFSET(IND!AA$25,$E52,0)</f>
        <v>0.17133746341669603</v>
      </c>
      <c r="Y52" s="219">
        <f ca="1">OFFSET(IND!AB$25,$E52,0)</f>
        <v>0.1804331021909123</v>
      </c>
      <c r="Z52" s="138">
        <f ca="1">OFFSET(IND!AC$25,$E52,0)</f>
        <v>0.18978018871433608</v>
      </c>
      <c r="AA52" s="138">
        <f ca="1">OFFSET(IND!AD$25,$E52,0)</f>
        <v>0.19966401947164497</v>
      </c>
      <c r="AB52" s="138">
        <f ca="1">OFFSET(IND!AE$25,$E52,0)</f>
        <v>0.21000722592462137</v>
      </c>
      <c r="AC52" s="138">
        <f ca="1">OFFSET(IND!AF$25,$E52,0)</f>
        <v>0.22104191368791828</v>
      </c>
      <c r="AD52" s="138">
        <f ca="1">OFFSET(IND!AG$25,$E52,0)</f>
        <v>0.23201857504755197</v>
      </c>
      <c r="AE52" s="138">
        <f ca="1">OFFSET(IND!AH$25,$E52,0)</f>
        <v>0.24349813190560055</v>
      </c>
      <c r="AF52" s="138">
        <f ca="1">OFFSET(IND!AI$25,$E52,0)</f>
        <v>0.25639933565339906</v>
      </c>
      <c r="AG52" s="138">
        <f ca="1">OFFSET(IND!AJ$25,$E52,0)</f>
        <v>0.26996300750968644</v>
      </c>
      <c r="AH52" s="138">
        <f ca="1">OFFSET(IND!AK$25,$E52,0)</f>
        <v>0.28422783174357164</v>
      </c>
      <c r="AI52" s="138">
        <f ca="1">OFFSET(IND!AL$25,$E52,0)</f>
        <v>0.29902456467770339</v>
      </c>
      <c r="AJ52" s="138">
        <f ca="1">OFFSET(IND!AM$25,$E52,0)</f>
        <v>0.38668311847833736</v>
      </c>
      <c r="AK52" s="138">
        <f ca="1">OFFSET(IND!AN$25,$E52,0)</f>
        <v>0.49713154231771739</v>
      </c>
      <c r="AL52" s="138">
        <f ca="1">OFFSET(IND!AO$25,$E52,0)</f>
        <v>0.69144020828461117</v>
      </c>
      <c r="AM52" s="138">
        <f ca="1">OFFSET(IND!AP$25,$E52,0)</f>
        <v>0.88954718592462634</v>
      </c>
      <c r="AQ52" s="4"/>
    </row>
    <row r="53" spans="1:43">
      <c r="A53" s="36" t="s">
        <v>353</v>
      </c>
      <c r="B53">
        <v>4.5502640185010002</v>
      </c>
      <c r="E53" s="141">
        <f ca="1">MATCH(F53,IND!$D$26:$D$255,0)</f>
        <v>211</v>
      </c>
      <c r="F53" s="4" t="str">
        <f t="shared" si="0"/>
        <v>IOTC</v>
      </c>
      <c r="G53" s="138">
        <f ca="1">OFFSET(IND!J$25,$E53,0)</f>
        <v>4.2868722274366169</v>
      </c>
      <c r="H53" s="138">
        <f ca="1">OFFSET(IND!K$25,$E53,0)</f>
        <v>4.4095623285530623</v>
      </c>
      <c r="I53" s="138">
        <f ca="1">OFFSET(IND!L$25,$E53,0)</f>
        <v>4.4938435107740027</v>
      </c>
      <c r="J53" s="138">
        <f ca="1">OFFSET(IND!M$25,$E53,0)</f>
        <v>2.3241024000000006</v>
      </c>
      <c r="K53" s="138">
        <f ca="1">OFFSET(IND!N$25,$E53,0)</f>
        <v>2.3241024000000006</v>
      </c>
      <c r="L53" s="138">
        <f ca="1">OFFSET(IND!O$25,$E53,0)</f>
        <v>2.3241024000000006</v>
      </c>
      <c r="M53" s="138">
        <f ca="1">OFFSET(IND!P$25,$E53,0)</f>
        <v>2.3592127098274047</v>
      </c>
      <c r="N53" s="138">
        <f ca="1">OFFSET(IND!Q$25,$E53,0)</f>
        <v>2.3770407427967597</v>
      </c>
      <c r="O53" s="217">
        <f ca="1">OFFSET(IND!R$25,$E53,0)</f>
        <v>2.1641958593871085</v>
      </c>
      <c r="P53" s="138">
        <f ca="1">OFFSET(IND!S$25,$E53,0)</f>
        <v>2.2615223659034873</v>
      </c>
      <c r="Q53" s="138">
        <f ca="1">OFFSET(IND!T$25,$E53,0)</f>
        <v>2.3480247095456144</v>
      </c>
      <c r="R53" s="138">
        <f ca="1">OFFSET(IND!U$25,$E53,0)</f>
        <v>2.4398026955970411</v>
      </c>
      <c r="S53" s="138">
        <f ca="1">OFFSET(IND!V$25,$E53,0)</f>
        <v>2.5443149909122931</v>
      </c>
      <c r="T53" s="217">
        <f ca="1">OFFSET(IND!W$25,$E53,0)</f>
        <v>2.6571045872490311</v>
      </c>
      <c r="U53" s="138">
        <f ca="1">OFFSET(IND!X$25,$E53,0)</f>
        <v>2.7820827367382877</v>
      </c>
      <c r="V53" s="138">
        <f ca="1">OFFSET(IND!Y$25,$E53,0)</f>
        <v>2.9156110653046845</v>
      </c>
      <c r="W53" s="138">
        <f ca="1">OFFSET(IND!Z$25,$E53,0)</f>
        <v>3.0597816380415637</v>
      </c>
      <c r="X53" s="138">
        <f ca="1">OFFSET(IND!AA$25,$E53,0)</f>
        <v>3.2229627153222968</v>
      </c>
      <c r="Y53" s="219">
        <f ca="1">OFFSET(IND!AB$25,$E53,0)</f>
        <v>3.394057256216978</v>
      </c>
      <c r="Z53" s="138">
        <f ca="1">OFFSET(IND!AC$25,$E53,0)</f>
        <v>3.5698816834096521</v>
      </c>
      <c r="AA53" s="138">
        <f ca="1">OFFSET(IND!AD$25,$E53,0)</f>
        <v>3.7558025986615009</v>
      </c>
      <c r="AB53" s="138">
        <f ca="1">OFFSET(IND!AE$25,$E53,0)</f>
        <v>3.9503646523423748</v>
      </c>
      <c r="AC53" s="138">
        <f ca="1">OFFSET(IND!AF$25,$E53,0)</f>
        <v>4.1579338933427268</v>
      </c>
      <c r="AD53" s="138">
        <f ca="1">OFFSET(IND!AG$25,$E53,0)</f>
        <v>4.3644116221204659</v>
      </c>
      <c r="AE53" s="138">
        <f ca="1">OFFSET(IND!AH$25,$E53,0)</f>
        <v>4.5803491234941882</v>
      </c>
      <c r="AF53" s="138">
        <f ca="1">OFFSET(IND!AI$25,$E53,0)</f>
        <v>4.8230286743219439</v>
      </c>
      <c r="AG53" s="138">
        <f ca="1">OFFSET(IND!AJ$25,$E53,0)</f>
        <v>5.0781696563578711</v>
      </c>
      <c r="AH53" s="138">
        <f ca="1">OFFSET(IND!AK$25,$E53,0)</f>
        <v>5.3464997444170468</v>
      </c>
      <c r="AI53" s="138">
        <f ca="1">OFFSET(IND!AL$25,$E53,0)</f>
        <v>5.6248353611835142</v>
      </c>
      <c r="AJ53" s="138">
        <f ca="1">OFFSET(IND!AM$25,$E53,0)</f>
        <v>7.2737464921451194</v>
      </c>
      <c r="AK53" s="138">
        <f ca="1">OFFSET(IND!AN$25,$E53,0)</f>
        <v>9.3513490485382142</v>
      </c>
      <c r="AL53" s="138">
        <f ca="1">OFFSET(IND!AO$25,$E53,0)</f>
        <v>13.006414164987742</v>
      </c>
      <c r="AM53" s="138">
        <f ca="1">OFFSET(IND!AP$25,$E53,0)</f>
        <v>16.732927852342463</v>
      </c>
      <c r="AQ53" s="4"/>
    </row>
    <row r="54" spans="1:43">
      <c r="A54" s="36" t="s">
        <v>354</v>
      </c>
      <c r="B54">
        <v>0.43799389606880001</v>
      </c>
      <c r="E54" s="141">
        <f ca="1">MATCH(F54,IND!$D$26:$D$255,0)</f>
        <v>216</v>
      </c>
      <c r="F54" s="4" t="str">
        <f t="shared" si="0"/>
        <v>IOTE</v>
      </c>
      <c r="G54" s="138">
        <f ca="1">OFFSET(IND!J$25,$E54,0)</f>
        <v>0.41264064265496897</v>
      </c>
      <c r="H54" s="138">
        <f ca="1">OFFSET(IND!K$25,$E54,0)</f>
        <v>0.42445040032585857</v>
      </c>
      <c r="I54" s="138">
        <f ca="1">OFFSET(IND!L$25,$E54,0)</f>
        <v>0.43256303801372481</v>
      </c>
      <c r="J54" s="138">
        <f ca="1">OFFSET(IND!M$25,$E54,0)</f>
        <v>0.22371068160000002</v>
      </c>
      <c r="K54" s="138">
        <f ca="1">OFFSET(IND!N$25,$E54,0)</f>
        <v>0.22371068160000002</v>
      </c>
      <c r="L54" s="138">
        <f ca="1">OFFSET(IND!O$25,$E54,0)</f>
        <v>0.22371068160000002</v>
      </c>
      <c r="M54" s="138">
        <f ca="1">OFFSET(IND!P$25,$E54,0)</f>
        <v>0.22709028799887288</v>
      </c>
      <c r="N54" s="138">
        <f ca="1">OFFSET(IND!Q$25,$E54,0)</f>
        <v>0.22880635756928494</v>
      </c>
      <c r="O54" s="217">
        <f ca="1">OFFSET(IND!R$25,$E54,0)</f>
        <v>0.20831858820824234</v>
      </c>
      <c r="P54" s="138">
        <f ca="1">OFFSET(IND!S$25,$E54,0)</f>
        <v>0.21768692718957378</v>
      </c>
      <c r="Q54" s="138">
        <f ca="1">OFFSET(IND!T$25,$E54,0)</f>
        <v>0.22601336678886927</v>
      </c>
      <c r="R54" s="138">
        <f ca="1">OFFSET(IND!U$25,$E54,0)</f>
        <v>0.23484762289369493</v>
      </c>
      <c r="S54" s="138">
        <f ca="1">OFFSET(IND!V$25,$E54,0)</f>
        <v>0.2449076429773864</v>
      </c>
      <c r="T54" s="217">
        <f ca="1">OFFSET(IND!W$25,$E54,0)</f>
        <v>0.2557644096473406</v>
      </c>
      <c r="U54" s="138">
        <f ca="1">OFFSET(IND!X$25,$E54,0)</f>
        <v>0.26779440755420919</v>
      </c>
      <c r="V54" s="138">
        <f ca="1">OFFSET(IND!Y$25,$E54,0)</f>
        <v>0.28064741841831625</v>
      </c>
      <c r="W54" s="138">
        <f ca="1">OFFSET(IND!Z$25,$E54,0)</f>
        <v>0.29452481775047545</v>
      </c>
      <c r="X54" s="138">
        <f ca="1">OFFSET(IND!AA$25,$E54,0)</f>
        <v>0.31023210759394149</v>
      </c>
      <c r="Y54" s="219">
        <f ca="1">OFFSET(IND!AB$25,$E54,0)</f>
        <v>0.32670112219570269</v>
      </c>
      <c r="Z54" s="138">
        <f ca="1">OFFSET(IND!AC$25,$E54,0)</f>
        <v>0.34362542056104267</v>
      </c>
      <c r="AA54" s="138">
        <f ca="1">OFFSET(IND!AD$25,$E54,0)</f>
        <v>0.3615215746524833</v>
      </c>
      <c r="AB54" s="138">
        <f ca="1">OFFSET(IND!AE$25,$E54,0)</f>
        <v>0.38024949715815431</v>
      </c>
      <c r="AC54" s="138">
        <f ca="1">OFFSET(IND!AF$25,$E54,0)</f>
        <v>0.40022945001366678</v>
      </c>
      <c r="AD54" s="138">
        <f ca="1">OFFSET(IND!AG$25,$E54,0)</f>
        <v>0.42010433738527653</v>
      </c>
      <c r="AE54" s="138">
        <f ca="1">OFFSET(IND!AH$25,$E54,0)</f>
        <v>0.44088979228404368</v>
      </c>
      <c r="AF54" s="138">
        <f ca="1">OFFSET(IND!AI$25,$E54,0)</f>
        <v>0.464249351538429</v>
      </c>
      <c r="AG54" s="138">
        <f ca="1">OFFSET(IND!AJ$25,$E54,0)</f>
        <v>0.48880840840070439</v>
      </c>
      <c r="AH54" s="138">
        <f ca="1">OFFSET(IND!AK$25,$E54,0)</f>
        <v>0.51463700652680511</v>
      </c>
      <c r="AI54" s="138">
        <f ca="1">OFFSET(IND!AL$25,$E54,0)</f>
        <v>0.54142870492201467</v>
      </c>
      <c r="AJ54" s="138">
        <f ca="1">OFFSET(IND!AM$25,$E54,0)</f>
        <v>0.70014762927115159</v>
      </c>
      <c r="AK54" s="138">
        <f ca="1">OFFSET(IND!AN$25,$E54,0)</f>
        <v>0.90013102242310639</v>
      </c>
      <c r="AL54" s="138">
        <f ca="1">OFFSET(IND!AO$25,$E54,0)</f>
        <v>1.2519559284570692</v>
      </c>
      <c r="AM54" s="138">
        <f ca="1">OFFSET(IND!AP$25,$E54,0)</f>
        <v>1.6106582459581631</v>
      </c>
      <c r="AQ54" s="4"/>
    </row>
    <row r="55" spans="1:43">
      <c r="A55" s="36" t="s">
        <v>355</v>
      </c>
      <c r="B55">
        <v>1.959977536374</v>
      </c>
      <c r="E55" s="141">
        <f ca="1">MATCH(F55,IND!$D$26:$D$255,0)</f>
        <v>214</v>
      </c>
      <c r="F55" s="4" t="str">
        <f t="shared" si="0"/>
        <v>IOTF</v>
      </c>
      <c r="G55" s="138">
        <f ca="1">OFFSET(IND!J$25,$E55,0)</f>
        <v>1.8465243407674456</v>
      </c>
      <c r="H55" s="138">
        <f ca="1">OFFSET(IND!K$25,$E55,0)</f>
        <v>1.8993717889915331</v>
      </c>
      <c r="I55" s="138">
        <f ca="1">OFFSET(IND!L$25,$E55,0)</f>
        <v>1.9356750063917594</v>
      </c>
      <c r="J55" s="138">
        <f ca="1">OFFSET(IND!M$25,$E55,0)</f>
        <v>1.0010822400000001</v>
      </c>
      <c r="K55" s="138">
        <f ca="1">OFFSET(IND!N$25,$E55,0)</f>
        <v>1.0010822400000001</v>
      </c>
      <c r="L55" s="138">
        <f ca="1">OFFSET(IND!O$25,$E55,0)</f>
        <v>1.0010822400000001</v>
      </c>
      <c r="M55" s="138">
        <f ca="1">OFFSET(IND!P$25,$E55,0)</f>
        <v>1.0162056302641778</v>
      </c>
      <c r="N55" s="138">
        <f ca="1">OFFSET(IND!Q$25,$E55,0)</f>
        <v>1.0238848646988377</v>
      </c>
      <c r="O55" s="217">
        <f ca="1">OFFSET(IND!R$25,$E55,0)</f>
        <v>0.93220420869320186</v>
      </c>
      <c r="P55" s="138">
        <f ca="1">OFFSET(IND!S$25,$E55,0)</f>
        <v>0.97412655994364217</v>
      </c>
      <c r="Q55" s="138">
        <f ca="1">OFFSET(IND!T$25,$E55,0)</f>
        <v>1.011386518858753</v>
      </c>
      <c r="R55" s="138">
        <f ca="1">OFFSET(IND!U$25,$E55,0)</f>
        <v>1.0509189042902431</v>
      </c>
      <c r="S55" s="138">
        <f ca="1">OFFSET(IND!V$25,$E55,0)</f>
        <v>1.0959364571750618</v>
      </c>
      <c r="T55" s="217">
        <f ca="1">OFFSET(IND!W$25,$E55,0)</f>
        <v>1.1445193689045441</v>
      </c>
      <c r="U55" s="138">
        <f ca="1">OFFSET(IND!X$25,$E55,0)</f>
        <v>1.1983523694822122</v>
      </c>
      <c r="V55" s="138">
        <f ca="1">OFFSET(IND!Y$25,$E55,0)</f>
        <v>1.2558682682071154</v>
      </c>
      <c r="W55" s="138">
        <f ca="1">OFFSET(IND!Z$25,$E55,0)</f>
        <v>1.3179681997323003</v>
      </c>
      <c r="X55" s="138">
        <f ca="1">OFFSET(IND!AA$25,$E55,0)</f>
        <v>1.3882567026699546</v>
      </c>
      <c r="Y55" s="219">
        <f ca="1">OFFSET(IND!AB$25,$E55,0)</f>
        <v>1.4619538453821772</v>
      </c>
      <c r="Z55" s="138">
        <f ca="1">OFFSET(IND!AC$25,$E55,0)</f>
        <v>1.5376883360056366</v>
      </c>
      <c r="AA55" s="138">
        <f ca="1">OFFSET(IND!AD$25,$E55,0)</f>
        <v>1.6177717808242347</v>
      </c>
      <c r="AB55" s="138">
        <f ca="1">OFFSET(IND!AE$25,$E55,0)</f>
        <v>1.7015773035575916</v>
      </c>
      <c r="AC55" s="138">
        <f ca="1">OFFSET(IND!AF$25,$E55,0)</f>
        <v>1.7909855330468483</v>
      </c>
      <c r="AD55" s="138">
        <f ca="1">OFFSET(IND!AG$25,$E55,0)</f>
        <v>1.8799236053258199</v>
      </c>
      <c r="AE55" s="138">
        <f ca="1">OFFSET(IND!AH$25,$E55,0)</f>
        <v>1.972936373427264</v>
      </c>
      <c r="AF55" s="138">
        <f ca="1">OFFSET(IND!AI$25,$E55,0)</f>
        <v>2.0774679931806981</v>
      </c>
      <c r="AG55" s="138">
        <f ca="1">OFFSET(IND!AJ$25,$E55,0)</f>
        <v>2.1873672410848894</v>
      </c>
      <c r="AH55" s="138">
        <f ca="1">OFFSET(IND!AK$25,$E55,0)</f>
        <v>2.3029475552800287</v>
      </c>
      <c r="AI55" s="138">
        <f ca="1">OFFSET(IND!AL$25,$E55,0)</f>
        <v>2.4228376439027834</v>
      </c>
      <c r="AJ55" s="138">
        <f ca="1">OFFSET(IND!AM$25,$E55,0)</f>
        <v>3.1330884695737944</v>
      </c>
      <c r="AK55" s="138">
        <f ca="1">OFFSET(IND!AN$25,$E55,0)</f>
        <v>4.0279935395843616</v>
      </c>
      <c r="AL55" s="138">
        <f ca="1">OFFSET(IND!AO$25,$E55,0)</f>
        <v>5.6023737278760466</v>
      </c>
      <c r="AM55" s="138">
        <f ca="1">OFFSET(IND!AP$25,$E55,0)</f>
        <v>7.207529623557634</v>
      </c>
      <c r="AQ55" s="4"/>
    </row>
    <row r="56" spans="1:43">
      <c r="A56" s="36" t="s">
        <v>356</v>
      </c>
      <c r="B56">
        <v>3.382156358499</v>
      </c>
      <c r="E56" s="141">
        <f ca="1">MATCH(F56,IND!$D$26:$D$255,0)</f>
        <v>212</v>
      </c>
      <c r="F56" s="4" t="str">
        <f t="shared" si="0"/>
        <v>IOTH</v>
      </c>
      <c r="G56" s="138">
        <f ca="1">OFFSET(IND!J$25,$E56,0)</f>
        <v>3.1863804172999206</v>
      </c>
      <c r="H56" s="138">
        <f ca="1">OFFSET(IND!K$25,$E56,0)</f>
        <v>3.277574489540267</v>
      </c>
      <c r="I56" s="138">
        <f ca="1">OFFSET(IND!L$25,$E56,0)</f>
        <v>3.3402196756638283</v>
      </c>
      <c r="J56" s="138">
        <f ca="1">OFFSET(IND!M$25,$E56,0)</f>
        <v>1.7274772800000002</v>
      </c>
      <c r="K56" s="138">
        <f ca="1">OFFSET(IND!N$25,$E56,0)</f>
        <v>1.7274772800000002</v>
      </c>
      <c r="L56" s="138">
        <f ca="1">OFFSET(IND!O$25,$E56,0)</f>
        <v>1.7274772800000002</v>
      </c>
      <c r="M56" s="138">
        <f ca="1">OFFSET(IND!P$25,$E56,0)</f>
        <v>1.7535743497851359</v>
      </c>
      <c r="N56" s="138">
        <f ca="1">OFFSET(IND!Q$25,$E56,0)</f>
        <v>1.7668257116449455</v>
      </c>
      <c r="O56" s="217">
        <f ca="1">OFFSET(IND!R$25,$E56,0)</f>
        <v>1.6086206771961959</v>
      </c>
      <c r="P56" s="138">
        <f ca="1">OFFSET(IND!S$25,$E56,0)</f>
        <v>1.6809622955125045</v>
      </c>
      <c r="Q56" s="138">
        <f ca="1">OFFSET(IND!T$25,$E56,0)</f>
        <v>1.7452584441282142</v>
      </c>
      <c r="R56" s="138">
        <f ca="1">OFFSET(IND!U$25,$E56,0)</f>
        <v>1.8134759141106025</v>
      </c>
      <c r="S56" s="138">
        <f ca="1">OFFSET(IND!V$25,$E56,0)</f>
        <v>1.8911586425642837</v>
      </c>
      <c r="T56" s="217">
        <f ca="1">OFFSET(IND!W$25,$E56,0)</f>
        <v>1.9749937890243048</v>
      </c>
      <c r="U56" s="138">
        <f ca="1">OFFSET(IND!X$25,$E56,0)</f>
        <v>2.0678885400211344</v>
      </c>
      <c r="V56" s="138">
        <f ca="1">OFFSET(IND!Y$25,$E56,0)</f>
        <v>2.1671385359915467</v>
      </c>
      <c r="W56" s="138">
        <f ca="1">OFFSET(IND!Z$25,$E56,0)</f>
        <v>2.2742987836843964</v>
      </c>
      <c r="X56" s="138">
        <f ca="1">OFFSET(IND!AA$25,$E56,0)</f>
        <v>2.3955893100951045</v>
      </c>
      <c r="Y56" s="219">
        <f ca="1">OFFSET(IND!AB$25,$E56,0)</f>
        <v>2.5227618185558298</v>
      </c>
      <c r="Z56" s="138">
        <f ca="1">OFFSET(IND!AC$25,$E56,0)</f>
        <v>2.6534499944487506</v>
      </c>
      <c r="AA56" s="138">
        <f ca="1">OFFSET(IND!AD$25,$E56,0)</f>
        <v>2.7916427681296239</v>
      </c>
      <c r="AB56" s="138">
        <f ca="1">OFFSET(IND!AE$25,$E56,0)</f>
        <v>2.9362583957731605</v>
      </c>
      <c r="AC56" s="138">
        <f ca="1">OFFSET(IND!AF$25,$E56,0)</f>
        <v>3.0905421088552316</v>
      </c>
      <c r="AD56" s="138">
        <f ca="1">OFFSET(IND!AG$25,$E56,0)</f>
        <v>3.244014514068335</v>
      </c>
      <c r="AE56" s="138">
        <f ca="1">OFFSET(IND!AH$25,$E56,0)</f>
        <v>3.404518254145827</v>
      </c>
      <c r="AF56" s="138">
        <f ca="1">OFFSET(IND!AI$25,$E56,0)</f>
        <v>3.5848990370130336</v>
      </c>
      <c r="AG56" s="138">
        <f ca="1">OFFSET(IND!AJ$25,$E56,0)</f>
        <v>3.7745422513842906</v>
      </c>
      <c r="AH56" s="138">
        <f ca="1">OFFSET(IND!AK$25,$E56,0)</f>
        <v>3.9739887691722444</v>
      </c>
      <c r="AI56" s="138">
        <f ca="1">OFFSET(IND!AL$25,$E56,0)</f>
        <v>4.1808722757590706</v>
      </c>
      <c r="AJ56" s="138">
        <f ca="1">OFFSET(IND!AM$25,$E56,0)</f>
        <v>5.4064880298133149</v>
      </c>
      <c r="AK56" s="138">
        <f ca="1">OFFSET(IND!AN$25,$E56,0)</f>
        <v>6.9507449494047204</v>
      </c>
      <c r="AL56" s="138">
        <f ca="1">OFFSET(IND!AO$25,$E56,0)</f>
        <v>9.6675107621275664</v>
      </c>
      <c r="AM56" s="138">
        <f ca="1">OFFSET(IND!AP$25,$E56,0)</f>
        <v>12.437383435773233</v>
      </c>
      <c r="AQ56" s="4"/>
    </row>
    <row r="57" spans="1:43">
      <c r="A57" s="36" t="s">
        <v>357</v>
      </c>
      <c r="B57">
        <v>4.2714054259280001</v>
      </c>
      <c r="E57" s="141">
        <f ca="1">MATCH(F57,IND!$D$26:$D$255,0)</f>
        <v>208</v>
      </c>
      <c r="F57" s="4" t="str">
        <f t="shared" si="0"/>
        <v>IOTK</v>
      </c>
      <c r="G57" s="138">
        <f ca="1">OFFSET(IND!J$25,$E57,0)</f>
        <v>4.0241553496851505</v>
      </c>
      <c r="H57" s="138">
        <f ca="1">OFFSET(IND!K$25,$E57,0)</f>
        <v>4.1393265049160552</v>
      </c>
      <c r="I57" s="138">
        <f ca="1">OFFSET(IND!L$25,$E57,0)</f>
        <v>4.2184425952304601</v>
      </c>
      <c r="J57" s="138">
        <f ca="1">OFFSET(IND!M$25,$E57,0)</f>
        <v>2.1816720000000003</v>
      </c>
      <c r="K57" s="138">
        <f ca="1">OFFSET(IND!N$25,$E57,0)</f>
        <v>2.1816720000000003</v>
      </c>
      <c r="L57" s="138">
        <f ca="1">OFFSET(IND!O$25,$E57,0)</f>
        <v>2.1816720000000003</v>
      </c>
      <c r="M57" s="138">
        <f ca="1">OFFSET(IND!P$25,$E57,0)</f>
        <v>2.21463060796055</v>
      </c>
      <c r="N57" s="138">
        <f ca="1">OFFSET(IND!Q$25,$E57,0)</f>
        <v>2.2313660669249735</v>
      </c>
      <c r="O57" s="217">
        <f ca="1">OFFSET(IND!R$25,$E57,0)</f>
        <v>2.0315651792884819</v>
      </c>
      <c r="P57" s="138">
        <f ca="1">OFFSET(IND!S$25,$E57,0)</f>
        <v>2.1229271236350828</v>
      </c>
      <c r="Q57" s="138">
        <f ca="1">OFFSET(IND!T$25,$E57,0)</f>
        <v>2.2041282536104259</v>
      </c>
      <c r="R57" s="138">
        <f ca="1">OFFSET(IND!U$25,$E57,0)</f>
        <v>2.2902817132793238</v>
      </c>
      <c r="S57" s="138">
        <f ca="1">OFFSET(IND!V$25,$E57,0)</f>
        <v>2.3883890722085246</v>
      </c>
      <c r="T57" s="217">
        <f ca="1">OFFSET(IND!W$25,$E57,0)</f>
        <v>2.494266465656922</v>
      </c>
      <c r="U57" s="138">
        <f ca="1">OFFSET(IND!X$25,$E57,0)</f>
        <v>2.6115854483973235</v>
      </c>
      <c r="V57" s="138">
        <f ca="1">OFFSET(IND!Y$25,$E57,0)</f>
        <v>2.7369306206410715</v>
      </c>
      <c r="W57" s="138">
        <f ca="1">OFFSET(IND!Z$25,$E57,0)</f>
        <v>2.8722658372666441</v>
      </c>
      <c r="X57" s="138">
        <f ca="1">OFFSET(IND!AA$25,$E57,0)</f>
        <v>3.0254465177879548</v>
      </c>
      <c r="Y57" s="219">
        <f ca="1">OFFSET(IND!AB$25,$E57,0)</f>
        <v>3.1860556928495964</v>
      </c>
      <c r="Z57" s="138">
        <f ca="1">OFFSET(IND!AC$25,$E57,0)</f>
        <v>3.3511048876364939</v>
      </c>
      <c r="AA57" s="138">
        <f ca="1">OFFSET(IND!AD$25,$E57,0)</f>
        <v>3.5256318168369165</v>
      </c>
      <c r="AB57" s="138">
        <f ca="1">OFFSET(IND!AE$25,$E57,0)</f>
        <v>3.7082703205354024</v>
      </c>
      <c r="AC57" s="138">
        <f ca="1">OFFSET(IND!AF$25,$E57,0)</f>
        <v>3.9031188784783399</v>
      </c>
      <c r="AD57" s="138">
        <f ca="1">OFFSET(IND!AG$25,$E57,0)</f>
        <v>4.0969428164846811</v>
      </c>
      <c r="AE57" s="138">
        <f ca="1">OFFSET(IND!AH$25,$E57,0)</f>
        <v>4.2996467939415322</v>
      </c>
      <c r="AF57" s="138">
        <f ca="1">OFFSET(IND!AI$25,$E57,0)</f>
        <v>4.527453959845019</v>
      </c>
      <c r="AG57" s="138">
        <f ca="1">OFFSET(IND!AJ$25,$E57,0)</f>
        <v>4.7669588700246592</v>
      </c>
      <c r="AH57" s="138">
        <f ca="1">OFFSET(IND!AK$25,$E57,0)</f>
        <v>5.0188446044381854</v>
      </c>
      <c r="AI57" s="138">
        <f ca="1">OFFSET(IND!AL$25,$E57,0)</f>
        <v>5.280122688270521</v>
      </c>
      <c r="AJ57" s="138">
        <f ca="1">OFFSET(IND!AM$25,$E57,0)</f>
        <v>6.8279818724903167</v>
      </c>
      <c r="AK57" s="138">
        <f ca="1">OFFSET(IND!AN$25,$E57,0)</f>
        <v>8.7782605368087392</v>
      </c>
      <c r="AL57" s="138">
        <f ca="1">OFFSET(IND!AO$25,$E57,0)</f>
        <v>12.209328471997258</v>
      </c>
      <c r="AM57" s="138">
        <f ca="1">OFFSET(IND!AP$25,$E57,0)</f>
        <v>15.707466320535499</v>
      </c>
      <c r="AQ57" s="4"/>
    </row>
    <row r="58" spans="1:43">
      <c r="A58" s="36" t="s">
        <v>358</v>
      </c>
      <c r="B58">
        <v>1.0716137343180001</v>
      </c>
      <c r="E58" s="141">
        <f ca="1">MATCH(F58,IND!$D$26:$D$255,0)</f>
        <v>210</v>
      </c>
      <c r="F58" s="4" t="str">
        <f t="shared" si="0"/>
        <v>IOTL</v>
      </c>
      <c r="G58" s="138">
        <f ca="1">OFFSET(IND!J$25,$E58,0)</f>
        <v>1.0095834302163471</v>
      </c>
      <c r="H58" s="138">
        <f ca="1">OFFSET(IND!K$25,$E58,0)</f>
        <v>1.0384776651193544</v>
      </c>
      <c r="I58" s="138">
        <f ca="1">OFFSET(IND!L$25,$E58,0)</f>
        <v>1.0583263754459007</v>
      </c>
      <c r="J58" s="138">
        <f ca="1">OFFSET(IND!M$25,$E58,0)</f>
        <v>0.54733968</v>
      </c>
      <c r="K58" s="138">
        <f ca="1">OFFSET(IND!N$25,$E58,0)</f>
        <v>0.54733968</v>
      </c>
      <c r="L58" s="138">
        <f ca="1">OFFSET(IND!O$25,$E58,0)</f>
        <v>0.54733968</v>
      </c>
      <c r="M58" s="138">
        <f ca="1">OFFSET(IND!P$25,$E58,0)</f>
        <v>0.55560836288834103</v>
      </c>
      <c r="N58" s="138">
        <f ca="1">OFFSET(IND!Q$25,$E58,0)</f>
        <v>0.5598069687072913</v>
      </c>
      <c r="O58" s="217">
        <f ca="1">OFFSET(IND!R$25,$E58,0)</f>
        <v>0.50968075637900667</v>
      </c>
      <c r="P58" s="138">
        <f ca="1">OFFSET(IND!S$25,$E58,0)</f>
        <v>0.53260171671715384</v>
      </c>
      <c r="Q58" s="138">
        <f ca="1">OFFSET(IND!T$25,$E58,0)</f>
        <v>0.55297352352236684</v>
      </c>
      <c r="R58" s="138">
        <f ca="1">OFFSET(IND!U$25,$E58,0)</f>
        <v>0.57458777490665713</v>
      </c>
      <c r="S58" s="138">
        <f ca="1">OFFSET(IND!V$25,$E58,0)</f>
        <v>0.59920103044734052</v>
      </c>
      <c r="T58" s="217">
        <f ca="1">OFFSET(IND!W$25,$E58,0)</f>
        <v>0.62576363868967932</v>
      </c>
      <c r="U58" s="138">
        <f ca="1">OFFSET(IND!X$25,$E58,0)</f>
        <v>0.65519672233885151</v>
      </c>
      <c r="V58" s="138">
        <f ca="1">OFFSET(IND!Y$25,$E58,0)</f>
        <v>0.68664342306445914</v>
      </c>
      <c r="W58" s="138">
        <f ca="1">OFFSET(IND!Z$25,$E58,0)</f>
        <v>0.72059643440648091</v>
      </c>
      <c r="X58" s="138">
        <f ca="1">OFFSET(IND!AA$25,$E58,0)</f>
        <v>0.75902653052483249</v>
      </c>
      <c r="Y58" s="219">
        <f ca="1">OFFSET(IND!AB$25,$E58,0)</f>
        <v>0.79932029351179967</v>
      </c>
      <c r="Z58" s="138">
        <f ca="1">OFFSET(IND!AC$25,$E58,0)</f>
        <v>0.84072797232828456</v>
      </c>
      <c r="AA58" s="138">
        <f ca="1">OFFSET(IND!AD$25,$E58,0)</f>
        <v>0.88451343301162366</v>
      </c>
      <c r="AB58" s="138">
        <f ca="1">OFFSET(IND!AE$25,$E58,0)</f>
        <v>0.93033393222965821</v>
      </c>
      <c r="AC58" s="138">
        <f ca="1">OFFSET(IND!AF$25,$E58,0)</f>
        <v>0.97921769997886565</v>
      </c>
      <c r="AD58" s="138">
        <f ca="1">OFFSET(IND!AG$25,$E58,0)</f>
        <v>1.0278444102289537</v>
      </c>
      <c r="AE58" s="138">
        <f ca="1">OFFSET(IND!AH$25,$E58,0)</f>
        <v>1.0786989521380765</v>
      </c>
      <c r="AF58" s="138">
        <f ca="1">OFFSET(IND!AI$25,$E58,0)</f>
        <v>1.135851402775625</v>
      </c>
      <c r="AG58" s="138">
        <f ca="1">OFFSET(IND!AJ$25,$E58,0)</f>
        <v>1.1959385931947866</v>
      </c>
      <c r="AH58" s="138">
        <f ca="1">OFFSET(IND!AK$25,$E58,0)</f>
        <v>1.2591318950616412</v>
      </c>
      <c r="AI58" s="138">
        <f ca="1">OFFSET(IND!AL$25,$E58,0)</f>
        <v>1.3246815573370905</v>
      </c>
      <c r="AJ58" s="138">
        <f ca="1">OFFSET(IND!AM$25,$E58,0)</f>
        <v>1.7130097526734764</v>
      </c>
      <c r="AK58" s="138">
        <f ca="1">OFFSET(IND!AN$25,$E58,0)</f>
        <v>2.20229728078901</v>
      </c>
      <c r="AL58" s="138">
        <f ca="1">OFFSET(IND!AO$25,$E58,0)</f>
        <v>3.063086448777756</v>
      </c>
      <c r="AM58" s="138">
        <f ca="1">OFFSET(IND!AP$25,$E58,0)</f>
        <v>3.9407021722296807</v>
      </c>
      <c r="AQ58" s="4"/>
    </row>
    <row r="59" spans="1:43">
      <c r="A59" s="36" t="s">
        <v>359</v>
      </c>
      <c r="B59">
        <v>13.06049710462</v>
      </c>
      <c r="E59" s="141">
        <f ca="1">MATCH(F59,IND!$D$26:$D$255,0)</f>
        <v>215</v>
      </c>
      <c r="F59" s="4" t="str">
        <f t="shared" si="0"/>
        <v>IOTO</v>
      </c>
      <c r="G59" s="138">
        <f ca="1">OFFSET(IND!J$25,$E59,0)</f>
        <v>12.304490923310874</v>
      </c>
      <c r="H59" s="138">
        <f ca="1">OFFSET(IND!K$25,$E59,0)</f>
        <v>12.656644931052341</v>
      </c>
      <c r="I59" s="138">
        <f ca="1">OFFSET(IND!L$25,$E59,0)</f>
        <v>12.898554879990471</v>
      </c>
      <c r="J59" s="138">
        <f ca="1">OFFSET(IND!M$25,$E59,0)</f>
        <v>6.6708069120000006</v>
      </c>
      <c r="K59" s="138">
        <f ca="1">OFFSET(IND!N$25,$E59,0)</f>
        <v>6.6708069120000006</v>
      </c>
      <c r="L59" s="138">
        <f ca="1">OFFSET(IND!O$25,$E59,0)</f>
        <v>6.6708069120000006</v>
      </c>
      <c r="M59" s="138">
        <f ca="1">OFFSET(IND!P$25,$E59,0)</f>
        <v>6.7715830643240587</v>
      </c>
      <c r="N59" s="138">
        <f ca="1">OFFSET(IND!Q$25,$E59,0)</f>
        <v>6.8227543748305735</v>
      </c>
      <c r="O59" s="217">
        <f ca="1">OFFSET(IND!R$25,$E59,0)</f>
        <v>6.2118315861303275</v>
      </c>
      <c r="P59" s="138">
        <f ca="1">OFFSET(IND!S$25,$E59,0)</f>
        <v>6.4911851689975339</v>
      </c>
      <c r="Q59" s="138">
        <f ca="1">OFFSET(IND!T$25,$E59,0)</f>
        <v>6.7394704562000696</v>
      </c>
      <c r="R59" s="138">
        <f ca="1">OFFSET(IND!U$25,$E59,0)</f>
        <v>7.0028982740626979</v>
      </c>
      <c r="S59" s="138">
        <f ca="1">OFFSET(IND!V$25,$E59,0)</f>
        <v>7.3028770280014097</v>
      </c>
      <c r="T59" s="217">
        <f ca="1">OFFSET(IND!W$25,$E59,0)</f>
        <v>7.6266138903895744</v>
      </c>
      <c r="U59" s="138">
        <f ca="1">OFFSET(IND!X$25,$E59,0)</f>
        <v>7.9853352201648473</v>
      </c>
      <c r="V59" s="138">
        <f ca="1">OFFSET(IND!Y$25,$E59,0)</f>
        <v>8.3685978927340621</v>
      </c>
      <c r="W59" s="138">
        <f ca="1">OFFSET(IND!Z$25,$E59,0)</f>
        <v>8.782406704738289</v>
      </c>
      <c r="X59" s="138">
        <f ca="1">OFFSET(IND!AA$25,$E59,0)</f>
        <v>9.250780842741813</v>
      </c>
      <c r="Y59" s="219">
        <f ca="1">OFFSET(IND!AB$25,$E59,0)</f>
        <v>9.7418687767354726</v>
      </c>
      <c r="Z59" s="138">
        <f ca="1">OFFSET(IND!AC$25,$E59,0)</f>
        <v>10.246532772700251</v>
      </c>
      <c r="AA59" s="138">
        <f ca="1">OFFSET(IND!AD$25,$E59,0)</f>
        <v>10.780176439411063</v>
      </c>
      <c r="AB59" s="138">
        <f ca="1">OFFSET(IND!AE$25,$E59,0)</f>
        <v>11.338622527030648</v>
      </c>
      <c r="AC59" s="138">
        <f ca="1">OFFSET(IND!AF$25,$E59,0)</f>
        <v>11.934402785070802</v>
      </c>
      <c r="AD59" s="138">
        <f ca="1">OFFSET(IND!AG$25,$E59,0)</f>
        <v>12.527050105733007</v>
      </c>
      <c r="AE59" s="138">
        <f ca="1">OFFSET(IND!AH$25,$E59,0)</f>
        <v>13.146849550337445</v>
      </c>
      <c r="AF59" s="138">
        <f ca="1">OFFSET(IND!AI$25,$E59,0)</f>
        <v>13.843405960701658</v>
      </c>
      <c r="AG59" s="138">
        <f ca="1">OFFSET(IND!AJ$25,$E59,0)</f>
        <v>14.575730072797464</v>
      </c>
      <c r="AH59" s="138">
        <f ca="1">OFFSET(IND!AK$25,$E59,0)</f>
        <v>15.345910511543503</v>
      </c>
      <c r="AI59" s="138">
        <f ca="1">OFFSET(IND!AL$25,$E59,0)</f>
        <v>16.144809542920751</v>
      </c>
      <c r="AJ59" s="138">
        <f ca="1">OFFSET(IND!AM$25,$E59,0)</f>
        <v>20.877633608543857</v>
      </c>
      <c r="AK59" s="138">
        <f ca="1">OFFSET(IND!AN$25,$E59,0)</f>
        <v>26.84091882935682</v>
      </c>
      <c r="AL59" s="138">
        <f ca="1">OFFSET(IND!AO$25,$E59,0)</f>
        <v>37.331951256594799</v>
      </c>
      <c r="AM59" s="138">
        <f ca="1">OFFSET(IND!AP$25,$E59,0)</f>
        <v>48.028060543030932</v>
      </c>
      <c r="AQ59" s="4"/>
    </row>
    <row r="60" spans="1:43">
      <c r="A60" s="36" t="s">
        <v>360</v>
      </c>
      <c r="B60">
        <v>4.6033799408959997</v>
      </c>
      <c r="E60" s="141">
        <f ca="1">MATCH(F60,IND!$D$26:$D$255,0)</f>
        <v>213</v>
      </c>
      <c r="F60" s="4" t="str">
        <f t="shared" si="0"/>
        <v>IOTP</v>
      </c>
      <c r="G60" s="138">
        <f ca="1">OFFSET(IND!J$25,$E60,0)</f>
        <v>4.3369135374845138</v>
      </c>
      <c r="H60" s="138">
        <f ca="1">OFFSET(IND!K$25,$E60,0)</f>
        <v>4.4610358187696333</v>
      </c>
      <c r="I60" s="138">
        <f ca="1">OFFSET(IND!L$25,$E60,0)</f>
        <v>4.5463008280203905</v>
      </c>
      <c r="J60" s="138">
        <f ca="1">OFFSET(IND!M$25,$E60,0)</f>
        <v>2.3512320000000004</v>
      </c>
      <c r="K60" s="138">
        <f ca="1">OFFSET(IND!N$25,$E60,0)</f>
        <v>2.3512320000000004</v>
      </c>
      <c r="L60" s="138">
        <f ca="1">OFFSET(IND!O$25,$E60,0)</f>
        <v>2.3512320000000004</v>
      </c>
      <c r="M60" s="138">
        <f ca="1">OFFSET(IND!P$25,$E60,0)</f>
        <v>2.3867521578020434</v>
      </c>
      <c r="N60" s="138">
        <f ca="1">OFFSET(IND!Q$25,$E60,0)</f>
        <v>2.4047883001056709</v>
      </c>
      <c r="O60" s="217">
        <f ca="1">OFFSET(IND!R$25,$E60,0)</f>
        <v>2.1894588460725606</v>
      </c>
      <c r="P60" s="138">
        <f ca="1">OFFSET(IND!S$25,$E60,0)</f>
        <v>2.287921459668897</v>
      </c>
      <c r="Q60" s="138">
        <f ca="1">OFFSET(IND!T$25,$E60,0)</f>
        <v>2.3754335582951738</v>
      </c>
      <c r="R60" s="138">
        <f ca="1">OFFSET(IND!U$25,$E60,0)</f>
        <v>2.4682828827051777</v>
      </c>
      <c r="S60" s="138">
        <f ca="1">OFFSET(IND!V$25,$E60,0)</f>
        <v>2.5740151659034871</v>
      </c>
      <c r="T60" s="217">
        <f ca="1">OFFSET(IND!W$25,$E60,0)</f>
        <v>2.6881213723141948</v>
      </c>
      <c r="U60" s="138">
        <f ca="1">OFFSET(IND!X$25,$E60,0)</f>
        <v>2.8145584107079955</v>
      </c>
      <c r="V60" s="138">
        <f ca="1">OFFSET(IND!Y$25,$E60,0)</f>
        <v>2.9496454357168016</v>
      </c>
      <c r="W60" s="138">
        <f ca="1">OFFSET(IND!Z$25,$E60,0)</f>
        <v>3.0954989334272631</v>
      </c>
      <c r="X60" s="138">
        <f ca="1">OFFSET(IND!AA$25,$E60,0)</f>
        <v>3.2605848481859812</v>
      </c>
      <c r="Y60" s="219">
        <f ca="1">OFFSET(IND!AB$25,$E60,0)</f>
        <v>3.4336766016202889</v>
      </c>
      <c r="Z60" s="138">
        <f ca="1">OFFSET(IND!AC$25,$E60,0)</f>
        <v>3.6115534540331109</v>
      </c>
      <c r="AA60" s="138">
        <f ca="1">OFFSET(IND!AD$25,$E60,0)</f>
        <v>3.7996446523423746</v>
      </c>
      <c r="AB60" s="138">
        <f ca="1">OFFSET(IND!AE$25,$E60,0)</f>
        <v>3.996477858400846</v>
      </c>
      <c r="AC60" s="138">
        <f ca="1">OFFSET(IND!AF$25,$E60,0)</f>
        <v>4.2064700866502296</v>
      </c>
      <c r="AD60" s="138">
        <f ca="1">OFFSET(IND!AG$25,$E60,0)</f>
        <v>4.4153580612891874</v>
      </c>
      <c r="AE60" s="138">
        <f ca="1">OFFSET(IND!AH$25,$E60,0)</f>
        <v>4.6338162338851712</v>
      </c>
      <c r="AF60" s="138">
        <f ca="1">OFFSET(IND!AI$25,$E60,0)</f>
        <v>4.8793286199365973</v>
      </c>
      <c r="AG60" s="138">
        <f ca="1">OFFSET(IND!AJ$25,$E60,0)</f>
        <v>5.1374479013737222</v>
      </c>
      <c r="AH60" s="138">
        <f ca="1">OFFSET(IND!AK$25,$E60,0)</f>
        <v>5.4089102472701649</v>
      </c>
      <c r="AI60" s="138">
        <f ca="1">OFFSET(IND!AL$25,$E60,0)</f>
        <v>5.6904949179288478</v>
      </c>
      <c r="AJ60" s="138">
        <f ca="1">OFFSET(IND!AM$25,$E60,0)</f>
        <v>7.3586540387460362</v>
      </c>
      <c r="AK60" s="138">
        <f ca="1">OFFSET(IND!AN$25,$E60,0)</f>
        <v>9.4605087650581172</v>
      </c>
      <c r="AL60" s="138">
        <f ca="1">OFFSET(IND!AO$25,$E60,0)</f>
        <v>13.158240011271648</v>
      </c>
      <c r="AM60" s="138">
        <f ca="1">OFFSET(IND!AP$25,$E60,0)</f>
        <v>16.928253858400939</v>
      </c>
      <c r="AQ60" s="4"/>
    </row>
    <row r="61" spans="1:43">
      <c r="A61" s="36" t="s">
        <v>361</v>
      </c>
      <c r="B61">
        <v>109.842732955</v>
      </c>
      <c r="E61" s="141">
        <f ca="1">MATCH(F61,IND!$D$26:$D$255,0)</f>
        <v>218</v>
      </c>
      <c r="F61" s="4" t="str">
        <f t="shared" si="0"/>
        <v>IOTS</v>
      </c>
      <c r="G61" s="138">
        <f ca="1">OFFSET(IND!J$25,$E61,0)</f>
        <v>73.690487252999532</v>
      </c>
      <c r="H61" s="138">
        <f ca="1">OFFSET(IND!K$25,$E61,0)</f>
        <v>75.799505869072647</v>
      </c>
      <c r="I61" s="138">
        <f ca="1">OFFSET(IND!L$25,$E61,0)</f>
        <v>77.248282752220788</v>
      </c>
      <c r="J61" s="138">
        <f ca="1">OFFSET(IND!M$25,$E61,0)</f>
        <v>61.561340800000004</v>
      </c>
      <c r="K61" s="138">
        <f ca="1">OFFSET(IND!N$25,$E61,0)</f>
        <v>61.561340800000004</v>
      </c>
      <c r="L61" s="138">
        <f ca="1">OFFSET(IND!O$25,$E61,0)</f>
        <v>61.561340800000004</v>
      </c>
      <c r="M61" s="138">
        <f ca="1">OFFSET(IND!P$25,$E61,0)</f>
        <v>62.491350488419251</v>
      </c>
      <c r="N61" s="138">
        <f ca="1">OFFSET(IND!Q$25,$E61,0)</f>
        <v>62.963583387202064</v>
      </c>
      <c r="O61" s="217">
        <f ca="1">OFFSET(IND!R$25,$E61,0)</f>
        <v>57.325700820100977</v>
      </c>
      <c r="P61" s="138">
        <f ca="1">OFFSET(IND!S$25,$E61,0)</f>
        <v>59.903706951211305</v>
      </c>
      <c r="Q61" s="138">
        <f ca="1">OFFSET(IND!T$25,$E61,0)</f>
        <v>62.195000250917765</v>
      </c>
      <c r="R61" s="138">
        <f ca="1">OFFSET(IND!U$25,$E61,0)</f>
        <v>64.626035939039568</v>
      </c>
      <c r="S61" s="138">
        <f ca="1">OFFSET(IND!V$25,$E61,0)</f>
        <v>67.394380840577682</v>
      </c>
      <c r="T61" s="217">
        <f ca="1">OFFSET(IND!W$25,$E61,0)</f>
        <v>70.381976730836371</v>
      </c>
      <c r="U61" s="138">
        <f ca="1">OFFSET(IND!X$25,$E61,0)</f>
        <v>73.692425725364956</v>
      </c>
      <c r="V61" s="138">
        <f ca="1">OFFSET(IND!Y$25,$E61,0)</f>
        <v>77.229353763187348</v>
      </c>
      <c r="W61" s="138">
        <f ca="1">OFFSET(IND!Z$25,$E61,0)</f>
        <v>81.048175929364803</v>
      </c>
      <c r="X61" s="138">
        <f ca="1">OFFSET(IND!AA$25,$E61,0)</f>
        <v>85.370552564142315</v>
      </c>
      <c r="Y61" s="219">
        <f ca="1">OFFSET(IND!AB$25,$E61,0)</f>
        <v>89.902542781542806</v>
      </c>
      <c r="Z61" s="138">
        <f ca="1">OFFSET(IND!AC$25,$E61,0)</f>
        <v>94.559819278212231</v>
      </c>
      <c r="AA61" s="138">
        <f ca="1">OFFSET(IND!AD$25,$E61,0)</f>
        <v>99.484533794090268</v>
      </c>
      <c r="AB61" s="138">
        <f ca="1">OFFSET(IND!AE$25,$E61,0)</f>
        <v>104.63813670478653</v>
      </c>
      <c r="AC61" s="138">
        <f ca="1">OFFSET(IND!AF$25,$E61,0)</f>
        <v>110.13627688347229</v>
      </c>
      <c r="AD61" s="138">
        <f ca="1">OFFSET(IND!AG$25,$E61,0)</f>
        <v>115.60550484386523</v>
      </c>
      <c r="AE61" s="138">
        <f ca="1">OFFSET(IND!AH$25,$E61,0)</f>
        <v>121.32530536279599</v>
      </c>
      <c r="AF61" s="138">
        <f ca="1">OFFSET(IND!AI$25,$E61,0)</f>
        <v>127.75345522990099</v>
      </c>
      <c r="AG61" s="138">
        <f ca="1">OFFSET(IND!AJ$25,$E61,0)</f>
        <v>134.51168625584907</v>
      </c>
      <c r="AH61" s="138">
        <f ca="1">OFFSET(IND!AK$25,$E61,0)</f>
        <v>141.61927325283551</v>
      </c>
      <c r="AI61" s="138">
        <f ca="1">OFFSET(IND!AL$25,$E61,0)</f>
        <v>148.99188891750617</v>
      </c>
      <c r="AJ61" s="138">
        <f ca="1">OFFSET(IND!AM$25,$E61,0)</f>
        <v>192.6686133518688</v>
      </c>
      <c r="AK61" s="138">
        <f ca="1">OFFSET(IND!AN$25,$E61,0)</f>
        <v>247.7006115207389</v>
      </c>
      <c r="AL61" s="138">
        <f ca="1">OFFSET(IND!AO$25,$E61,0)</f>
        <v>344.51678850155577</v>
      </c>
      <c r="AM61" s="138">
        <f ca="1">OFFSET(IND!AP$25,$E61,0)</f>
        <v>443.22551110478912</v>
      </c>
      <c r="AQ61" s="4"/>
    </row>
    <row r="62" spans="1:43">
      <c r="A62" s="36" t="s">
        <v>362</v>
      </c>
      <c r="B62">
        <v>9.3435013244270007</v>
      </c>
      <c r="E62" s="140">
        <f>MATCH(F62,RES!$D$96:$D$134,0)</f>
        <v>25</v>
      </c>
      <c r="F62" s="4" t="str">
        <f t="shared" si="0"/>
        <v>RHEH</v>
      </c>
      <c r="G62" s="138">
        <f ca="1">OFFSET(RES!J$95,$E62,0)</f>
        <v>7.0745539875426244</v>
      </c>
      <c r="H62" s="138">
        <f ca="1">OFFSET(RES!K$95,$E62,0)</f>
        <v>7.3628366061935591</v>
      </c>
      <c r="I62" s="138">
        <f ca="1">OFFSET(RES!L$95,$E62,0)</f>
        <v>7.6511192248444946</v>
      </c>
      <c r="J62" s="138">
        <f ca="1">OFFSET(RES!M$95,$E62,0)</f>
        <v>7.9394018434954292</v>
      </c>
      <c r="K62" s="138">
        <f ca="1">OFFSET(RES!N$95,$E62,0)</f>
        <v>8.2276844621463638</v>
      </c>
      <c r="L62" s="138">
        <f ca="1">OFFSET(RES!O$95,$E62,0)</f>
        <v>8.5159670807972994</v>
      </c>
      <c r="M62" s="138">
        <f ca="1">OFFSET(RES!P$95,$E62,0)</f>
        <v>9.0436141774789558</v>
      </c>
      <c r="N62" s="138">
        <f ca="1">OFFSET(RES!Q$95,$E62,0)</f>
        <v>9.4830085735889131</v>
      </c>
      <c r="O62" s="217">
        <f ca="1">OFFSET(RES!R$95,$E62,0)</f>
        <v>9.1104335245167629</v>
      </c>
      <c r="P62" s="138">
        <f ca="1">OFFSET(RES!S$95,$E62,0)</f>
        <v>9.5725132627645664</v>
      </c>
      <c r="Q62" s="138">
        <f ca="1">OFFSET(RES!T$95,$E62,0)</f>
        <v>10.029078553350935</v>
      </c>
      <c r="R62" s="138">
        <f ca="1">OFFSET(RES!U$95,$E62,0)</f>
        <v>10.516277488332038</v>
      </c>
      <c r="S62" s="138">
        <f ca="1">OFFSET(RES!V$95,$E62,0)</f>
        <v>11.060366500757034</v>
      </c>
      <c r="T62" s="217">
        <f ca="1">OFFSET(RES!W$95,$E62,0)</f>
        <v>11.613326894388559</v>
      </c>
      <c r="U62" s="138">
        <f ca="1">OFFSET(RES!X$95,$E62,0)</f>
        <v>12.138044633075374</v>
      </c>
      <c r="V62" s="138">
        <f ca="1">OFFSET(RES!Y$95,$E62,0)</f>
        <v>12.666582717883099</v>
      </c>
      <c r="W62" s="138">
        <f ca="1">OFFSET(RES!Z$95,$E62,0)</f>
        <v>13.20784955516244</v>
      </c>
      <c r="X62" s="138">
        <f ca="1">OFFSET(RES!AA$95,$E62,0)</f>
        <v>13.789939050187016</v>
      </c>
      <c r="Y62" s="219">
        <f ca="1">OFFSET(RES!AB$95,$E62,0)</f>
        <v>14.352095374165756</v>
      </c>
      <c r="Z62" s="138">
        <f ca="1">OFFSET(RES!AC$95,$E62,0)</f>
        <v>14.86063279915126</v>
      </c>
      <c r="AA62" s="138">
        <f ca="1">OFFSET(RES!AD$95,$E62,0)</f>
        <v>15.355846239227565</v>
      </c>
      <c r="AB62" s="138">
        <f ca="1">OFFSET(RES!AE$95,$E62,0)</f>
        <v>15.845422185980805</v>
      </c>
      <c r="AC62" s="138">
        <f ca="1">OFFSET(RES!AF$95,$E62,0)</f>
        <v>16.328297415986029</v>
      </c>
      <c r="AD62" s="138">
        <f ca="1">OFFSET(RES!AG$95,$E62,0)</f>
        <v>16.778568503025781</v>
      </c>
      <c r="AE62" s="138">
        <f ca="1">OFFSET(RES!AH$95,$E62,0)</f>
        <v>17.183367860736972</v>
      </c>
      <c r="AF62" s="138">
        <f ca="1">OFFSET(RES!AI$95,$E62,0)</f>
        <v>17.628855561846802</v>
      </c>
      <c r="AG62" s="138">
        <f ca="1">OFFSET(RES!AJ$95,$E62,0)</f>
        <v>18.044868888498563</v>
      </c>
      <c r="AH62" s="138">
        <f ca="1">OFFSET(RES!AK$95,$E62,0)</f>
        <v>18.457940411382843</v>
      </c>
      <c r="AI62" s="138">
        <f ca="1">OFFSET(RES!AL$95,$E62,0)</f>
        <v>18.863228555511792</v>
      </c>
      <c r="AJ62" s="138">
        <f ca="1">OFFSET(RES!AM$95,$E62,0)</f>
        <v>20.570495502713374</v>
      </c>
      <c r="AK62" s="138">
        <f ca="1">OFFSET(RES!AN$95,$E62,0)</f>
        <v>21.827764910670435</v>
      </c>
      <c r="AL62" s="138">
        <f ca="1">OFFSET(RES!AO$95,$E62,0)</f>
        <v>21.827764910670435</v>
      </c>
      <c r="AM62" s="138">
        <f ca="1">OFFSET(RES!AP$95,$E62,0)</f>
        <v>21.827764910670435</v>
      </c>
      <c r="AQ62" s="4"/>
    </row>
    <row r="63" spans="1:43">
      <c r="A63" s="36" t="s">
        <v>363</v>
      </c>
      <c r="B63">
        <v>3.5355599850489998</v>
      </c>
      <c r="E63" s="141">
        <f>MATCH(F63,RES!$D$96:$D$134,0)</f>
        <v>24</v>
      </c>
      <c r="F63" s="4" t="str">
        <f t="shared" si="0"/>
        <v>RHEK</v>
      </c>
      <c r="G63" s="138">
        <f ca="1">OFFSET(RES!J$95,$E63,0)</f>
        <v>3.8865695277538777</v>
      </c>
      <c r="H63" s="138">
        <f ca="1">OFFSET(RES!K$95,$E63,0)</f>
        <v>4.3087649762630136</v>
      </c>
      <c r="I63" s="138">
        <f ca="1">OFFSET(RES!L$95,$E63,0)</f>
        <v>4.7309604247721504</v>
      </c>
      <c r="J63" s="138">
        <f ca="1">OFFSET(RES!M$95,$E63,0)</f>
        <v>5.1531558732812863</v>
      </c>
      <c r="K63" s="138">
        <f ca="1">OFFSET(RES!N$95,$E63,0)</f>
        <v>5.5753513217904231</v>
      </c>
      <c r="L63" s="138">
        <f ca="1">OFFSET(RES!O$95,$E63,0)</f>
        <v>5.9975467702995591</v>
      </c>
      <c r="M63" s="138">
        <f ca="1">OFFSET(RES!P$95,$E63,0)</f>
        <v>6.3691532021394446</v>
      </c>
      <c r="N63" s="138">
        <f ca="1">OFFSET(RES!Q$95,$E63,0)</f>
        <v>6.6786058357950306</v>
      </c>
      <c r="O63" s="217">
        <f ca="1">OFFSET(RES!R$95,$E63,0)</f>
        <v>6.4162121157329199</v>
      </c>
      <c r="P63" s="138">
        <f ca="1">OFFSET(RES!S$95,$E63,0)</f>
        <v>6.7416413729687896</v>
      </c>
      <c r="Q63" s="138">
        <f ca="1">OFFSET(RES!T$95,$E63,0)</f>
        <v>7.0631869658541468</v>
      </c>
      <c r="R63" s="138">
        <f ca="1">OFFSET(RES!U$95,$E63,0)</f>
        <v>7.4063069393423175</v>
      </c>
      <c r="S63" s="138">
        <f ca="1">OFFSET(RES!V$95,$E63,0)</f>
        <v>7.7894929319917274</v>
      </c>
      <c r="T63" s="217">
        <f ca="1">OFFSET(RES!W$95,$E63,0)</f>
        <v>8.1789267791946489</v>
      </c>
      <c r="U63" s="138">
        <f ca="1">OFFSET(RES!X$95,$E63,0)</f>
        <v>8.54847014979741</v>
      </c>
      <c r="V63" s="138">
        <f ca="1">OFFSET(RES!Y$95,$E63,0)</f>
        <v>8.9207040785389591</v>
      </c>
      <c r="W63" s="138">
        <f ca="1">OFFSET(RES!Z$95,$E63,0)</f>
        <v>9.3019024956999417</v>
      </c>
      <c r="X63" s="138">
        <f ca="1">OFFSET(RES!AA$95,$E63,0)</f>
        <v>9.7118511178337759</v>
      </c>
      <c r="Y63" s="219">
        <f ca="1">OFFSET(RES!AB$95,$E63,0)</f>
        <v>10.107761390066358</v>
      </c>
      <c r="Z63" s="138">
        <f ca="1">OFFSET(RES!AC$95,$E63,0)</f>
        <v>10.465909438533533</v>
      </c>
      <c r="AA63" s="138">
        <f ca="1">OFFSET(RES!AD$95,$E63,0)</f>
        <v>10.814673793768748</v>
      </c>
      <c r="AB63" s="138">
        <f ca="1">OFFSET(RES!AE$95,$E63,0)</f>
        <v>11.159467827189475</v>
      </c>
      <c r="AC63" s="138">
        <f ca="1">OFFSET(RES!AF$95,$E63,0)</f>
        <v>11.49954274160593</v>
      </c>
      <c r="AD63" s="138">
        <f ca="1">OFFSET(RES!AG$95,$E63,0)</f>
        <v>11.816655510856057</v>
      </c>
      <c r="AE63" s="138">
        <f ca="1">OFFSET(RES!AH$95,$E63,0)</f>
        <v>12.101743869867514</v>
      </c>
      <c r="AF63" s="138">
        <f ca="1">OFFSET(RES!AI$95,$E63,0)</f>
        <v>12.415487840182308</v>
      </c>
      <c r="AG63" s="138">
        <f ca="1">OFFSET(RES!AJ$95,$E63,0)</f>
        <v>12.708473869835707</v>
      </c>
      <c r="AH63" s="138">
        <f ca="1">OFFSET(RES!AK$95,$E63,0)</f>
        <v>12.999388073057991</v>
      </c>
      <c r="AI63" s="138">
        <f ca="1">OFFSET(RES!AL$95,$E63,0)</f>
        <v>13.28482067006067</v>
      </c>
      <c r="AJ63" s="138">
        <f ca="1">OFFSET(RES!AM$95,$E63,0)</f>
        <v>14.487198893001073</v>
      </c>
      <c r="AK63" s="138">
        <f ca="1">OFFSET(RES!AN$95,$E63,0)</f>
        <v>15.372656998410203</v>
      </c>
      <c r="AL63" s="138">
        <f ca="1">OFFSET(RES!AO$95,$E63,0)</f>
        <v>15.372656998410203</v>
      </c>
      <c r="AM63" s="138">
        <f ca="1">OFFSET(RES!AP$95,$E63,0)</f>
        <v>15.372656998410203</v>
      </c>
      <c r="AQ63" s="4"/>
    </row>
    <row r="64" spans="1:43">
      <c r="A64" s="36" t="s">
        <v>364</v>
      </c>
      <c r="B64">
        <v>27.200595464100001</v>
      </c>
      <c r="E64" s="141">
        <f>MATCH(F64,RES!$D$96:$D$134,0)</f>
        <v>23</v>
      </c>
      <c r="F64" s="4" t="str">
        <f t="shared" si="0"/>
        <v>RHEL</v>
      </c>
      <c r="G64" s="138">
        <f ca="1">OFFSET(RES!J$95,$E64,0)</f>
        <v>29.108468118847501</v>
      </c>
      <c r="H64" s="138">
        <f ca="1">OFFSET(RES!K$95,$E64,0)</f>
        <v>30.422708376481943</v>
      </c>
      <c r="I64" s="138">
        <f ca="1">OFFSET(RES!L$95,$E64,0)</f>
        <v>31.736948634116384</v>
      </c>
      <c r="J64" s="138">
        <f ca="1">OFFSET(RES!M$95,$E64,0)</f>
        <v>33.051188891750826</v>
      </c>
      <c r="K64" s="138">
        <f ca="1">OFFSET(RES!N$95,$E64,0)</f>
        <v>34.365429149385264</v>
      </c>
      <c r="L64" s="138">
        <f ca="1">OFFSET(RES!O$95,$E64,0)</f>
        <v>35.679669407019709</v>
      </c>
      <c r="M64" s="138">
        <f ca="1">OFFSET(RES!P$95,$E64,0)</f>
        <v>39.364620621212879</v>
      </c>
      <c r="N64" s="138">
        <f ca="1">OFFSET(RES!Q$95,$E64,0)</f>
        <v>41.277195988374004</v>
      </c>
      <c r="O64" s="217">
        <f ca="1">OFFSET(RES!R$95,$E64,0)</f>
        <v>39.655468748375419</v>
      </c>
      <c r="P64" s="138">
        <f ca="1">OFFSET(RES!S$95,$E64,0)</f>
        <v>41.666787811297318</v>
      </c>
      <c r="Q64" s="138">
        <f ca="1">OFFSET(RES!T$95,$E64,0)</f>
        <v>43.654103844471599</v>
      </c>
      <c r="R64" s="138">
        <f ca="1">OFFSET(RES!U$95,$E64,0)</f>
        <v>45.774760571551965</v>
      </c>
      <c r="S64" s="138">
        <f ca="1">OFFSET(RES!V$95,$E64,0)</f>
        <v>48.14304576571876</v>
      </c>
      <c r="T64" s="217">
        <f ca="1">OFFSET(RES!W$95,$E64,0)</f>
        <v>50.54994589288998</v>
      </c>
      <c r="U64" s="138">
        <f ca="1">OFFSET(RES!X$95,$E64,0)</f>
        <v>52.833912713153552</v>
      </c>
      <c r="V64" s="138">
        <f ca="1">OFFSET(RES!Y$95,$E64,0)</f>
        <v>55.134508557249859</v>
      </c>
      <c r="W64" s="138">
        <f ca="1">OFFSET(RES!Z$95,$E64,0)</f>
        <v>57.490509519498403</v>
      </c>
      <c r="X64" s="138">
        <f ca="1">OFFSET(RES!AA$95,$E64,0)</f>
        <v>60.02420143619883</v>
      </c>
      <c r="Y64" s="219">
        <f ca="1">OFFSET(RES!AB$95,$E64,0)</f>
        <v>62.471129178687683</v>
      </c>
      <c r="Z64" s="138">
        <f ca="1">OFFSET(RES!AC$95,$E64,0)</f>
        <v>64.684667086584511</v>
      </c>
      <c r="AA64" s="138">
        <f ca="1">OFFSET(RES!AD$95,$E64,0)</f>
        <v>66.840208976427022</v>
      </c>
      <c r="AB64" s="138">
        <f ca="1">OFFSET(RES!AE$95,$E64,0)</f>
        <v>68.971212249123553</v>
      </c>
      <c r="AC64" s="138">
        <f ca="1">OFFSET(RES!AF$95,$E64,0)</f>
        <v>71.073048955500539</v>
      </c>
      <c r="AD64" s="138">
        <f ca="1">OFFSET(RES!AG$95,$E64,0)</f>
        <v>73.032967873996682</v>
      </c>
      <c r="AE64" s="138">
        <f ca="1">OFFSET(RES!AH$95,$E64,0)</f>
        <v>74.794959576793289</v>
      </c>
      <c r="AF64" s="138">
        <f ca="1">OFFSET(RES!AI$95,$E64,0)</f>
        <v>76.734057596838767</v>
      </c>
      <c r="AG64" s="138">
        <f ca="1">OFFSET(RES!AJ$95,$E64,0)</f>
        <v>78.544860938913715</v>
      </c>
      <c r="AH64" s="138">
        <f ca="1">OFFSET(RES!AK$95,$E64,0)</f>
        <v>80.342859335203016</v>
      </c>
      <c r="AI64" s="138">
        <f ca="1">OFFSET(RES!AL$95,$E64,0)</f>
        <v>82.106978604647452</v>
      </c>
      <c r="AJ64" s="138">
        <f ca="1">OFFSET(RES!AM$95,$E64,0)</f>
        <v>89.53829028566625</v>
      </c>
      <c r="AK64" s="138">
        <f ca="1">OFFSET(RES!AN$95,$E64,0)</f>
        <v>95.010873734232078</v>
      </c>
      <c r="AL64" s="138">
        <f ca="1">OFFSET(RES!AO$95,$E64,0)</f>
        <v>95.010873734232078</v>
      </c>
      <c r="AM64" s="138">
        <f ca="1">OFFSET(RES!AP$95,$E64,0)</f>
        <v>95.010873734232078</v>
      </c>
      <c r="AQ64" s="4"/>
    </row>
    <row r="65" spans="1:39">
      <c r="A65" s="36" t="s">
        <v>365</v>
      </c>
      <c r="B65">
        <v>11.63227160329</v>
      </c>
      <c r="E65" s="141">
        <f>MATCH(F65,RES!$D$96:$D$134,0)</f>
        <v>29</v>
      </c>
      <c r="F65" s="4" t="str">
        <f t="shared" si="0"/>
        <v>RHEO</v>
      </c>
      <c r="G65" s="138">
        <f ca="1">OFFSET(RES!J$95,$E65,0)</f>
        <v>11.67171257782252</v>
      </c>
      <c r="H65" s="138">
        <f ca="1">OFFSET(RES!K$95,$E65,0)</f>
        <v>12.202260035592907</v>
      </c>
      <c r="I65" s="138">
        <f ca="1">OFFSET(RES!L$95,$E65,0)</f>
        <v>12.732807493363294</v>
      </c>
      <c r="J65" s="138">
        <f ca="1">OFFSET(RES!M$95,$E65,0)</f>
        <v>13.263354951133682</v>
      </c>
      <c r="K65" s="138">
        <f ca="1">OFFSET(RES!N$95,$E65,0)</f>
        <v>13.793902408904069</v>
      </c>
      <c r="L65" s="138">
        <f ca="1">OFFSET(RES!O$95,$E65,0)</f>
        <v>14.324449866674456</v>
      </c>
      <c r="M65" s="138">
        <f ca="1">OFFSET(RES!P$95,$E65,0)</f>
        <v>15.21198904008858</v>
      </c>
      <c r="N65" s="138">
        <f ca="1">OFFSET(RES!Q$95,$E65,0)</f>
        <v>15.951081023307649</v>
      </c>
      <c r="O65" s="217">
        <f ca="1">OFFSET(RES!R$95,$E65,0)</f>
        <v>15.324383836555709</v>
      </c>
      <c r="P65" s="138">
        <f ca="1">OFFSET(RES!S$95,$E65,0)</f>
        <v>16.101634145550214</v>
      </c>
      <c r="Q65" s="138">
        <f ca="1">OFFSET(RES!T$95,$E65,0)</f>
        <v>16.869608769432364</v>
      </c>
      <c r="R65" s="138">
        <f ca="1">OFFSET(RES!U$95,$E65,0)</f>
        <v>17.689111317178313</v>
      </c>
      <c r="S65" s="138">
        <f ca="1">OFFSET(RES!V$95,$E65,0)</f>
        <v>18.604306938244591</v>
      </c>
      <c r="T65" s="217">
        <f ca="1">OFFSET(RES!W$95,$E65,0)</f>
        <v>19.534424840495777</v>
      </c>
      <c r="U65" s="138">
        <f ca="1">OFFSET(RES!X$95,$E65,0)</f>
        <v>20.417036629698508</v>
      </c>
      <c r="V65" s="138">
        <f ca="1">OFFSET(RES!Y$95,$E65,0)</f>
        <v>21.306074507208429</v>
      </c>
      <c r="W65" s="138">
        <f ca="1">OFFSET(RES!Z$95,$E65,0)</f>
        <v>22.216523033082186</v>
      </c>
      <c r="X65" s="138">
        <f ca="1">OFFSET(RES!AA$95,$E65,0)</f>
        <v>23.19563811305931</v>
      </c>
      <c r="Y65" s="219">
        <f ca="1">OFFSET(RES!AB$95,$E65,0)</f>
        <v>24.141224210758686</v>
      </c>
      <c r="Z65" s="138">
        <f ca="1">OFFSET(RES!AC$95,$E65,0)</f>
        <v>24.996619585167597</v>
      </c>
      <c r="AA65" s="138">
        <f ca="1">OFFSET(RES!AD$95,$E65,0)</f>
        <v>25.829603088787753</v>
      </c>
      <c r="AB65" s="138">
        <f ca="1">OFFSET(RES!AE$95,$E65,0)</f>
        <v>26.65310393592112</v>
      </c>
      <c r="AC65" s="138">
        <f ca="1">OFFSET(RES!AF$95,$E65,0)</f>
        <v>27.465333710700985</v>
      </c>
      <c r="AD65" s="138">
        <f ca="1">OFFSET(RES!AG$95,$E65,0)</f>
        <v>28.222721045752788</v>
      </c>
      <c r="AE65" s="138">
        <f ca="1">OFFSET(RES!AH$95,$E65,0)</f>
        <v>28.903621764435826</v>
      </c>
      <c r="AF65" s="138">
        <f ca="1">OFFSET(RES!AI$95,$E65,0)</f>
        <v>29.652963111134685</v>
      </c>
      <c r="AG65" s="138">
        <f ca="1">OFFSET(RES!AJ$95,$E65,0)</f>
        <v>30.352726506759939</v>
      </c>
      <c r="AH65" s="138">
        <f ca="1">OFFSET(RES!AK$95,$E65,0)</f>
        <v>31.047541583517233</v>
      </c>
      <c r="AI65" s="138">
        <f ca="1">OFFSET(RES!AL$95,$E65,0)</f>
        <v>31.729264475004637</v>
      </c>
      <c r="AJ65" s="138">
        <f ca="1">OFFSET(RES!AM$95,$E65,0)</f>
        <v>34.601006411321492</v>
      </c>
      <c r="AK65" s="138">
        <f ca="1">OFFSET(RES!AN$95,$E65,0)</f>
        <v>36.715821139033928</v>
      </c>
      <c r="AL65" s="138">
        <f ca="1">OFFSET(RES!AO$95,$E65,0)</f>
        <v>36.715821139033928</v>
      </c>
      <c r="AM65" s="138">
        <f ca="1">OFFSET(RES!AP$95,$E65,0)</f>
        <v>36.715821139033928</v>
      </c>
    </row>
    <row r="66" spans="1:39">
      <c r="A66" s="36" t="s">
        <v>366</v>
      </c>
      <c r="B66">
        <v>4.337948126733</v>
      </c>
      <c r="E66" s="141">
        <f>MATCH(F66,RES!$D$96:$D$134,0)</f>
        <v>28</v>
      </c>
      <c r="F66" s="4" t="str">
        <f t="shared" si="0"/>
        <v>RHER</v>
      </c>
      <c r="G66" s="138">
        <f ca="1">OFFSET(RES!J$95,$E66,0)</f>
        <v>5.2146900261774487</v>
      </c>
      <c r="H66" s="138">
        <f ca="1">OFFSET(RES!K$95,$E66,0)</f>
        <v>5.4517281230293149</v>
      </c>
      <c r="I66" s="138">
        <f ca="1">OFFSET(RES!L$95,$E66,0)</f>
        <v>5.688766219881181</v>
      </c>
      <c r="J66" s="138">
        <f ca="1">OFFSET(RES!M$95,$E66,0)</f>
        <v>5.9258043167330481</v>
      </c>
      <c r="K66" s="138">
        <f ca="1">OFFSET(RES!N$95,$E66,0)</f>
        <v>6.1628424135849142</v>
      </c>
      <c r="L66" s="138">
        <f ca="1">OFFSET(RES!O$95,$E66,0)</f>
        <v>6.3998805104367804</v>
      </c>
      <c r="M66" s="138">
        <f ca="1">OFFSET(RES!P$95,$E66,0)</f>
        <v>6.7964154357602977</v>
      </c>
      <c r="N66" s="138">
        <f ca="1">OFFSET(RES!Q$95,$E66,0)</f>
        <v>7.1266270964418199</v>
      </c>
      <c r="O66" s="217">
        <f ca="1">OFFSET(RES!R$95,$E66,0)</f>
        <v>6.846631204887875</v>
      </c>
      <c r="P66" s="138">
        <f ca="1">OFFSET(RES!S$95,$E66,0)</f>
        <v>7.1938912498155005</v>
      </c>
      <c r="Q66" s="138">
        <f ca="1">OFFSET(RES!T$95,$E66,0)</f>
        <v>7.5370071023361556</v>
      </c>
      <c r="R66" s="138">
        <f ca="1">OFFSET(RES!U$95,$E66,0)</f>
        <v>7.9031446107492576</v>
      </c>
      <c r="S66" s="138">
        <f ca="1">OFFSET(RES!V$95,$E66,0)</f>
        <v>8.3120358891588868</v>
      </c>
      <c r="T66" s="217">
        <f ca="1">OFFSET(RES!W$95,$E66,0)</f>
        <v>8.7275941472721303</v>
      </c>
      <c r="U66" s="138">
        <f ca="1">OFFSET(RES!X$95,$E66,0)</f>
        <v>9.1219276149148687</v>
      </c>
      <c r="V66" s="138">
        <f ca="1">OFFSET(RES!Y$95,$E66,0)</f>
        <v>9.5191321315471527</v>
      </c>
      <c r="W66" s="138">
        <f ca="1">OFFSET(RES!Z$95,$E66,0)</f>
        <v>9.925902501839083</v>
      </c>
      <c r="X66" s="138">
        <f ca="1">OFFSET(RES!AA$95,$E66,0)</f>
        <v>10.363351728590791</v>
      </c>
      <c r="Y66" s="219">
        <f ca="1">OFFSET(RES!AB$95,$E66,0)</f>
        <v>10.78582087008887</v>
      </c>
      <c r="Z66" s="138">
        <f ca="1">OFFSET(RES!AC$95,$E66,0)</f>
        <v>11.167994582611925</v>
      </c>
      <c r="AA66" s="138">
        <f ca="1">OFFSET(RES!AD$95,$E66,0)</f>
        <v>11.540155115124691</v>
      </c>
      <c r="AB66" s="138">
        <f ca="1">OFFSET(RES!AE$95,$E66,0)</f>
        <v>11.908078984519374</v>
      </c>
      <c r="AC66" s="138">
        <f ca="1">OFFSET(RES!AF$95,$E66,0)</f>
        <v>12.270967162005588</v>
      </c>
      <c r="AD66" s="138">
        <f ca="1">OFFSET(RES!AG$95,$E66,0)</f>
        <v>12.609352823553861</v>
      </c>
      <c r="AE66" s="138">
        <f ca="1">OFFSET(RES!AH$95,$E66,0)</f>
        <v>12.913565779695377</v>
      </c>
      <c r="AF66" s="138">
        <f ca="1">OFFSET(RES!AI$95,$E66,0)</f>
        <v>13.248356652995131</v>
      </c>
      <c r="AG66" s="138">
        <f ca="1">OFFSET(RES!AJ$95,$E66,0)</f>
        <v>13.560997079626667</v>
      </c>
      <c r="AH66" s="138">
        <f ca="1">OFFSET(RES!AK$95,$E66,0)</f>
        <v>13.87142669538747</v>
      </c>
      <c r="AI66" s="138">
        <f ca="1">OFFSET(RES!AL$95,$E66,0)</f>
        <v>14.176006982055172</v>
      </c>
      <c r="AJ66" s="138">
        <f ca="1">OFFSET(RES!AM$95,$E66,0)</f>
        <v>15.459044405502485</v>
      </c>
      <c r="AK66" s="138">
        <f ca="1">OFFSET(RES!AN$95,$E66,0)</f>
        <v>16.4039017427856</v>
      </c>
      <c r="AL66" s="138">
        <f ca="1">OFFSET(RES!AO$95,$E66,0)</f>
        <v>16.4039017427856</v>
      </c>
      <c r="AM66" s="138">
        <f ca="1">OFFSET(RES!AP$95,$E66,0)</f>
        <v>16.4039017427856</v>
      </c>
    </row>
    <row r="67" spans="1:39">
      <c r="A67" s="36" t="s">
        <v>522</v>
      </c>
      <c r="B67">
        <v>25.581294669590001</v>
      </c>
      <c r="E67" s="141">
        <f>MATCH(F67,RES!$D$96:$D$134,0)</f>
        <v>26</v>
      </c>
      <c r="F67" s="4" t="str">
        <f t="shared" si="0"/>
        <v>RHEWG</v>
      </c>
      <c r="G67" s="138">
        <f ca="1">OFFSET(RES!J$95,$E67,0)</f>
        <v>31.69115874919234</v>
      </c>
      <c r="H67" s="138">
        <f ca="1">OFFSET(RES!K$95,$E67,0)</f>
        <v>32.726385767543825</v>
      </c>
      <c r="I67" s="138">
        <f ca="1">OFFSET(RES!L$95,$E67,0)</f>
        <v>33.761612785895309</v>
      </c>
      <c r="J67" s="138">
        <f ca="1">OFFSET(RES!M$95,$E67,0)</f>
        <v>34.796839804246794</v>
      </c>
      <c r="K67" s="138">
        <f ca="1">OFFSET(RES!N$95,$E67,0)</f>
        <v>35.832066822598279</v>
      </c>
      <c r="L67" s="138">
        <f ca="1">OFFSET(RES!O$95,$E67,0)</f>
        <v>36.867293840949763</v>
      </c>
      <c r="M67" s="138">
        <f ca="1">OFFSET(RES!P$95,$E67,0)</f>
        <v>39.151581740741108</v>
      </c>
      <c r="N67" s="138">
        <f ca="1">OFFSET(RES!Q$95,$E67,0)</f>
        <v>41.053806368872927</v>
      </c>
      <c r="O67" s="217">
        <f ca="1">OFFSET(RES!R$95,$E67,0)</f>
        <v>39.440855815914325</v>
      </c>
      <c r="P67" s="138">
        <f ca="1">OFFSET(RES!S$95,$E67,0)</f>
        <v>41.441289745061923</v>
      </c>
      <c r="Q67" s="138">
        <f ca="1">OFFSET(RES!T$95,$E67,0)</f>
        <v>43.417850547367223</v>
      </c>
      <c r="R67" s="138">
        <f ca="1">OFFSET(RES!U$95,$E67,0)</f>
        <v>45.527030412029696</v>
      </c>
      <c r="S67" s="138">
        <f ca="1">OFFSET(RES!V$95,$E67,0)</f>
        <v>47.882498593903705</v>
      </c>
      <c r="T67" s="217">
        <f ca="1">OFFSET(RES!W$95,$E67,0)</f>
        <v>50.27637272716445</v>
      </c>
      <c r="U67" s="138">
        <f ca="1">OFFSET(RES!X$95,$E67,0)</f>
        <v>52.547978860934798</v>
      </c>
      <c r="V67" s="138">
        <f ca="1">OFFSET(RES!Y$95,$E67,0)</f>
        <v>54.83612402329431</v>
      </c>
      <c r="W67" s="138">
        <f ca="1">OFFSET(RES!Z$95,$E67,0)</f>
        <v>57.179374454749798</v>
      </c>
      <c r="X67" s="138">
        <f ca="1">OFFSET(RES!AA$95,$E67,0)</f>
        <v>59.699354188254354</v>
      </c>
      <c r="Y67" s="219">
        <f ca="1">OFFSET(RES!AB$95,$E67,0)</f>
        <v>62.13303930986617</v>
      </c>
      <c r="Z67" s="138">
        <f ca="1">OFFSET(RES!AC$95,$E67,0)</f>
        <v>64.334597688166667</v>
      </c>
      <c r="AA67" s="138">
        <f ca="1">OFFSET(RES!AD$95,$E67,0)</f>
        <v>66.478473919258377</v>
      </c>
      <c r="AB67" s="138">
        <f ca="1">OFFSET(RES!AE$95,$E67,0)</f>
        <v>68.597944334675134</v>
      </c>
      <c r="AC67" s="138">
        <f ca="1">OFFSET(RES!AF$95,$E67,0)</f>
        <v>70.688406031416704</v>
      </c>
      <c r="AD67" s="138">
        <f ca="1">OFFSET(RES!AG$95,$E67,0)</f>
        <v>72.6377179905259</v>
      </c>
      <c r="AE67" s="138">
        <f ca="1">OFFSET(RES!AH$95,$E67,0)</f>
        <v>74.390173903726648</v>
      </c>
      <c r="AF67" s="138">
        <f ca="1">OFFSET(RES!AI$95,$E67,0)</f>
        <v>76.318777645793674</v>
      </c>
      <c r="AG67" s="138">
        <f ca="1">OFFSET(RES!AJ$95,$E67,0)</f>
        <v>78.119781032714414</v>
      </c>
      <c r="AH67" s="138">
        <f ca="1">OFFSET(RES!AK$95,$E67,0)</f>
        <v>79.908048773420333</v>
      </c>
      <c r="AI67" s="138">
        <f ca="1">OFFSET(RES!AL$95,$E67,0)</f>
        <v>81.66262073901045</v>
      </c>
      <c r="AJ67" s="138">
        <f ca="1">OFFSET(RES!AM$95,$E67,0)</f>
        <v>89.053714623033443</v>
      </c>
      <c r="AK67" s="138">
        <f ca="1">OFFSET(RES!AN$95,$E67,0)</f>
        <v>94.496680790071537</v>
      </c>
      <c r="AL67" s="138">
        <f ca="1">OFFSET(RES!AO$95,$E67,0)</f>
        <v>94.496680790071537</v>
      </c>
      <c r="AM67" s="138">
        <f ca="1">OFFSET(RES!AP$95,$E67,0)</f>
        <v>94.496680790071537</v>
      </c>
    </row>
    <row r="68" spans="1:39">
      <c r="A68" s="36" t="s">
        <v>367</v>
      </c>
      <c r="B68">
        <v>14.738241842140001</v>
      </c>
      <c r="E68" s="141">
        <f>MATCH(F68,RES!$D$96:$D$134,0)</f>
        <v>4</v>
      </c>
      <c r="F68" s="4" t="str">
        <f t="shared" si="0"/>
        <v>RLEH</v>
      </c>
      <c r="G68" s="138">
        <f ca="1">OFFSET(RES!J$95,$E68,0)</f>
        <v>14.59873427639161</v>
      </c>
      <c r="H68" s="138">
        <f ca="1">OFFSET(RES!K$95,$E68,0)</f>
        <v>13.810249302650501</v>
      </c>
      <c r="I68" s="138">
        <f ca="1">OFFSET(RES!L$95,$E68,0)</f>
        <v>13.021764328909391</v>
      </c>
      <c r="J68" s="138">
        <f ca="1">OFFSET(RES!M$95,$E68,0)</f>
        <v>12.233279355168282</v>
      </c>
      <c r="K68" s="138">
        <f ca="1">OFFSET(RES!N$95,$E68,0)</f>
        <v>11.444794381427172</v>
      </c>
      <c r="L68" s="138">
        <f ca="1">OFFSET(RES!O$95,$E68,0)</f>
        <v>10.656309407686063</v>
      </c>
      <c r="M68" s="138">
        <f ca="1">OFFSET(RES!P$95,$E68,0)</f>
        <v>10.538239401399238</v>
      </c>
      <c r="N68" s="138">
        <f ca="1">OFFSET(RES!Q$95,$E68,0)</f>
        <v>10.467397222788367</v>
      </c>
      <c r="O68" s="217">
        <f ca="1">OFFSET(RES!R$95,$E68,0)</f>
        <v>10.76891543375884</v>
      </c>
      <c r="P68" s="138">
        <f ca="1">OFFSET(RES!S$95,$E68,0)</f>
        <v>11.042159823394311</v>
      </c>
      <c r="Q68" s="138">
        <f ca="1">OFFSET(RES!T$95,$E68,0)</f>
        <v>10.840150422336963</v>
      </c>
      <c r="R68" s="138">
        <f ca="1">OFFSET(RES!U$95,$E68,0)</f>
        <v>10.651762662031084</v>
      </c>
      <c r="S68" s="138">
        <f ca="1">OFFSET(RES!V$95,$E68,0)</f>
        <v>10.424762704059413</v>
      </c>
      <c r="T68" s="217">
        <f ca="1">OFFSET(RES!W$95,$E68,0)</f>
        <v>10.1789000665089</v>
      </c>
      <c r="U68" s="138">
        <f ca="1">OFFSET(RES!X$95,$E68,0)</f>
        <v>9.9187515674978251</v>
      </c>
      <c r="V68" s="138">
        <f ca="1">OFFSET(RES!Y$95,$E68,0)</f>
        <v>9.6419249945256542</v>
      </c>
      <c r="W68" s="138">
        <f ca="1">OFFSET(RES!Z$95,$E68,0)</f>
        <v>9.3627899430242874</v>
      </c>
      <c r="X68" s="138">
        <f ca="1">OFFSET(RES!AA$95,$E68,0)</f>
        <v>9.0639587749744113</v>
      </c>
      <c r="Y68" s="219">
        <f ca="1">OFFSET(RES!AB$95,$E68,0)</f>
        <v>8.763637171912368</v>
      </c>
      <c r="Z68" s="138">
        <f ca="1">OFFSET(RES!AC$95,$E68,0)</f>
        <v>8.4762116003877281</v>
      </c>
      <c r="AA68" s="138">
        <f ca="1">OFFSET(RES!AD$95,$E68,0)</f>
        <v>8.1954471248619125</v>
      </c>
      <c r="AB68" s="138">
        <f ca="1">OFFSET(RES!AE$95,$E68,0)</f>
        <v>7.924731476199077</v>
      </c>
      <c r="AC68" s="138">
        <f ca="1">OFFSET(RES!AF$95,$E68,0)</f>
        <v>7.6623675776500715</v>
      </c>
      <c r="AD68" s="138">
        <f ca="1">OFFSET(RES!AG$95,$E68,0)</f>
        <v>7.4188245965159592</v>
      </c>
      <c r="AE68" s="138">
        <f ca="1">OFFSET(RES!AH$95,$E68,0)</f>
        <v>7.1871657980971477</v>
      </c>
      <c r="AF68" s="138">
        <f ca="1">OFFSET(RES!AI$95,$E68,0)</f>
        <v>6.9366492240146984</v>
      </c>
      <c r="AG68" s="138">
        <f ca="1">OFFSET(RES!AJ$95,$E68,0)</f>
        <v>6.6921982319319078</v>
      </c>
      <c r="AH68" s="138">
        <f ca="1">OFFSET(RES!AK$95,$E68,0)</f>
        <v>6.461184228604858</v>
      </c>
      <c r="AI68" s="138">
        <f ca="1">OFFSET(RES!AL$95,$E68,0)</f>
        <v>6.2360926272563217</v>
      </c>
      <c r="AJ68" s="138">
        <f ca="1">OFFSET(RES!AM$95,$E68,0)</f>
        <v>5.2242326225472739</v>
      </c>
      <c r="AK68" s="138">
        <f ca="1">OFFSET(RES!AN$95,$E68,0)</f>
        <v>4.4147715189417767</v>
      </c>
      <c r="AL68" s="138">
        <f ca="1">OFFSET(RES!AO$95,$E68,0)</f>
        <v>4.4147715189417767</v>
      </c>
      <c r="AM68" s="138">
        <f ca="1">OFFSET(RES!AP$95,$E68,0)</f>
        <v>4.4147715189417767</v>
      </c>
    </row>
    <row r="69" spans="1:39">
      <c r="A69" s="36" t="s">
        <v>368</v>
      </c>
      <c r="B69">
        <v>8.0953817121640004</v>
      </c>
      <c r="E69" s="141">
        <f>MATCH(F69,RES!$D$96:$D$134,0)</f>
        <v>3</v>
      </c>
      <c r="F69" s="4" t="str">
        <f t="shared" ref="F69:F131" si="1">A69</f>
        <v>RLEK</v>
      </c>
      <c r="G69" s="138">
        <f ca="1">OFFSET(RES!J$95,$E69,0)</f>
        <v>10.048392993864358</v>
      </c>
      <c r="H69" s="138">
        <f ca="1">OFFSET(RES!K$95,$E69,0)</f>
        <v>10.416076928818626</v>
      </c>
      <c r="I69" s="138">
        <f ca="1">OFFSET(RES!L$95,$E69,0)</f>
        <v>10.783760863772892</v>
      </c>
      <c r="J69" s="138">
        <f ca="1">OFFSET(RES!M$95,$E69,0)</f>
        <v>11.151444798727161</v>
      </c>
      <c r="K69" s="138">
        <f ca="1">OFFSET(RES!N$95,$E69,0)</f>
        <v>11.519128733681427</v>
      </c>
      <c r="L69" s="138">
        <f ca="1">OFFSET(RES!O$95,$E69,0)</f>
        <v>11.886812668635695</v>
      </c>
      <c r="M69" s="138">
        <f ca="1">OFFSET(RES!P$95,$E69,0)</f>
        <v>11.755108905839185</v>
      </c>
      <c r="N69" s="138">
        <f ca="1">OFFSET(RES!Q$95,$E69,0)</f>
        <v>11.676086453133554</v>
      </c>
      <c r="O69" s="217">
        <f ca="1">OFFSET(RES!R$95,$E69,0)</f>
        <v>12.012421515571127</v>
      </c>
      <c r="P69" s="138">
        <f ca="1">OFFSET(RES!S$95,$E69,0)</f>
        <v>12.317217927545601</v>
      </c>
      <c r="Q69" s="138">
        <f ca="1">OFFSET(RES!T$95,$E69,0)</f>
        <v>12.091882136719178</v>
      </c>
      <c r="R69" s="138">
        <f ca="1">OFFSET(RES!U$95,$E69,0)</f>
        <v>11.88174090206202</v>
      </c>
      <c r="S69" s="138">
        <f ca="1">OFFSET(RES!V$95,$E69,0)</f>
        <v>11.628528849655657</v>
      </c>
      <c r="T69" s="217">
        <f ca="1">OFFSET(RES!W$95,$E69,0)</f>
        <v>11.354276010049508</v>
      </c>
      <c r="U69" s="138">
        <f ca="1">OFFSET(RES!X$95,$E69,0)</f>
        <v>11.06408769480211</v>
      </c>
      <c r="V69" s="138">
        <f ca="1">OFFSET(RES!Y$95,$E69,0)</f>
        <v>10.755295458322264</v>
      </c>
      <c r="W69" s="138">
        <f ca="1">OFFSET(RES!Z$95,$E69,0)</f>
        <v>10.443928179135201</v>
      </c>
      <c r="X69" s="138">
        <f ca="1">OFFSET(RES!AA$95,$E69,0)</f>
        <v>10.110590437309083</v>
      </c>
      <c r="Y69" s="219">
        <f ca="1">OFFSET(RES!AB$95,$E69,0)</f>
        <v>9.7755901572526476</v>
      </c>
      <c r="Z69" s="138">
        <f ca="1">OFFSET(RES!AC$95,$E69,0)</f>
        <v>9.4549750367471681</v>
      </c>
      <c r="AA69" s="138">
        <f ca="1">OFFSET(RES!AD$95,$E69,0)</f>
        <v>9.1417901810056534</v>
      </c>
      <c r="AB69" s="138">
        <f ca="1">OFFSET(RES!AE$95,$E69,0)</f>
        <v>8.8398145082833199</v>
      </c>
      <c r="AC69" s="138">
        <f ca="1">OFFSET(RES!AF$95,$E69,0)</f>
        <v>8.5471549773189164</v>
      </c>
      <c r="AD69" s="138">
        <f ca="1">OFFSET(RES!AG$95,$E69,0)</f>
        <v>8.2754896490379792</v>
      </c>
      <c r="AE69" s="138">
        <f ca="1">OFFSET(RES!AH$95,$E69,0)</f>
        <v>8.0170807914780156</v>
      </c>
      <c r="AF69" s="138">
        <f ca="1">OFFSET(RES!AI$95,$E69,0)</f>
        <v>7.7376366168974009</v>
      </c>
      <c r="AG69" s="138">
        <f ca="1">OFFSET(RES!AJ$95,$E69,0)</f>
        <v>7.4649584280063701</v>
      </c>
      <c r="AH69" s="138">
        <f ca="1">OFFSET(RES!AK$95,$E69,0)</f>
        <v>7.2072688211899978</v>
      </c>
      <c r="AI69" s="138">
        <f ca="1">OFFSET(RES!AL$95,$E69,0)</f>
        <v>6.9561854867868664</v>
      </c>
      <c r="AJ69" s="138">
        <f ca="1">OFFSET(RES!AM$95,$E69,0)</f>
        <v>5.8274841829202559</v>
      </c>
      <c r="AK69" s="138">
        <f ca="1">OFFSET(RES!AN$95,$E69,0)</f>
        <v>4.9245531461988863</v>
      </c>
      <c r="AL69" s="138">
        <f ca="1">OFFSET(RES!AO$95,$E69,0)</f>
        <v>4.9245531461988863</v>
      </c>
      <c r="AM69" s="138">
        <f ca="1">OFFSET(RES!AP$95,$E69,0)</f>
        <v>4.9245531461988863</v>
      </c>
    </row>
    <row r="70" spans="1:39">
      <c r="A70" s="36" t="s">
        <v>369</v>
      </c>
      <c r="B70">
        <v>8.4652619723960001</v>
      </c>
      <c r="E70" s="141">
        <f>MATCH(F70,RES!$D$96:$D$134,0)</f>
        <v>1</v>
      </c>
      <c r="F70" s="4" t="str">
        <f t="shared" si="1"/>
        <v>RLEL</v>
      </c>
      <c r="G70" s="138">
        <f ca="1">OFFSET(RES!J$95,$E70,0)</f>
        <v>10.658785333292295</v>
      </c>
      <c r="H70" s="138">
        <f ca="1">OFFSET(RES!K$95,$E70,0)</f>
        <v>12.189694821328063</v>
      </c>
      <c r="I70" s="138">
        <f ca="1">OFFSET(RES!L$95,$E70,0)</f>
        <v>13.720604309363832</v>
      </c>
      <c r="J70" s="138">
        <f ca="1">OFFSET(RES!M$95,$E70,0)</f>
        <v>15.2515137973996</v>
      </c>
      <c r="K70" s="138">
        <f ca="1">OFFSET(RES!N$95,$E70,0)</f>
        <v>16.782423285435367</v>
      </c>
      <c r="L70" s="138">
        <f ca="1">OFFSET(RES!O$95,$E70,0)</f>
        <v>18.313332773471135</v>
      </c>
      <c r="M70" s="138">
        <f ca="1">OFFSET(RES!P$95,$E70,0)</f>
        <v>18.110424314925734</v>
      </c>
      <c r="N70" s="138">
        <f ca="1">OFFSET(RES!Q$95,$E70,0)</f>
        <v>17.988678939330427</v>
      </c>
      <c r="O70" s="217">
        <f ca="1">OFFSET(RES!R$95,$E70,0)</f>
        <v>18.506851143562901</v>
      </c>
      <c r="P70" s="138">
        <f ca="1">OFFSET(RES!S$95,$E70,0)</f>
        <v>18.976433551921762</v>
      </c>
      <c r="Q70" s="138">
        <f ca="1">OFFSET(RES!T$95,$E70,0)</f>
        <v>18.629271580229716</v>
      </c>
      <c r="R70" s="138">
        <f ca="1">OFFSET(RES!U$95,$E70,0)</f>
        <v>18.305518992636667</v>
      </c>
      <c r="S70" s="138">
        <f ca="1">OFFSET(RES!V$95,$E70,0)</f>
        <v>17.915409658264227</v>
      </c>
      <c r="T70" s="217">
        <f ca="1">OFFSET(RES!W$95,$E70,0)</f>
        <v>17.492883985841626</v>
      </c>
      <c r="U70" s="138">
        <f ca="1">OFFSET(RES!X$95,$E70,0)</f>
        <v>17.045807437043916</v>
      </c>
      <c r="V70" s="138">
        <f ca="1">OFFSET(RES!Y$95,$E70,0)</f>
        <v>16.570068890289409</v>
      </c>
      <c r="W70" s="138">
        <f ca="1">OFFSET(RES!Z$95,$E70,0)</f>
        <v>16.090363122437221</v>
      </c>
      <c r="X70" s="138">
        <f ca="1">OFFSET(RES!AA$95,$E70,0)</f>
        <v>15.576808718730131</v>
      </c>
      <c r="Y70" s="219">
        <f ca="1">OFFSET(RES!AB$95,$E70,0)</f>
        <v>15.06069293740995</v>
      </c>
      <c r="Z70" s="138">
        <f ca="1">OFFSET(RES!AC$95,$E70,0)</f>
        <v>14.566739549087789</v>
      </c>
      <c r="AA70" s="138">
        <f ca="1">OFFSET(RES!AD$95,$E70,0)</f>
        <v>14.084233544939226</v>
      </c>
      <c r="AB70" s="138">
        <f ca="1">OFFSET(RES!AE$95,$E70,0)</f>
        <v>13.618996888299661</v>
      </c>
      <c r="AC70" s="138">
        <f ca="1">OFFSET(RES!AF$95,$E70,0)</f>
        <v>13.16811307871286</v>
      </c>
      <c r="AD70" s="138">
        <f ca="1">OFFSET(RES!AG$95,$E70,0)</f>
        <v>12.749573837074918</v>
      </c>
      <c r="AE70" s="138">
        <f ca="1">OFFSET(RES!AH$95,$E70,0)</f>
        <v>12.351458082075704</v>
      </c>
      <c r="AF70" s="138">
        <f ca="1">OFFSET(RES!AI$95,$E70,0)</f>
        <v>11.920934416618618</v>
      </c>
      <c r="AG70" s="138">
        <f ca="1">OFFSET(RES!AJ$95,$E70,0)</f>
        <v>11.500834718538492</v>
      </c>
      <c r="AH70" s="138">
        <f ca="1">OFFSET(RES!AK$95,$E70,0)</f>
        <v>11.103827072044236</v>
      </c>
      <c r="AI70" s="138">
        <f ca="1">OFFSET(RES!AL$95,$E70,0)</f>
        <v>10.716997331812028</v>
      </c>
      <c r="AJ70" s="138">
        <f ca="1">OFFSET(RES!AM$95,$E70,0)</f>
        <v>8.9780717547227056</v>
      </c>
      <c r="AK70" s="138">
        <f ca="1">OFFSET(RES!AN$95,$E70,0)</f>
        <v>7.5869775221531599</v>
      </c>
      <c r="AL70" s="138">
        <f ca="1">OFFSET(RES!AO$95,$E70,0)</f>
        <v>7.5869775221531599</v>
      </c>
      <c r="AM70" s="138">
        <f ca="1">OFFSET(RES!AP$95,$E70,0)</f>
        <v>7.5869775221531599</v>
      </c>
    </row>
    <row r="71" spans="1:39">
      <c r="A71" s="36" t="s">
        <v>370</v>
      </c>
      <c r="B71">
        <v>1.2001829018570001</v>
      </c>
      <c r="E71" s="141">
        <f>MATCH(F71,RES!$D$96:$D$134,0)</f>
        <v>8</v>
      </c>
      <c r="F71" s="4" t="str">
        <f t="shared" si="1"/>
        <v>RLEO</v>
      </c>
      <c r="G71" s="138">
        <f ca="1">OFFSET(RES!J$95,$E71,0)</f>
        <v>2.0112975726561855</v>
      </c>
      <c r="H71" s="138">
        <f ca="1">OFFSET(RES!K$95,$E71,0)</f>
        <v>2.1151588924082221</v>
      </c>
      <c r="I71" s="138">
        <f ca="1">OFFSET(RES!L$95,$E71,0)</f>
        <v>2.2190202121602591</v>
      </c>
      <c r="J71" s="138">
        <f ca="1">OFFSET(RES!M$95,$E71,0)</f>
        <v>2.3228815319122957</v>
      </c>
      <c r="K71" s="138">
        <f ca="1">OFFSET(RES!N$95,$E71,0)</f>
        <v>2.4267428516643328</v>
      </c>
      <c r="L71" s="138">
        <f ca="1">OFFSET(RES!O$95,$E71,0)</f>
        <v>2.5306041714163694</v>
      </c>
      <c r="M71" s="138">
        <f ca="1">OFFSET(RES!P$95,$E71,0)</f>
        <v>2.5025655288622137</v>
      </c>
      <c r="N71" s="138">
        <f ca="1">OFFSET(RES!Q$95,$E71,0)</f>
        <v>2.4857423018099296</v>
      </c>
      <c r="O71" s="217">
        <f ca="1">OFFSET(RES!R$95,$E71,0)</f>
        <v>2.5573452567588104</v>
      </c>
      <c r="P71" s="138">
        <f ca="1">OFFSET(RES!S$95,$E71,0)</f>
        <v>2.6222338936943057</v>
      </c>
      <c r="Q71" s="138">
        <f ca="1">OFFSET(RES!T$95,$E71,0)</f>
        <v>2.5742617662509781</v>
      </c>
      <c r="R71" s="138">
        <f ca="1">OFFSET(RES!U$95,$E71,0)</f>
        <v>2.5295244342315089</v>
      </c>
      <c r="S71" s="138">
        <f ca="1">OFFSET(RES!V$95,$E71,0)</f>
        <v>2.4756176810979973</v>
      </c>
      <c r="T71" s="217">
        <f ca="1">OFFSET(RES!W$95,$E71,0)</f>
        <v>2.4172315182739337</v>
      </c>
      <c r="U71" s="138">
        <f ca="1">OFFSET(RES!X$95,$E71,0)</f>
        <v>2.3554528243942028</v>
      </c>
      <c r="V71" s="138">
        <f ca="1">OFFSET(RES!Y$95,$E71,0)</f>
        <v>2.289713509447417</v>
      </c>
      <c r="W71" s="138">
        <f ca="1">OFFSET(RES!Z$95,$E71,0)</f>
        <v>2.2234259891912584</v>
      </c>
      <c r="X71" s="138">
        <f ca="1">OFFSET(RES!AA$95,$E71,0)</f>
        <v>2.152461139027392</v>
      </c>
      <c r="Y71" s="219">
        <f ca="1">OFFSET(RES!AB$95,$E71,0)</f>
        <v>2.0811423482153408</v>
      </c>
      <c r="Z71" s="138">
        <f ca="1">OFFSET(RES!AC$95,$E71,0)</f>
        <v>2.0128860389768568</v>
      </c>
      <c r="AA71" s="138">
        <f ca="1">OFFSET(RES!AD$95,$E71,0)</f>
        <v>1.9462115716947139</v>
      </c>
      <c r="AB71" s="138">
        <f ca="1">OFFSET(RES!AE$95,$E71,0)</f>
        <v>1.8819234468322978</v>
      </c>
      <c r="AC71" s="138">
        <f ca="1">OFFSET(RES!AF$95,$E71,0)</f>
        <v>1.8196186515512698</v>
      </c>
      <c r="AD71" s="138">
        <f ca="1">OFFSET(RES!AG$95,$E71,0)</f>
        <v>1.7617833485022951</v>
      </c>
      <c r="AE71" s="138">
        <f ca="1">OFFSET(RES!AH$95,$E71,0)</f>
        <v>1.706770238503714</v>
      </c>
      <c r="AF71" s="138">
        <f ca="1">OFFSET(RES!AI$95,$E71,0)</f>
        <v>1.6472788833705072</v>
      </c>
      <c r="AG71" s="138">
        <f ca="1">OFFSET(RES!AJ$95,$E71,0)</f>
        <v>1.5892279506690414</v>
      </c>
      <c r="AH71" s="138">
        <f ca="1">OFFSET(RES!AK$95,$E71,0)</f>
        <v>1.5343679632090892</v>
      </c>
      <c r="AI71" s="138">
        <f ca="1">OFFSET(RES!AL$95,$E71,0)</f>
        <v>1.4809143965443912</v>
      </c>
      <c r="AJ71" s="138">
        <f ca="1">OFFSET(RES!AM$95,$E71,0)</f>
        <v>1.2406232177842089</v>
      </c>
      <c r="AK71" s="138">
        <f ca="1">OFFSET(RES!AN$95,$E71,0)</f>
        <v>1.0483966628846386</v>
      </c>
      <c r="AL71" s="138">
        <f ca="1">OFFSET(RES!AO$95,$E71,0)</f>
        <v>1.0483966628846386</v>
      </c>
      <c r="AM71" s="138">
        <f ca="1">OFFSET(RES!AP$95,$E71,0)</f>
        <v>1.0483966628846386</v>
      </c>
    </row>
    <row r="72" spans="1:39">
      <c r="A72" s="36" t="s">
        <v>371</v>
      </c>
      <c r="B72">
        <v>1.9088027674250001</v>
      </c>
      <c r="E72" s="141">
        <f>MATCH(F72,RES!$D$96:$D$134,0)</f>
        <v>7</v>
      </c>
      <c r="F72" s="4" t="str">
        <f t="shared" si="1"/>
        <v>RLER</v>
      </c>
      <c r="G72" s="138">
        <f ca="1">OFFSET(RES!J$95,$E72,0)</f>
        <v>1.4522685698054492</v>
      </c>
      <c r="H72" s="138">
        <f ca="1">OFFSET(RES!K$95,$E72,0)</f>
        <v>1.6534920531745438</v>
      </c>
      <c r="I72" s="138">
        <f ca="1">OFFSET(RES!L$95,$E72,0)</f>
        <v>1.8547155365436385</v>
      </c>
      <c r="J72" s="138">
        <f ca="1">OFFSET(RES!M$95,$E72,0)</f>
        <v>2.0559390199127332</v>
      </c>
      <c r="K72" s="138">
        <f ca="1">OFFSET(RES!N$95,$E72,0)</f>
        <v>2.2571625032818279</v>
      </c>
      <c r="L72" s="138">
        <f ca="1">OFFSET(RES!O$95,$E72,0)</f>
        <v>2.4583859866509226</v>
      </c>
      <c r="M72" s="138">
        <f ca="1">OFFSET(RES!P$95,$E72,0)</f>
        <v>2.4311475086943837</v>
      </c>
      <c r="N72" s="138">
        <f ca="1">OFFSET(RES!Q$95,$E72,0)</f>
        <v>2.4148043815855584</v>
      </c>
      <c r="O72" s="217">
        <f ca="1">OFFSET(RES!R$95,$E72,0)</f>
        <v>2.4843639369824042</v>
      </c>
      <c r="P72" s="138">
        <f ca="1">OFFSET(RES!S$95,$E72,0)</f>
        <v>2.5474007870504325</v>
      </c>
      <c r="Q72" s="138">
        <f ca="1">OFFSET(RES!T$95,$E72,0)</f>
        <v>2.5007976844441084</v>
      </c>
      <c r="R72" s="138">
        <f ca="1">OFFSET(RES!U$95,$E72,0)</f>
        <v>2.4573370629217561</v>
      </c>
      <c r="S72" s="138">
        <f ca="1">OFFSET(RES!V$95,$E72,0)</f>
        <v>2.4049686965110175</v>
      </c>
      <c r="T72" s="217">
        <f ca="1">OFFSET(RES!W$95,$E72,0)</f>
        <v>2.3482487534546284</v>
      </c>
      <c r="U72" s="138">
        <f ca="1">OFFSET(RES!X$95,$E72,0)</f>
        <v>2.2882330951296348</v>
      </c>
      <c r="V72" s="138">
        <f ca="1">OFFSET(RES!Y$95,$E72,0)</f>
        <v>2.2243698436331529</v>
      </c>
      <c r="W72" s="138">
        <f ca="1">OFFSET(RES!Z$95,$E72,0)</f>
        <v>2.159974031467724</v>
      </c>
      <c r="X72" s="138">
        <f ca="1">OFFSET(RES!AA$95,$E72,0)</f>
        <v>2.091034370671232</v>
      </c>
      <c r="Y72" s="219">
        <f ca="1">OFFSET(RES!AB$95,$E72,0)</f>
        <v>2.0217508699572093</v>
      </c>
      <c r="Z72" s="138">
        <f ca="1">OFFSET(RES!AC$95,$E72,0)</f>
        <v>1.9554424539561071</v>
      </c>
      <c r="AA72" s="138">
        <f ca="1">OFFSET(RES!AD$95,$E72,0)</f>
        <v>1.8906707374287868</v>
      </c>
      <c r="AB72" s="138">
        <f ca="1">OFFSET(RES!AE$95,$E72,0)</f>
        <v>1.8282172620670627</v>
      </c>
      <c r="AC72" s="138">
        <f ca="1">OFFSET(RES!AF$95,$E72,0)</f>
        <v>1.7676905161815908</v>
      </c>
      <c r="AD72" s="138">
        <f ca="1">OFFSET(RES!AG$95,$E72,0)</f>
        <v>1.7115057125069291</v>
      </c>
      <c r="AE72" s="138">
        <f ca="1">OFFSET(RES!AH$95,$E72,0)</f>
        <v>1.6580625623571756</v>
      </c>
      <c r="AF72" s="138">
        <f ca="1">OFFSET(RES!AI$95,$E72,0)</f>
        <v>1.6002689668836916</v>
      </c>
      <c r="AG72" s="138">
        <f ca="1">OFFSET(RES!AJ$95,$E72,0)</f>
        <v>1.5438746871787687</v>
      </c>
      <c r="AH72" s="138">
        <f ca="1">OFFSET(RES!AK$95,$E72,0)</f>
        <v>1.4905802897685616</v>
      </c>
      <c r="AI72" s="138">
        <f ca="1">OFFSET(RES!AL$95,$E72,0)</f>
        <v>1.4386521768264828</v>
      </c>
      <c r="AJ72" s="138">
        <f ca="1">OFFSET(RES!AM$95,$E72,0)</f>
        <v>1.2052184090123583</v>
      </c>
      <c r="AK72" s="138">
        <f ca="1">OFFSET(RES!AN$95,$E72,0)</f>
        <v>1.0184776005662892</v>
      </c>
      <c r="AL72" s="138">
        <f ca="1">OFFSET(RES!AO$95,$E72,0)</f>
        <v>1.0184776005662892</v>
      </c>
      <c r="AM72" s="138">
        <f ca="1">OFFSET(RES!AP$95,$E72,0)</f>
        <v>1.0184776005662892</v>
      </c>
    </row>
    <row r="73" spans="1:39">
      <c r="A73" s="36" t="s">
        <v>372</v>
      </c>
      <c r="B73">
        <v>7.6914136780069997</v>
      </c>
      <c r="E73" s="141">
        <f>MATCH(F73,RES!$D$96:$D$134,0)</f>
        <v>6</v>
      </c>
      <c r="F73" s="4" t="str">
        <f t="shared" si="1"/>
        <v>RLEW</v>
      </c>
      <c r="G73" s="138">
        <f ca="1">OFFSET(RES!J$95,$E73,0)</f>
        <v>5.646504427564552</v>
      </c>
      <c r="H73" s="138">
        <f ca="1">OFFSET(RES!K$95,$E73,0)</f>
        <v>5.8958681759198246</v>
      </c>
      <c r="I73" s="138">
        <f ca="1">OFFSET(RES!L$95,$E73,0)</f>
        <v>6.1452319242750963</v>
      </c>
      <c r="J73" s="138">
        <f ca="1">OFFSET(RES!M$95,$E73,0)</f>
        <v>6.394595672630369</v>
      </c>
      <c r="K73" s="138">
        <f ca="1">OFFSET(RES!N$95,$E73,0)</f>
        <v>6.6439594209856407</v>
      </c>
      <c r="L73" s="138">
        <f ca="1">OFFSET(RES!O$95,$E73,0)</f>
        <v>6.8933231693409134</v>
      </c>
      <c r="M73" s="138">
        <f ca="1">OFFSET(RES!P$95,$E73,0)</f>
        <v>6.8169463789528493</v>
      </c>
      <c r="N73" s="138">
        <f ca="1">OFFSET(RES!Q$95,$E73,0)</f>
        <v>6.7711201916207999</v>
      </c>
      <c r="O73" s="217">
        <f ca="1">OFFSET(RES!R$95,$E73,0)</f>
        <v>6.9661654357239646</v>
      </c>
      <c r="P73" s="138">
        <f ca="1">OFFSET(RES!S$95,$E73,0)</f>
        <v>7.1429209905700031</v>
      </c>
      <c r="Q73" s="138">
        <f ca="1">OFFSET(RES!T$95,$E73,0)</f>
        <v>7.0122457228521844</v>
      </c>
      <c r="R73" s="138">
        <f ca="1">OFFSET(RES!U$95,$E73,0)</f>
        <v>6.8903819834228361</v>
      </c>
      <c r="S73" s="138">
        <f ca="1">OFFSET(RES!V$95,$E73,0)</f>
        <v>6.7435408952129814</v>
      </c>
      <c r="T73" s="217">
        <f ca="1">OFFSET(RES!W$95,$E73,0)</f>
        <v>6.5844979704007756</v>
      </c>
      <c r="U73" s="138">
        <f ca="1">OFFSET(RES!X$95,$E73,0)</f>
        <v>6.4162138480939603</v>
      </c>
      <c r="V73" s="138">
        <f ca="1">OFFSET(RES!Y$95,$E73,0)</f>
        <v>6.2371410606632631</v>
      </c>
      <c r="W73" s="138">
        <f ca="1">OFFSET(RES!Z$95,$E73,0)</f>
        <v>6.0565749711968948</v>
      </c>
      <c r="X73" s="138">
        <f ca="1">OFFSET(RES!AA$95,$E73,0)</f>
        <v>5.8632679137879151</v>
      </c>
      <c r="Y73" s="219">
        <f ca="1">OFFSET(RES!AB$95,$E73,0)</f>
        <v>5.6689967280105948</v>
      </c>
      <c r="Z73" s="138">
        <f ca="1">OFFSET(RES!AC$95,$E73,0)</f>
        <v>5.4830676904938356</v>
      </c>
      <c r="AA73" s="138">
        <f ca="1">OFFSET(RES!AD$95,$E73,0)</f>
        <v>5.3014475638415437</v>
      </c>
      <c r="AB73" s="138">
        <f ca="1">OFFSET(RES!AE$95,$E73,0)</f>
        <v>5.1263277937751175</v>
      </c>
      <c r="AC73" s="138">
        <f ca="1">OFFSET(RES!AF$95,$E73,0)</f>
        <v>4.9566105801061893</v>
      </c>
      <c r="AD73" s="138">
        <f ca="1">OFFSET(RES!AG$95,$E73,0)</f>
        <v>4.7990681880495876</v>
      </c>
      <c r="AE73" s="138">
        <f ca="1">OFFSET(RES!AH$95,$E73,0)</f>
        <v>4.6492134023608127</v>
      </c>
      <c r="AF73" s="138">
        <f ca="1">OFFSET(RES!AI$95,$E73,0)</f>
        <v>4.487159952300428</v>
      </c>
      <c r="AG73" s="138">
        <f ca="1">OFFSET(RES!AJ$95,$E73,0)</f>
        <v>4.3290301886997877</v>
      </c>
      <c r="AH73" s="138">
        <f ca="1">OFFSET(RES!AK$95,$E73,0)</f>
        <v>4.179592506228972</v>
      </c>
      <c r="AI73" s="138">
        <f ca="1">OFFSET(RES!AL$95,$E73,0)</f>
        <v>4.0339858903324055</v>
      </c>
      <c r="AJ73" s="138">
        <f ca="1">OFFSET(RES!AM$95,$E73,0)</f>
        <v>3.3794367638253076</v>
      </c>
      <c r="AK73" s="138">
        <f ca="1">OFFSET(RES!AN$95,$E73,0)</f>
        <v>2.8558148637198686</v>
      </c>
      <c r="AL73" s="138">
        <f ca="1">OFFSET(RES!AO$95,$E73,0)</f>
        <v>2.8558148637198686</v>
      </c>
      <c r="AM73" s="138">
        <f ca="1">OFFSET(RES!AP$95,$E73,0)</f>
        <v>2.8558148637198686</v>
      </c>
    </row>
    <row r="74" spans="1:39">
      <c r="A74" s="36" t="s">
        <v>373</v>
      </c>
      <c r="B74">
        <v>0.1043575899953</v>
      </c>
      <c r="E74" s="141">
        <f>MATCH(F74,RES!$D$96:$D$134,0)</f>
        <v>2</v>
      </c>
      <c r="F74" s="4" t="str">
        <f t="shared" si="1"/>
        <v>RLNL</v>
      </c>
      <c r="G74" s="138">
        <f ca="1">OFFSET(RES!J$95,$E74,0)</f>
        <v>4.742986727829742E-2</v>
      </c>
      <c r="H74" s="138">
        <f ca="1">OFFSET(RES!K$95,$E74,0)</f>
        <v>4.5519745651797672E-2</v>
      </c>
      <c r="I74" s="138">
        <f ca="1">OFFSET(RES!L$95,$E74,0)</f>
        <v>4.3609624025297923E-2</v>
      </c>
      <c r="J74" s="138">
        <f ca="1">OFFSET(RES!M$95,$E74,0)</f>
        <v>4.1699502398798181E-2</v>
      </c>
      <c r="K74" s="138">
        <f ca="1">OFFSET(RES!N$95,$E74,0)</f>
        <v>3.9789380772298433E-2</v>
      </c>
      <c r="L74" s="138">
        <f ca="1">OFFSET(RES!O$95,$E74,0)</f>
        <v>3.7879259145798684E-2</v>
      </c>
      <c r="M74" s="138">
        <f ca="1">OFFSET(RES!P$95,$E74,0)</f>
        <v>3.7459563715196896E-2</v>
      </c>
      <c r="N74" s="138">
        <f ca="1">OFFSET(RES!Q$95,$E74,0)</f>
        <v>3.7207745835348305E-2</v>
      </c>
      <c r="O74" s="217">
        <f ca="1">OFFSET(RES!R$95,$E74,0)</f>
        <v>3.8279532137113374E-2</v>
      </c>
      <c r="P74" s="138">
        <f ca="1">OFFSET(RES!S$95,$E74,0)</f>
        <v>3.9250815406879573E-2</v>
      </c>
      <c r="Q74" s="138">
        <f ca="1">OFFSET(RES!T$95,$E74,0)</f>
        <v>3.8532746311868149E-2</v>
      </c>
      <c r="R74" s="138">
        <f ca="1">OFFSET(RES!U$95,$E74,0)</f>
        <v>3.7863097137889018E-2</v>
      </c>
      <c r="S74" s="138">
        <f ca="1">OFFSET(RES!V$95,$E74,0)</f>
        <v>3.7056195807875794E-2</v>
      </c>
      <c r="T74" s="217">
        <f ca="1">OFFSET(RES!W$95,$E74,0)</f>
        <v>3.6182244592145495E-2</v>
      </c>
      <c r="U74" s="138">
        <f ca="1">OFFSET(RES!X$95,$E74,0)</f>
        <v>3.5257512395150209E-2</v>
      </c>
      <c r="V74" s="138">
        <f ca="1">OFFSET(RES!Y$95,$E74,0)</f>
        <v>3.4273495781622358E-2</v>
      </c>
      <c r="W74" s="138">
        <f ca="1">OFFSET(RES!Z$95,$E74,0)</f>
        <v>3.328127337628662E-2</v>
      </c>
      <c r="X74" s="138">
        <f ca="1">OFFSET(RES!AA$95,$E74,0)</f>
        <v>3.2219038523454868E-2</v>
      </c>
      <c r="Y74" s="219">
        <f ca="1">OFFSET(RES!AB$95,$E74,0)</f>
        <v>3.1151505722533786E-2</v>
      </c>
      <c r="Z74" s="138">
        <f ca="1">OFFSET(RES!AC$95,$E74,0)</f>
        <v>3.012981356886393E-2</v>
      </c>
      <c r="AA74" s="138">
        <f ca="1">OFFSET(RES!AD$95,$E74,0)</f>
        <v>2.9131799160638714E-2</v>
      </c>
      <c r="AB74" s="138">
        <f ca="1">OFFSET(RES!AE$95,$E74,0)</f>
        <v>2.8169504634625205E-2</v>
      </c>
      <c r="AC74" s="138">
        <f ca="1">OFFSET(RES!AF$95,$E74,0)</f>
        <v>2.7236897507389227E-2</v>
      </c>
      <c r="AD74" s="138">
        <f ca="1">OFFSET(RES!AG$95,$E74,0)</f>
        <v>2.6371191816743127E-2</v>
      </c>
      <c r="AE74" s="138">
        <f ca="1">OFFSET(RES!AH$95,$E74,0)</f>
        <v>2.5547730023077368E-2</v>
      </c>
      <c r="AF74" s="138">
        <f ca="1">OFFSET(RES!AI$95,$E74,0)</f>
        <v>2.4657235775308775E-2</v>
      </c>
      <c r="AG74" s="138">
        <f ca="1">OFFSET(RES!AJ$95,$E74,0)</f>
        <v>2.3788302439826516E-2</v>
      </c>
      <c r="AH74" s="138">
        <f ca="1">OFFSET(RES!AK$95,$E74,0)</f>
        <v>2.296713265547114E-2</v>
      </c>
      <c r="AI74" s="138">
        <f ca="1">OFFSET(RES!AL$95,$E74,0)</f>
        <v>2.2167014831107459E-2</v>
      </c>
      <c r="AJ74" s="138">
        <f ca="1">OFFSET(RES!AM$95,$E74,0)</f>
        <v>1.8570224810164754E-2</v>
      </c>
      <c r="AK74" s="138">
        <f ca="1">OFFSET(RES!AN$95,$E74,0)</f>
        <v>1.5692888413588145E-2</v>
      </c>
      <c r="AL74" s="138">
        <f ca="1">OFFSET(RES!AO$95,$E74,0)</f>
        <v>1.5692888413588145E-2</v>
      </c>
      <c r="AM74" s="138">
        <f ca="1">OFFSET(RES!AP$95,$E74,0)</f>
        <v>1.5692888413588145E-2</v>
      </c>
    </row>
    <row r="75" spans="1:39">
      <c r="A75" s="36" t="s">
        <v>374</v>
      </c>
      <c r="B75">
        <v>12.72538201427</v>
      </c>
      <c r="E75" s="141">
        <f>MATCH(F75,RES!$D$96:$D$134,0)</f>
        <v>15</v>
      </c>
      <c r="F75" s="4" t="str">
        <f t="shared" si="1"/>
        <v>RMEH</v>
      </c>
      <c r="G75" s="138">
        <f ca="1">OFFSET(RES!J$95,$E75,0)</f>
        <v>13.155695330373915</v>
      </c>
      <c r="H75" s="138">
        <f ca="1">OFFSET(RES!K$95,$E75,0)</f>
        <v>13.019773153070009</v>
      </c>
      <c r="I75" s="138">
        <f ca="1">OFFSET(RES!L$95,$E75,0)</f>
        <v>12.883850975766103</v>
      </c>
      <c r="J75" s="138">
        <f ca="1">OFFSET(RES!M$95,$E75,0)</f>
        <v>12.747928798462198</v>
      </c>
      <c r="K75" s="138">
        <f ca="1">OFFSET(RES!N$95,$E75,0)</f>
        <v>12.612006621158292</v>
      </c>
      <c r="L75" s="138">
        <f ca="1">OFFSET(RES!O$95,$E75,0)</f>
        <v>12.476084443854386</v>
      </c>
      <c r="M75" s="138">
        <f ca="1">OFFSET(RES!P$95,$E75,0)</f>
        <v>12.832215945436623</v>
      </c>
      <c r="N75" s="138">
        <f ca="1">OFFSET(RES!Q$95,$E75,0)</f>
        <v>13.230048871756258</v>
      </c>
      <c r="O75" s="217">
        <f ca="1">OFFSET(RES!R$95,$E75,0)</f>
        <v>13.997463126158326</v>
      </c>
      <c r="P75" s="138">
        <f ca="1">OFFSET(RES!S$95,$E75,0)</f>
        <v>13.524003859873414</v>
      </c>
      <c r="Q75" s="138">
        <f ca="1">OFFSET(RES!T$95,$E75,0)</f>
        <v>13.907840708702521</v>
      </c>
      <c r="R75" s="138">
        <f ca="1">OFFSET(RES!U$95,$E75,0)</f>
        <v>14.237800636449212</v>
      </c>
      <c r="S75" s="138">
        <f ca="1">OFFSET(RES!V$95,$E75,0)</f>
        <v>14.574062737044093</v>
      </c>
      <c r="T75" s="217">
        <f ca="1">OFFSET(RES!W$95,$E75,0)</f>
        <v>14.942344518534169</v>
      </c>
      <c r="U75" s="138">
        <f ca="1">OFFSET(RES!X$95,$E75,0)</f>
        <v>15.301577696209312</v>
      </c>
      <c r="V75" s="138">
        <f ca="1">OFFSET(RES!Y$95,$E75,0)</f>
        <v>15.694261043406289</v>
      </c>
      <c r="W75" s="138">
        <f ca="1">OFFSET(RES!Z$95,$E75,0)</f>
        <v>16.082770342830397</v>
      </c>
      <c r="X75" s="138">
        <f ca="1">OFFSET(RES!AA$95,$E75,0)</f>
        <v>16.46257872704594</v>
      </c>
      <c r="Y75" s="219">
        <f ca="1">OFFSET(RES!AB$95,$E75,0)</f>
        <v>16.879467118912896</v>
      </c>
      <c r="Z75" s="138">
        <f ca="1">OFFSET(RES!AC$95,$E75,0)</f>
        <v>17.192299847945947</v>
      </c>
      <c r="AA75" s="138">
        <f ca="1">OFFSET(RES!AD$95,$E75,0)</f>
        <v>17.514015280589213</v>
      </c>
      <c r="AB75" s="138">
        <f ca="1">OFFSET(RES!AE$95,$E75,0)</f>
        <v>17.828204073197799</v>
      </c>
      <c r="AC75" s="138">
        <f ca="1">OFFSET(RES!AF$95,$E75,0)</f>
        <v>18.139468221235404</v>
      </c>
      <c r="AD75" s="138">
        <f ca="1">OFFSET(RES!AG$95,$E75,0)</f>
        <v>18.462362287602673</v>
      </c>
      <c r="AE75" s="138">
        <f ca="1">OFFSET(RES!AH$95,$E75,0)</f>
        <v>18.760818153238755</v>
      </c>
      <c r="AF75" s="138">
        <f ca="1">OFFSET(RES!AI$95,$E75,0)</f>
        <v>19.043887731333953</v>
      </c>
      <c r="AG75" s="138">
        <f ca="1">OFFSET(RES!AJ$95,$E75,0)</f>
        <v>19.357340818084264</v>
      </c>
      <c r="AH75" s="138">
        <f ca="1">OFFSET(RES!AK$95,$E75,0)</f>
        <v>19.65251986478938</v>
      </c>
      <c r="AI75" s="138">
        <f ca="1">OFFSET(RES!AL$95,$E75,0)</f>
        <v>19.949855121362205</v>
      </c>
      <c r="AJ75" s="138">
        <f ca="1">OFFSET(RES!AM$95,$E75,0)</f>
        <v>21.930273227189872</v>
      </c>
      <c r="AK75" s="138">
        <f ca="1">OFFSET(RES!AN$95,$E75,0)</f>
        <v>23.922726469736826</v>
      </c>
      <c r="AL75" s="138">
        <f ca="1">OFFSET(RES!AO$95,$E75,0)</f>
        <v>23.922726469736826</v>
      </c>
      <c r="AM75" s="138">
        <f ca="1">OFFSET(RES!AP$95,$E75,0)</f>
        <v>23.922726469736826</v>
      </c>
    </row>
    <row r="76" spans="1:39">
      <c r="A76" s="36" t="s">
        <v>375</v>
      </c>
      <c r="B76">
        <v>5.0035172999329998</v>
      </c>
      <c r="E76" s="141">
        <f>MATCH(F76,RES!$D$96:$D$134,0)</f>
        <v>14</v>
      </c>
      <c r="F76" s="4" t="str">
        <f t="shared" si="1"/>
        <v>RMEK</v>
      </c>
      <c r="G76" s="138">
        <f ca="1">OFFSET(RES!J$95,$E76,0)</f>
        <v>9.0407206613711697</v>
      </c>
      <c r="H76" s="138">
        <f ca="1">OFFSET(RES!K$95,$E76,0)</f>
        <v>8.8932969332630538</v>
      </c>
      <c r="I76" s="138">
        <f ca="1">OFFSET(RES!L$95,$E76,0)</f>
        <v>8.7458732051549379</v>
      </c>
      <c r="J76" s="138">
        <f ca="1">OFFSET(RES!M$95,$E76,0)</f>
        <v>8.5984494770468238</v>
      </c>
      <c r="K76" s="138">
        <f ca="1">OFFSET(RES!N$95,$E76,0)</f>
        <v>8.4510257489387079</v>
      </c>
      <c r="L76" s="138">
        <f ca="1">OFFSET(RES!O$95,$E76,0)</f>
        <v>8.3036020208305921</v>
      </c>
      <c r="M76" s="138">
        <f ca="1">OFFSET(RES!P$95,$E76,0)</f>
        <v>8.5406294527566686</v>
      </c>
      <c r="N76" s="138">
        <f ca="1">OFFSET(RES!Q$95,$E76,0)</f>
        <v>8.8054117493022748</v>
      </c>
      <c r="O76" s="217">
        <f ca="1">OFFSET(RES!R$95,$E76,0)</f>
        <v>9.3161731650608992</v>
      </c>
      <c r="P76" s="138">
        <f ca="1">OFFSET(RES!S$95,$E76,0)</f>
        <v>9.0010568849493975</v>
      </c>
      <c r="Q76" s="138">
        <f ca="1">OFFSET(RES!T$95,$E76,0)</f>
        <v>9.2565239305557316</v>
      </c>
      <c r="R76" s="138">
        <f ca="1">OFFSET(RES!U$95,$E76,0)</f>
        <v>9.4761325694007628</v>
      </c>
      <c r="S76" s="138">
        <f ca="1">OFFSET(RES!V$95,$E76,0)</f>
        <v>9.6999356921348188</v>
      </c>
      <c r="T76" s="217">
        <f ca="1">OFFSET(RES!W$95,$E76,0)</f>
        <v>9.9450498831118175</v>
      </c>
      <c r="U76" s="138">
        <f ca="1">OFFSET(RES!X$95,$E76,0)</f>
        <v>10.184141671366111</v>
      </c>
      <c r="V76" s="138">
        <f ca="1">OFFSET(RES!Y$95,$E76,0)</f>
        <v>10.445496606081829</v>
      </c>
      <c r="W76" s="138">
        <f ca="1">OFFSET(RES!Z$95,$E76,0)</f>
        <v>10.704073455118676</v>
      </c>
      <c r="X76" s="138">
        <f ca="1">OFFSET(RES!AA$95,$E76,0)</f>
        <v>10.956859309598375</v>
      </c>
      <c r="Y76" s="219">
        <f ca="1">OFFSET(RES!AB$95,$E76,0)</f>
        <v>11.23432419120812</v>
      </c>
      <c r="Z76" s="138">
        <f ca="1">OFFSET(RES!AC$95,$E76,0)</f>
        <v>11.442533625239355</v>
      </c>
      <c r="AA76" s="138">
        <f ca="1">OFFSET(RES!AD$95,$E76,0)</f>
        <v>11.656655045196954</v>
      </c>
      <c r="AB76" s="138">
        <f ca="1">OFFSET(RES!AE$95,$E76,0)</f>
        <v>11.865767022994772</v>
      </c>
      <c r="AC76" s="138">
        <f ca="1">OFFSET(RES!AF$95,$E76,0)</f>
        <v>12.072932469837378</v>
      </c>
      <c r="AD76" s="138">
        <f ca="1">OFFSET(RES!AG$95,$E76,0)</f>
        <v>12.287838343075689</v>
      </c>
      <c r="AE76" s="138">
        <f ca="1">OFFSET(RES!AH$95,$E76,0)</f>
        <v>12.48647908971197</v>
      </c>
      <c r="AF76" s="138">
        <f ca="1">OFFSET(RES!AI$95,$E76,0)</f>
        <v>12.674879315061903</v>
      </c>
      <c r="AG76" s="138">
        <f ca="1">OFFSET(RES!AJ$95,$E76,0)</f>
        <v>12.883501635333035</v>
      </c>
      <c r="AH76" s="138">
        <f ca="1">OFFSET(RES!AK$95,$E76,0)</f>
        <v>13.079961457303446</v>
      </c>
      <c r="AI76" s="138">
        <f ca="1">OFFSET(RES!AL$95,$E76,0)</f>
        <v>13.277856369641787</v>
      </c>
      <c r="AJ76" s="138">
        <f ca="1">OFFSET(RES!AM$95,$E76,0)</f>
        <v>14.595946501176652</v>
      </c>
      <c r="AK76" s="138">
        <f ca="1">OFFSET(RES!AN$95,$E76,0)</f>
        <v>15.922046756884129</v>
      </c>
      <c r="AL76" s="138">
        <f ca="1">OFFSET(RES!AO$95,$E76,0)</f>
        <v>15.922046756884129</v>
      </c>
      <c r="AM76" s="138">
        <f ca="1">OFFSET(RES!AP$95,$E76,0)</f>
        <v>15.922046756884129</v>
      </c>
    </row>
    <row r="77" spans="1:39">
      <c r="A77" s="36" t="s">
        <v>376</v>
      </c>
      <c r="B77">
        <v>15.793352715539999</v>
      </c>
      <c r="E77" s="141">
        <f>MATCH(F77,RES!$D$96:$D$134,0)</f>
        <v>12</v>
      </c>
      <c r="F77" s="4" t="str">
        <f t="shared" si="1"/>
        <v>RMEL</v>
      </c>
      <c r="G77" s="138">
        <f ca="1">OFFSET(RES!J$95,$E77,0)</f>
        <v>16.022685217204927</v>
      </c>
      <c r="H77" s="138">
        <f ca="1">OFFSET(RES!K$95,$E77,0)</f>
        <v>17.249355448173041</v>
      </c>
      <c r="I77" s="138">
        <f ca="1">OFFSET(RES!L$95,$E77,0)</f>
        <v>18.476025679141156</v>
      </c>
      <c r="J77" s="138">
        <f ca="1">OFFSET(RES!M$95,$E77,0)</f>
        <v>19.702695910109274</v>
      </c>
      <c r="K77" s="138">
        <f ca="1">OFFSET(RES!N$95,$E77,0)</f>
        <v>20.929366141077388</v>
      </c>
      <c r="L77" s="138">
        <f ca="1">OFFSET(RES!O$95,$E77,0)</f>
        <v>22.156036372045502</v>
      </c>
      <c r="M77" s="138">
        <f ca="1">OFFSET(RES!P$95,$E77,0)</f>
        <v>22.788483398017178</v>
      </c>
      <c r="N77" s="138">
        <f ca="1">OFFSET(RES!Q$95,$E77,0)</f>
        <v>23.494987175320244</v>
      </c>
      <c r="O77" s="217">
        <f ca="1">OFFSET(RES!R$95,$E77,0)</f>
        <v>24.857823264597748</v>
      </c>
      <c r="P77" s="138">
        <f ca="1">OFFSET(RES!S$95,$E77,0)</f>
        <v>24.017016137033156</v>
      </c>
      <c r="Q77" s="138">
        <f ca="1">OFFSET(RES!T$95,$E77,0)</f>
        <v>24.698664551795062</v>
      </c>
      <c r="R77" s="138">
        <f ca="1">OFFSET(RES!U$95,$E77,0)</f>
        <v>25.284633987427917</v>
      </c>
      <c r="S77" s="138">
        <f ca="1">OFFSET(RES!V$95,$E77,0)</f>
        <v>25.881795329582069</v>
      </c>
      <c r="T77" s="217">
        <f ca="1">OFFSET(RES!W$95,$E77,0)</f>
        <v>26.535819801969737</v>
      </c>
      <c r="U77" s="138">
        <f ca="1">OFFSET(RES!X$95,$E77,0)</f>
        <v>27.173775034353291</v>
      </c>
      <c r="V77" s="138">
        <f ca="1">OFFSET(RES!Y$95,$E77,0)</f>
        <v>27.871133773976002</v>
      </c>
      <c r="W77" s="138">
        <f ca="1">OFFSET(RES!Z$95,$E77,0)</f>
        <v>28.5610799031206</v>
      </c>
      <c r="X77" s="138">
        <f ca="1">OFFSET(RES!AA$95,$E77,0)</f>
        <v>29.23557424571321</v>
      </c>
      <c r="Y77" s="219">
        <f ca="1">OFFSET(RES!AB$95,$E77,0)</f>
        <v>29.975918254673299</v>
      </c>
      <c r="Z77" s="138">
        <f ca="1">OFFSET(RES!AC$95,$E77,0)</f>
        <v>30.531471830317521</v>
      </c>
      <c r="AA77" s="138">
        <f ca="1">OFFSET(RES!AD$95,$E77,0)</f>
        <v>31.102800027010172</v>
      </c>
      <c r="AB77" s="138">
        <f ca="1">OFFSET(RES!AE$95,$E77,0)</f>
        <v>31.660761809655359</v>
      </c>
      <c r="AC77" s="138">
        <f ca="1">OFFSET(RES!AF$95,$E77,0)</f>
        <v>32.213529772734674</v>
      </c>
      <c r="AD77" s="138">
        <f ca="1">OFFSET(RES!AG$95,$E77,0)</f>
        <v>32.786951082196467</v>
      </c>
      <c r="AE77" s="138">
        <f ca="1">OFFSET(RES!AH$95,$E77,0)</f>
        <v>33.31697306499418</v>
      </c>
      <c r="AF77" s="138">
        <f ca="1">OFFSET(RES!AI$95,$E77,0)</f>
        <v>33.819670838187449</v>
      </c>
      <c r="AG77" s="138">
        <f ca="1">OFFSET(RES!AJ$95,$E77,0)</f>
        <v>34.376326095069011</v>
      </c>
      <c r="AH77" s="138">
        <f ca="1">OFFSET(RES!AK$95,$E77,0)</f>
        <v>34.900528838685879</v>
      </c>
      <c r="AI77" s="138">
        <f ca="1">OFFSET(RES!AL$95,$E77,0)</f>
        <v>35.428560753583994</v>
      </c>
      <c r="AJ77" s="138">
        <f ca="1">OFFSET(RES!AM$95,$E77,0)</f>
        <v>38.945546854635055</v>
      </c>
      <c r="AK77" s="138">
        <f ca="1">OFFSET(RES!AN$95,$E77,0)</f>
        <v>42.483905921546928</v>
      </c>
      <c r="AL77" s="138">
        <f ca="1">OFFSET(RES!AO$95,$E77,0)</f>
        <v>42.483905921546928</v>
      </c>
      <c r="AM77" s="138">
        <f ca="1">OFFSET(RES!AP$95,$E77,0)</f>
        <v>42.483905921546928</v>
      </c>
    </row>
    <row r="78" spans="1:39">
      <c r="A78" s="36" t="s">
        <v>377</v>
      </c>
      <c r="B78">
        <v>8.1991938940679994</v>
      </c>
      <c r="E78" s="141">
        <f>MATCH(F78,RES!$D$96:$D$134,0)</f>
        <v>19</v>
      </c>
      <c r="F78" s="4" t="str">
        <f t="shared" si="1"/>
        <v>RMEO</v>
      </c>
      <c r="G78" s="138">
        <f ca="1">OFFSET(RES!J$95,$E78,0)</f>
        <v>5.8869200094724006</v>
      </c>
      <c r="H78" s="138">
        <f ca="1">OFFSET(RES!K$95,$E78,0)</f>
        <v>6.3439784942756239</v>
      </c>
      <c r="I78" s="138">
        <f ca="1">OFFSET(RES!L$95,$E78,0)</f>
        <v>6.8010369790788472</v>
      </c>
      <c r="J78" s="138">
        <f ca="1">OFFSET(RES!M$95,$E78,0)</f>
        <v>7.2580954638820696</v>
      </c>
      <c r="K78" s="138">
        <f ca="1">OFFSET(RES!N$95,$E78,0)</f>
        <v>7.7151539486852929</v>
      </c>
      <c r="L78" s="138">
        <f ca="1">OFFSET(RES!O$95,$E78,0)</f>
        <v>8.1722124334885162</v>
      </c>
      <c r="M78" s="138">
        <f ca="1">OFFSET(RES!P$95,$E78,0)</f>
        <v>8.4054893320446897</v>
      </c>
      <c r="N78" s="138">
        <f ca="1">OFFSET(RES!Q$95,$E78,0)</f>
        <v>8.6660819243400979</v>
      </c>
      <c r="O78" s="217">
        <f ca="1">OFFSET(RES!R$95,$E78,0)</f>
        <v>9.1687614581060117</v>
      </c>
      <c r="P78" s="138">
        <f ca="1">OFFSET(RES!S$95,$E78,0)</f>
        <v>8.858631327126508</v>
      </c>
      <c r="Q78" s="138">
        <f ca="1">OFFSET(RES!T$95,$E78,0)</f>
        <v>9.1100560655970337</v>
      </c>
      <c r="R78" s="138">
        <f ca="1">OFFSET(RES!U$95,$E78,0)</f>
        <v>9.3261897921856463</v>
      </c>
      <c r="S78" s="138">
        <f ca="1">OFFSET(RES!V$95,$E78,0)</f>
        <v>9.5464516324897257</v>
      </c>
      <c r="T78" s="217">
        <f ca="1">OFFSET(RES!W$95,$E78,0)</f>
        <v>9.7876873316599919</v>
      </c>
      <c r="U78" s="138">
        <f ca="1">OFFSET(RES!X$95,$E78,0)</f>
        <v>10.022995921813413</v>
      </c>
      <c r="V78" s="138">
        <f ca="1">OFFSET(RES!Y$95,$E78,0)</f>
        <v>10.280215384123785</v>
      </c>
      <c r="W78" s="138">
        <f ca="1">OFFSET(RES!Z$95,$E78,0)</f>
        <v>10.534700718971257</v>
      </c>
      <c r="X78" s="138">
        <f ca="1">OFFSET(RES!AA$95,$E78,0)</f>
        <v>10.783486691348864</v>
      </c>
      <c r="Y78" s="219">
        <f ca="1">OFFSET(RES!AB$95,$E78,0)</f>
        <v>11.056561189579787</v>
      </c>
      <c r="Z78" s="138">
        <f ca="1">OFFSET(RES!AC$95,$E78,0)</f>
        <v>11.26147608329593</v>
      </c>
      <c r="AA78" s="138">
        <f ca="1">OFFSET(RES!AD$95,$E78,0)</f>
        <v>11.472209416380055</v>
      </c>
      <c r="AB78" s="138">
        <f ca="1">OFFSET(RES!AE$95,$E78,0)</f>
        <v>11.678012572728793</v>
      </c>
      <c r="AC78" s="138">
        <f ca="1">OFFSET(RES!AF$95,$E78,0)</f>
        <v>11.881899998478396</v>
      </c>
      <c r="AD78" s="138">
        <f ca="1">OFFSET(RES!AG$95,$E78,0)</f>
        <v>12.093405372279074</v>
      </c>
      <c r="AE78" s="138">
        <f ca="1">OFFSET(RES!AH$95,$E78,0)</f>
        <v>12.288902985891349</v>
      </c>
      <c r="AF78" s="138">
        <f ca="1">OFFSET(RES!AI$95,$E78,0)</f>
        <v>12.474322116072969</v>
      </c>
      <c r="AG78" s="138">
        <f ca="1">OFFSET(RES!AJ$95,$E78,0)</f>
        <v>12.679643362845876</v>
      </c>
      <c r="AH78" s="138">
        <f ca="1">OFFSET(RES!AK$95,$E78,0)</f>
        <v>12.87299456100782</v>
      </c>
      <c r="AI78" s="138">
        <f ca="1">OFFSET(RES!AL$95,$E78,0)</f>
        <v>13.06775814181028</v>
      </c>
      <c r="AJ78" s="138">
        <f ca="1">OFFSET(RES!AM$95,$E78,0)</f>
        <v>14.364991864520688</v>
      </c>
      <c r="AK78" s="138">
        <f ca="1">OFFSET(RES!AN$95,$E78,0)</f>
        <v>15.670108965576178</v>
      </c>
      <c r="AL78" s="138">
        <f ca="1">OFFSET(RES!AO$95,$E78,0)</f>
        <v>15.670108965576178</v>
      </c>
      <c r="AM78" s="138">
        <f ca="1">OFFSET(RES!AP$95,$E78,0)</f>
        <v>15.670108965576178</v>
      </c>
    </row>
    <row r="79" spans="1:39">
      <c r="A79" s="36" t="s">
        <v>378</v>
      </c>
      <c r="B79">
        <v>3.5984677195130002</v>
      </c>
      <c r="E79" s="141">
        <f>MATCH(F79,RES!$D$96:$D$134,0)</f>
        <v>18</v>
      </c>
      <c r="F79" s="4" t="str">
        <f t="shared" si="1"/>
        <v>RMER</v>
      </c>
      <c r="G79" s="138">
        <f ca="1">OFFSET(RES!J$95,$E79,0)</f>
        <v>3.2942398359296465</v>
      </c>
      <c r="H79" s="138">
        <f ca="1">OFFSET(RES!K$95,$E79,0)</f>
        <v>3.5042075014274179</v>
      </c>
      <c r="I79" s="138">
        <f ca="1">OFFSET(RES!L$95,$E79,0)</f>
        <v>3.7141751669251892</v>
      </c>
      <c r="J79" s="138">
        <f ca="1">OFFSET(RES!M$95,$E79,0)</f>
        <v>3.9241428324229606</v>
      </c>
      <c r="K79" s="138">
        <f ca="1">OFFSET(RES!N$95,$E79,0)</f>
        <v>4.1341104979207319</v>
      </c>
      <c r="L79" s="138">
        <f ca="1">OFFSET(RES!O$95,$E79,0)</f>
        <v>4.3440781634185033</v>
      </c>
      <c r="M79" s="138">
        <f ca="1">OFFSET(RES!P$95,$E79,0)</f>
        <v>4.4680804564689405</v>
      </c>
      <c r="N79" s="138">
        <f ca="1">OFFSET(RES!Q$95,$E79,0)</f>
        <v>4.6066028699466175</v>
      </c>
      <c r="O79" s="217">
        <f ca="1">OFFSET(RES!R$95,$E79,0)</f>
        <v>4.8738107042512553</v>
      </c>
      <c r="P79" s="138">
        <f ca="1">OFFSET(RES!S$95,$E79,0)</f>
        <v>4.7089557716646482</v>
      </c>
      <c r="Q79" s="138">
        <f ca="1">OFFSET(RES!T$95,$E79,0)</f>
        <v>4.8426048569059112</v>
      </c>
      <c r="R79" s="138">
        <f ca="1">OFFSET(RES!U$95,$E79,0)</f>
        <v>4.9574944060571768</v>
      </c>
      <c r="S79" s="138">
        <f ca="1">OFFSET(RES!V$95,$E79,0)</f>
        <v>5.0745783240887681</v>
      </c>
      <c r="T79" s="217">
        <f ca="1">OFFSET(RES!W$95,$E79,0)</f>
        <v>5.2028112526294192</v>
      </c>
      <c r="U79" s="138">
        <f ca="1">OFFSET(RES!X$95,$E79,0)</f>
        <v>5.3278935258167204</v>
      </c>
      <c r="V79" s="138">
        <f ca="1">OFFSET(RES!Y$95,$E79,0)</f>
        <v>5.4646228948245392</v>
      </c>
      <c r="W79" s="138">
        <f ca="1">OFFSET(RES!Z$95,$E79,0)</f>
        <v>5.5998988919940391</v>
      </c>
      <c r="X79" s="138">
        <f ca="1">OFFSET(RES!AA$95,$E79,0)</f>
        <v>5.7321452963510362</v>
      </c>
      <c r="Y79" s="219">
        <f ca="1">OFFSET(RES!AB$95,$E79,0)</f>
        <v>5.8773026786885669</v>
      </c>
      <c r="Z79" s="138">
        <f ca="1">OFFSET(RES!AC$95,$E79,0)</f>
        <v>5.9862286668951086</v>
      </c>
      <c r="AA79" s="138">
        <f ca="1">OFFSET(RES!AD$95,$E79,0)</f>
        <v>6.0982475452595279</v>
      </c>
      <c r="AB79" s="138">
        <f ca="1">OFFSET(RES!AE$95,$E79,0)</f>
        <v>6.2076457045381064</v>
      </c>
      <c r="AC79" s="138">
        <f ca="1">OFFSET(RES!AF$95,$E79,0)</f>
        <v>6.3160255247156849</v>
      </c>
      <c r="AD79" s="138">
        <f ca="1">OFFSET(RES!AG$95,$E79,0)</f>
        <v>6.4284547944209249</v>
      </c>
      <c r="AE79" s="138">
        <f ca="1">OFFSET(RES!AH$95,$E79,0)</f>
        <v>6.5323748676208568</v>
      </c>
      <c r="AF79" s="138">
        <f ca="1">OFFSET(RES!AI$95,$E79,0)</f>
        <v>6.6309375519682812</v>
      </c>
      <c r="AG79" s="138">
        <f ca="1">OFFSET(RES!AJ$95,$E79,0)</f>
        <v>6.7400795440360648</v>
      </c>
      <c r="AH79" s="138">
        <f ca="1">OFFSET(RES!AK$95,$E79,0)</f>
        <v>6.8428586536886948</v>
      </c>
      <c r="AI79" s="138">
        <f ca="1">OFFSET(RES!AL$95,$E79,0)</f>
        <v>6.9463885392954499</v>
      </c>
      <c r="AJ79" s="138">
        <f ca="1">OFFSET(RES!AM$95,$E79,0)</f>
        <v>7.6359551326189194</v>
      </c>
      <c r="AK79" s="138">
        <f ca="1">OFFSET(RES!AN$95,$E79,0)</f>
        <v>8.3297122694459453</v>
      </c>
      <c r="AL79" s="138">
        <f ca="1">OFFSET(RES!AO$95,$E79,0)</f>
        <v>8.3297122694459453</v>
      </c>
      <c r="AM79" s="138">
        <f ca="1">OFFSET(RES!AP$95,$E79,0)</f>
        <v>8.3297122694459453</v>
      </c>
    </row>
    <row r="80" spans="1:39">
      <c r="A80" s="36" t="s">
        <v>379</v>
      </c>
      <c r="B80">
        <v>16.347656033450001</v>
      </c>
      <c r="E80" s="141">
        <f>MATCH(F80,RES!$D$96:$D$134,0)</f>
        <v>17</v>
      </c>
      <c r="F80" s="4" t="str">
        <f t="shared" si="1"/>
        <v>RMEW</v>
      </c>
      <c r="G80" s="138">
        <f ca="1">OFFSET(RES!J$95,$E80,0)</f>
        <v>6.0832370770317112</v>
      </c>
      <c r="H80" s="138">
        <f ca="1">OFFSET(RES!K$95,$E80,0)</f>
        <v>5.8572082705211033</v>
      </c>
      <c r="I80" s="138">
        <f ca="1">OFFSET(RES!L$95,$E80,0)</f>
        <v>5.6311794640104944</v>
      </c>
      <c r="J80" s="138">
        <f ca="1">OFFSET(RES!M$95,$E80,0)</f>
        <v>5.4051506574998864</v>
      </c>
      <c r="K80" s="138">
        <f ca="1">OFFSET(RES!N$95,$E80,0)</f>
        <v>5.1791218509892776</v>
      </c>
      <c r="L80" s="138">
        <f ca="1">OFFSET(RES!O$95,$E80,0)</f>
        <v>4.9530930444786696</v>
      </c>
      <c r="M80" s="138">
        <f ca="1">OFFSET(RES!P$95,$E80,0)</f>
        <v>5.0944797488846039</v>
      </c>
      <c r="N80" s="138">
        <f ca="1">OFFSET(RES!Q$95,$E80,0)</f>
        <v>5.2524222114485717</v>
      </c>
      <c r="O80" s="217">
        <f ca="1">OFFSET(RES!R$95,$E80,0)</f>
        <v>5.5570910538901632</v>
      </c>
      <c r="P80" s="138">
        <f ca="1">OFFSET(RES!S$95,$E80,0)</f>
        <v>5.3691244038379553</v>
      </c>
      <c r="Q80" s="138">
        <f ca="1">OFFSET(RES!T$95,$E80,0)</f>
        <v>5.5215103254550995</v>
      </c>
      <c r="R80" s="138">
        <f ca="1">OFFSET(RES!U$95,$E80,0)</f>
        <v>5.6525067314536077</v>
      </c>
      <c r="S80" s="138">
        <f ca="1">OFFSET(RES!V$95,$E80,0)</f>
        <v>5.7860051442828606</v>
      </c>
      <c r="T80" s="217">
        <f ca="1">OFFSET(RES!W$95,$E80,0)</f>
        <v>5.9322155950469435</v>
      </c>
      <c r="U80" s="138">
        <f ca="1">OFFSET(RES!X$95,$E80,0)</f>
        <v>6.0748336866201535</v>
      </c>
      <c r="V80" s="138">
        <f ca="1">OFFSET(RES!Y$95,$E80,0)</f>
        <v>6.2307317301479079</v>
      </c>
      <c r="W80" s="138">
        <f ca="1">OFFSET(RES!Z$95,$E80,0)</f>
        <v>6.3849726474287092</v>
      </c>
      <c r="X80" s="138">
        <f ca="1">OFFSET(RES!AA$95,$E80,0)</f>
        <v>6.535759240334416</v>
      </c>
      <c r="Y80" s="219">
        <f ca="1">OFFSET(RES!AB$95,$E80,0)</f>
        <v>6.7012668563955797</v>
      </c>
      <c r="Z80" s="138">
        <f ca="1">OFFSET(RES!AC$95,$E80,0)</f>
        <v>6.8254636443567378</v>
      </c>
      <c r="AA80" s="138">
        <f ca="1">OFFSET(RES!AD$95,$E80,0)</f>
        <v>6.9531869279636984</v>
      </c>
      <c r="AB80" s="138">
        <f ca="1">OFFSET(RES!AE$95,$E80,0)</f>
        <v>7.0779220826771878</v>
      </c>
      <c r="AC80" s="138">
        <f ca="1">OFFSET(RES!AF$95,$E80,0)</f>
        <v>7.2014961329794911</v>
      </c>
      <c r="AD80" s="138">
        <f ca="1">OFFSET(RES!AG$95,$E80,0)</f>
        <v>7.3296873424430462</v>
      </c>
      <c r="AE80" s="138">
        <f ca="1">OFFSET(RES!AH$95,$E80,0)</f>
        <v>7.448176414781293</v>
      </c>
      <c r="AF80" s="138">
        <f ca="1">OFFSET(RES!AI$95,$E80,0)</f>
        <v>7.5605570230303405</v>
      </c>
      <c r="AG80" s="138">
        <f ca="1">OFFSET(RES!AJ$95,$E80,0)</f>
        <v>7.6850000973570873</v>
      </c>
      <c r="AH80" s="138">
        <f ca="1">OFFSET(RES!AK$95,$E80,0)</f>
        <v>7.8021882495927146</v>
      </c>
      <c r="AI80" s="138">
        <f ca="1">OFFSET(RES!AL$95,$E80,0)</f>
        <v>7.9202324322717281</v>
      </c>
      <c r="AJ80" s="138">
        <f ca="1">OFFSET(RES!AM$95,$E80,0)</f>
        <v>8.7064723130034238</v>
      </c>
      <c r="AK80" s="138">
        <f ca="1">OFFSET(RES!AN$95,$E80,0)</f>
        <v>9.4974902274396786</v>
      </c>
      <c r="AL80" s="138">
        <f ca="1">OFFSET(RES!AO$95,$E80,0)</f>
        <v>9.4974902274396786</v>
      </c>
      <c r="AM80" s="138">
        <f ca="1">OFFSET(RES!AP$95,$E80,0)</f>
        <v>9.4974902274396786</v>
      </c>
    </row>
    <row r="81" spans="1:39" s="199" customFormat="1">
      <c r="A81" s="36" t="s">
        <v>545</v>
      </c>
      <c r="B81" s="199">
        <v>17.347656033450001</v>
      </c>
      <c r="E81" s="141">
        <f>MATCH(F81,RES!$D$96:$D$134,0)</f>
        <v>16</v>
      </c>
      <c r="F81" s="199" t="str">
        <f>A81</f>
        <v>RMEWG</v>
      </c>
      <c r="G81" s="138">
        <f ca="1">OFFSET(RES!J$95,$E81,0)</f>
        <v>8.7049271722264585</v>
      </c>
      <c r="H81" s="138">
        <f ca="1">OFFSET(RES!K$95,$E81,0)</f>
        <v>9.1012815075888174</v>
      </c>
      <c r="I81" s="138">
        <f ca="1">OFFSET(RES!L$95,$E81,0)</f>
        <v>9.4976358429511762</v>
      </c>
      <c r="J81" s="138">
        <f ca="1">OFFSET(RES!M$95,$E81,0)</f>
        <v>9.8939901783135369</v>
      </c>
      <c r="K81" s="138">
        <f ca="1">OFFSET(RES!N$95,$E81,0)</f>
        <v>10.290344513675896</v>
      </c>
      <c r="L81" s="138">
        <f ca="1">OFFSET(RES!O$95,$E81,0)</f>
        <v>10.686698849038255</v>
      </c>
      <c r="M81" s="138">
        <f ca="1">OFFSET(RES!P$95,$E81,0)</f>
        <v>10.991752099133871</v>
      </c>
      <c r="N81" s="138">
        <f ca="1">OFFSET(RES!Q$95,$E81,0)</f>
        <v>11.332525736483193</v>
      </c>
      <c r="O81" s="217">
        <f ca="1">OFFSET(RES!R$95,$E81,0)</f>
        <v>11.989873405630618</v>
      </c>
      <c r="P81" s="138">
        <f ca="1">OFFSET(RES!S$95,$E81,0)</f>
        <v>11.584320155422709</v>
      </c>
      <c r="Q81" s="138">
        <f ca="1">OFFSET(RES!T$95,$E81,0)</f>
        <v>11.913105106266888</v>
      </c>
      <c r="R81" s="138">
        <f ca="1">OFFSET(RES!U$95,$E81,0)</f>
        <v>12.195740447182384</v>
      </c>
      <c r="S81" s="138">
        <f ca="1">OFFSET(RES!V$95,$E81,0)</f>
        <v>12.483774070197228</v>
      </c>
      <c r="T81" s="217">
        <f ca="1">OFFSET(RES!W$95,$E81,0)</f>
        <v>12.799234943204581</v>
      </c>
      <c r="U81" s="138">
        <f ca="1">OFFSET(RES!X$95,$E81,0)</f>
        <v>13.106945010708042</v>
      </c>
      <c r="V81" s="138">
        <f ca="1">OFFSET(RES!Y$95,$E81,0)</f>
        <v>13.443307648634365</v>
      </c>
      <c r="W81" s="138">
        <f ca="1">OFFSET(RES!Z$95,$E81,0)</f>
        <v>13.776094902654712</v>
      </c>
      <c r="X81" s="138">
        <f ca="1">OFFSET(RES!AA$95,$E81,0)</f>
        <v>14.101429172450452</v>
      </c>
      <c r="Y81" s="219">
        <f ca="1">OFFSET(RES!AB$95,$E81,0)</f>
        <v>14.458525240338687</v>
      </c>
      <c r="Z81" s="138">
        <f ca="1">OFFSET(RES!AC$95,$E81,0)</f>
        <v>14.726489855386305</v>
      </c>
      <c r="AA81" s="138">
        <f ca="1">OFFSET(RES!AD$95,$E81,0)</f>
        <v>15.00206317001229</v>
      </c>
      <c r="AB81" s="138">
        <f ca="1">OFFSET(RES!AE$95,$E81,0)</f>
        <v>15.271189354871101</v>
      </c>
      <c r="AC81" s="138">
        <f ca="1">OFFSET(RES!AF$95,$E81,0)</f>
        <v>15.53781036305279</v>
      </c>
      <c r="AD81" s="138">
        <f ca="1">OFFSET(RES!AG$95,$E81,0)</f>
        <v>15.814393265560165</v>
      </c>
      <c r="AE81" s="138">
        <f ca="1">OFFSET(RES!AH$95,$E81,0)</f>
        <v>16.070043022511992</v>
      </c>
      <c r="AF81" s="138">
        <f ca="1">OFFSET(RES!AI$95,$E81,0)</f>
        <v>16.312513274139523</v>
      </c>
      <c r="AG81" s="138">
        <f ca="1">OFFSET(RES!AJ$95,$E81,0)</f>
        <v>16.581009271940509</v>
      </c>
      <c r="AH81" s="138">
        <f ca="1">OFFSET(RES!AK$95,$E81,0)</f>
        <v>16.833852188552669</v>
      </c>
      <c r="AI81" s="138">
        <f ca="1">OFFSET(RES!AL$95,$E81,0)</f>
        <v>17.088542060082077</v>
      </c>
      <c r="AJ81" s="138">
        <f ca="1">OFFSET(RES!AM$95,$E81,0)</f>
        <v>18.784918193748624</v>
      </c>
      <c r="AK81" s="138">
        <f ca="1">OFFSET(RES!AN$95,$E81,0)</f>
        <v>20.491603321579554</v>
      </c>
      <c r="AL81" s="138">
        <f ca="1">OFFSET(RES!AO$95,$E81,0)</f>
        <v>20.491603321579554</v>
      </c>
      <c r="AM81" s="138">
        <f ca="1">OFFSET(RES!AP$95,$E81,0)</f>
        <v>20.491603321579554</v>
      </c>
    </row>
    <row r="82" spans="1:39">
      <c r="A82" s="36" t="s">
        <v>380</v>
      </c>
      <c r="B82">
        <v>0.2282739655271</v>
      </c>
      <c r="E82" s="141">
        <f>MATCH(F82,RES!$D$96:$D$134,0)</f>
        <v>13</v>
      </c>
      <c r="F82" s="4" t="str">
        <f t="shared" si="1"/>
        <v>RMNL</v>
      </c>
      <c r="G82" s="138">
        <f ca="1">OFFSET(RES!J$95,$E82,0)</f>
        <v>3.3422499241462768E-2</v>
      </c>
      <c r="H82" s="138">
        <f ca="1">OFFSET(RES!K$95,$E82,0)</f>
        <v>4.0659252524006942E-2</v>
      </c>
      <c r="I82" s="138">
        <f ca="1">OFFSET(RES!L$95,$E82,0)</f>
        <v>4.7896005806551116E-2</v>
      </c>
      <c r="J82" s="138">
        <f ca="1">OFFSET(RES!M$95,$E82,0)</f>
        <v>5.513275908909529E-2</v>
      </c>
      <c r="K82" s="138">
        <f ca="1">OFFSET(RES!N$95,$E82,0)</f>
        <v>6.2369512371639464E-2</v>
      </c>
      <c r="L82" s="138">
        <f ca="1">OFFSET(RES!O$95,$E82,0)</f>
        <v>6.9606265654183638E-2</v>
      </c>
      <c r="M82" s="138">
        <f ca="1">OFFSET(RES!P$95,$E82,0)</f>
        <v>5.9824435881239896E-2</v>
      </c>
      <c r="N82" s="138">
        <f ca="1">OFFSET(RES!Q$95,$E82,0)</f>
        <v>6.1679152984915102E-2</v>
      </c>
      <c r="O82" s="217">
        <f ca="1">OFFSET(RES!R$95,$E82,0)</f>
        <v>6.5256876820925874E-2</v>
      </c>
      <c r="P82" s="138">
        <f ca="1">OFFSET(RES!S$95,$E82,0)</f>
        <v>6.304958591819497E-2</v>
      </c>
      <c r="Q82" s="138">
        <f ca="1">OFFSET(RES!T$95,$E82,0)</f>
        <v>6.4839052604952221E-2</v>
      </c>
      <c r="R82" s="138">
        <f ca="1">OFFSET(RES!U$95,$E82,0)</f>
        <v>6.6377342376944426E-2</v>
      </c>
      <c r="S82" s="138">
        <f ca="1">OFFSET(RES!V$95,$E82,0)</f>
        <v>6.7945013195598578E-2</v>
      </c>
      <c r="T82" s="217">
        <f ca="1">OFFSET(RES!W$95,$E82,0)</f>
        <v>6.9661961376385459E-2</v>
      </c>
      <c r="U82" s="138">
        <f ca="1">OFFSET(RES!X$95,$E82,0)</f>
        <v>7.1336724511265784E-2</v>
      </c>
      <c r="V82" s="138">
        <f ca="1">OFFSET(RES!Y$95,$E82,0)</f>
        <v>7.3167434018174479E-2</v>
      </c>
      <c r="W82" s="138">
        <f ca="1">OFFSET(RES!Z$95,$E82,0)</f>
        <v>7.4978683904514523E-2</v>
      </c>
      <c r="X82" s="138">
        <f ca="1">OFFSET(RES!AA$95,$E82,0)</f>
        <v>7.6749369686711047E-2</v>
      </c>
      <c r="Y82" s="219">
        <f ca="1">OFFSET(RES!AB$95,$E82,0)</f>
        <v>7.8692924328787259E-2</v>
      </c>
      <c r="Z82" s="138">
        <f ca="1">OFFSET(RES!AC$95,$E82,0)</f>
        <v>8.0151366239301275E-2</v>
      </c>
      <c r="AA82" s="138">
        <f ca="1">OFFSET(RES!AD$95,$E82,0)</f>
        <v>8.1651219760626781E-2</v>
      </c>
      <c r="AB82" s="138">
        <f ca="1">OFFSET(RES!AE$95,$E82,0)</f>
        <v>8.3115983707706453E-2</v>
      </c>
      <c r="AC82" s="138">
        <f ca="1">OFFSET(RES!AF$95,$E82,0)</f>
        <v>8.4567112814758816E-2</v>
      </c>
      <c r="AD82" s="138">
        <f ca="1">OFFSET(RES!AG$95,$E82,0)</f>
        <v>8.6072461185761784E-2</v>
      </c>
      <c r="AE82" s="138">
        <f ca="1">OFFSET(RES!AH$95,$E82,0)</f>
        <v>8.7463877436317894E-2</v>
      </c>
      <c r="AF82" s="138">
        <f ca="1">OFFSET(RES!AI$95,$E82,0)</f>
        <v>8.8783562040808048E-2</v>
      </c>
      <c r="AG82" s="138">
        <f ca="1">OFFSET(RES!AJ$95,$E82,0)</f>
        <v>9.0244896090188612E-2</v>
      </c>
      <c r="AH82" s="138">
        <f ca="1">OFFSET(RES!AK$95,$E82,0)</f>
        <v>9.162103564614546E-2</v>
      </c>
      <c r="AI82" s="138">
        <f ca="1">OFFSET(RES!AL$95,$E82,0)</f>
        <v>9.3007227560909705E-2</v>
      </c>
      <c r="AJ82" s="138">
        <f ca="1">OFFSET(RES!AM$95,$E82,0)</f>
        <v>0.10224003633640935</v>
      </c>
      <c r="AK82" s="138">
        <f ca="1">OFFSET(RES!AN$95,$E82,0)</f>
        <v>0.11152895352436454</v>
      </c>
      <c r="AL82" s="138">
        <f ca="1">OFFSET(RES!AO$95,$E82,0)</f>
        <v>0.11152895352436454</v>
      </c>
      <c r="AM82" s="138">
        <f ca="1">OFFSET(RES!AP$95,$E82,0)</f>
        <v>0.11152895352436454</v>
      </c>
    </row>
    <row r="83" spans="1:39">
      <c r="A83" s="36" t="s">
        <v>134</v>
      </c>
      <c r="B83">
        <v>0.46620130319999997</v>
      </c>
      <c r="E83" s="143">
        <f>MATCH(F83,OtherTRA!$D$47:$D$51,0)</f>
        <v>1</v>
      </c>
      <c r="F83" s="4" t="str">
        <f>A83</f>
        <v>TFPIP</v>
      </c>
      <c r="G83" s="24">
        <f ca="1">OFFSET(OtherTRA!J$46,$E83,0)</f>
        <v>0.820564128</v>
      </c>
      <c r="H83" s="24">
        <f ca="1">OFFSET(OtherTRA!K$46,$E83,0)</f>
        <v>0.820564128</v>
      </c>
      <c r="I83" s="24">
        <f ca="1">OFFSET(OtherTRA!L$46,$E83,0)</f>
        <v>0.820564128</v>
      </c>
      <c r="J83" s="24">
        <f ca="1">OFFSET(OtherTRA!M$46,$E83,0)</f>
        <v>0.820564128</v>
      </c>
      <c r="K83" s="24">
        <f ca="1">OFFSET(OtherTRA!N$46,$E83,0)</f>
        <v>0.820564128</v>
      </c>
      <c r="L83" s="24">
        <f ca="1">OFFSET(OtherTRA!O$46,$E83,0)</f>
        <v>0.820564128</v>
      </c>
      <c r="M83" s="24">
        <f ca="1">OFFSET(OtherTRA!P$46,$E83,0)</f>
        <v>0.820564128</v>
      </c>
      <c r="N83" s="24">
        <f ca="1">OFFSET(OtherTRA!Q$46,$E83,0)</f>
        <v>0.820564128</v>
      </c>
      <c r="O83" s="24">
        <f ca="1">OFFSET(OtherTRA!R$46,$E83,0)</f>
        <v>0.820564128</v>
      </c>
      <c r="P83" s="24">
        <f ca="1">OFFSET(OtherTRA!S$46,$E83,0)</f>
        <v>0.820564128</v>
      </c>
      <c r="Q83" s="24">
        <f ca="1">OFFSET(OtherTRA!T$46,$E83,0)</f>
        <v>0.820564128</v>
      </c>
      <c r="R83" s="24">
        <f ca="1">OFFSET(OtherTRA!U$46,$E83,0)</f>
        <v>0.820564128</v>
      </c>
      <c r="S83" s="24">
        <f ca="1">OFFSET(OtherTRA!V$46,$E83,0)</f>
        <v>0.820564128</v>
      </c>
      <c r="T83" s="24">
        <f ca="1">OFFSET(OtherTRA!W$46,$E83,0)</f>
        <v>0.820564128</v>
      </c>
      <c r="U83" s="24">
        <f ca="1">OFFSET(OtherTRA!X$46,$E83,0)</f>
        <v>0.820564128</v>
      </c>
      <c r="V83" s="24">
        <f ca="1">OFFSET(OtherTRA!Y$46,$E83,0)</f>
        <v>0.820564128</v>
      </c>
      <c r="W83" s="24">
        <f ca="1">OFFSET(OtherTRA!Z$46,$E83,0)</f>
        <v>0.820564128</v>
      </c>
      <c r="X83" s="24">
        <f ca="1">OFFSET(OtherTRA!AA$46,$E83,0)</f>
        <v>0.820564128</v>
      </c>
      <c r="Y83" s="24">
        <f ca="1">OFFSET(OtherTRA!AB$46,$E83,0)</f>
        <v>0.820564128</v>
      </c>
      <c r="Z83" s="24">
        <f ca="1">OFFSET(OtherTRA!AC$46,$E83,0)</f>
        <v>0.820564128</v>
      </c>
      <c r="AA83" s="24">
        <f ca="1">OFFSET(OtherTRA!AD$46,$E83,0)</f>
        <v>0.820564128</v>
      </c>
      <c r="AB83" s="24">
        <f ca="1">OFFSET(OtherTRA!AE$46,$E83,0)</f>
        <v>0.820564128</v>
      </c>
      <c r="AC83" s="24">
        <f ca="1">OFFSET(OtherTRA!AF$46,$E83,0)</f>
        <v>0.820564128</v>
      </c>
      <c r="AD83" s="24">
        <f ca="1">OFFSET(OtherTRA!AG$46,$E83,0)</f>
        <v>0.820564128</v>
      </c>
      <c r="AE83" s="24">
        <f ca="1">OFFSET(OtherTRA!AH$46,$E83,0)</f>
        <v>0.820564128</v>
      </c>
      <c r="AF83" s="24">
        <f ca="1">OFFSET(OtherTRA!AI$46,$E83,0)</f>
        <v>0.820564128</v>
      </c>
      <c r="AG83" s="24">
        <f ca="1">OFFSET(OtherTRA!AJ$46,$E83,0)</f>
        <v>0.820564128</v>
      </c>
      <c r="AH83" s="24">
        <f ca="1">OFFSET(OtherTRA!AK$46,$E83,0)</f>
        <v>0.820564128</v>
      </c>
      <c r="AI83" s="24">
        <f ca="1">OFFSET(OtherTRA!AL$46,$E83,0)</f>
        <v>0.820564128</v>
      </c>
      <c r="AJ83" s="24">
        <f ca="1">OFFSET(OtherTRA!AM$46,$E83,0)</f>
        <v>0.820564128</v>
      </c>
      <c r="AK83" s="24">
        <f ca="1">OFFSET(OtherTRA!AN$46,$E83,0)</f>
        <v>0.820564128</v>
      </c>
      <c r="AL83" s="24">
        <f ca="1">OFFSET(OtherTRA!AO$46,$E83,0)</f>
        <v>0.820564128</v>
      </c>
      <c r="AM83" s="24">
        <f ca="1">OFFSET(OtherTRA!AP$46,$E83,0)</f>
        <v>0.820564128</v>
      </c>
    </row>
    <row r="84" spans="1:39">
      <c r="A84" s="36" t="s">
        <v>609</v>
      </c>
      <c r="B84">
        <f>[2]EB_2006!$AI$69/1000</f>
        <v>35.178032837499991</v>
      </c>
      <c r="E84" s="140">
        <f>MATCH(F84,OtherTRA!$D$47:$D$51,0)</f>
        <v>2</v>
      </c>
      <c r="F84" s="4" t="str">
        <f t="shared" si="1"/>
        <v>TAIJET</v>
      </c>
      <c r="G84" s="24">
        <f ca="1">OFFSET(OtherTRA!J$46,$E84,0)</f>
        <v>60.368000000000002</v>
      </c>
      <c r="H84" s="24">
        <f ca="1">OFFSET(OtherTRA!K$46,$E84,0)</f>
        <v>62.190834813499116</v>
      </c>
      <c r="I84" s="24">
        <f ca="1">OFFSET(OtherTRA!L$46,$E84,0)</f>
        <v>64.013669626998222</v>
      </c>
      <c r="J84" s="24">
        <f ca="1">OFFSET(OtherTRA!M$46,$E84,0)</f>
        <v>65.836504440497336</v>
      </c>
      <c r="K84" s="24">
        <f ca="1">OFFSET(OtherTRA!N$46,$E84,0)</f>
        <v>67.387891307864322</v>
      </c>
      <c r="L84" s="24">
        <f ca="1">OFFSET(OtherTRA!O$46,$E84,0)</f>
        <v>68.939278175231294</v>
      </c>
      <c r="M84" s="24">
        <f ca="1">OFFSET(OtherTRA!P$46,$E84,0)</f>
        <v>68.173084206814949</v>
      </c>
      <c r="N84" s="24">
        <f ca="1">OFFSET(OtherTRA!Q$46,$E84,0)</f>
        <v>67.406890238398603</v>
      </c>
      <c r="O84" s="24">
        <f ca="1">OFFSET(OtherTRA!R$46,$E84,0)</f>
        <v>66.640696269982243</v>
      </c>
      <c r="P84" s="24">
        <f ca="1">OFFSET(OtherTRA!S$46,$E84,0)</f>
        <v>69.503619182948498</v>
      </c>
      <c r="Q84" s="24">
        <f ca="1">OFFSET(OtherTRA!T$46,$E84,0)</f>
        <v>72.366542095914753</v>
      </c>
      <c r="R84" s="24">
        <f ca="1">OFFSET(OtherTRA!U$46,$E84,0)</f>
        <v>75.229465008881007</v>
      </c>
      <c r="S84" s="24">
        <f ca="1">OFFSET(OtherTRA!V$46,$E84,0)</f>
        <v>78.092387921847262</v>
      </c>
      <c r="T84" s="24">
        <f ca="1">OFFSET(OtherTRA!W$46,$E84,0)</f>
        <v>80.955310834813517</v>
      </c>
      <c r="U84" s="24">
        <f ca="1">OFFSET(OtherTRA!X$46,$E84,0)</f>
        <v>83.818233747779772</v>
      </c>
      <c r="V84" s="24">
        <f ca="1">OFFSET(OtherTRA!Y$46,$E84,0)</f>
        <v>86.681156660746026</v>
      </c>
      <c r="W84" s="24">
        <f ca="1">OFFSET(OtherTRA!Z$46,$E84,0)</f>
        <v>89.544079573712281</v>
      </c>
      <c r="X84" s="24">
        <f ca="1">OFFSET(OtherTRA!AA$46,$E84,0)</f>
        <v>92.407002486678536</v>
      </c>
      <c r="Y84" s="24">
        <f ca="1">OFFSET(OtherTRA!AB$46,$E84,0)</f>
        <v>95.269925399644762</v>
      </c>
      <c r="Z84" s="24">
        <f ca="1">OFFSET(OtherTRA!AC$46,$E84,0)</f>
        <v>99.237271758436947</v>
      </c>
      <c r="AA84" s="24">
        <f ca="1">OFFSET(OtherTRA!AD$46,$E84,0)</f>
        <v>103.20461811722913</v>
      </c>
      <c r="AB84" s="24">
        <f ca="1">OFFSET(OtherTRA!AE$46,$E84,0)</f>
        <v>107.17196447602132</v>
      </c>
      <c r="AC84" s="24">
        <f ca="1">OFFSET(OtherTRA!AF$46,$E84,0)</f>
        <v>111.1393108348135</v>
      </c>
      <c r="AD84" s="24">
        <f ca="1">OFFSET(OtherTRA!AG$46,$E84,0)</f>
        <v>115.10665719360568</v>
      </c>
      <c r="AE84" s="24">
        <f ca="1">OFFSET(OtherTRA!AH$46,$E84,0)</f>
        <v>119.07400355239787</v>
      </c>
      <c r="AF84" s="24">
        <f ca="1">OFFSET(OtherTRA!AI$46,$E84,0)</f>
        <v>123.04134991119005</v>
      </c>
      <c r="AG84" s="24">
        <f ca="1">OFFSET(OtherTRA!AJ$46,$E84,0)</f>
        <v>127.00869626998224</v>
      </c>
      <c r="AH84" s="24">
        <f ca="1">OFFSET(OtherTRA!AK$46,$E84,0)</f>
        <v>130.97604262877442</v>
      </c>
      <c r="AI84" s="24">
        <f ca="1">OFFSET(OtherTRA!AL$46,$E84,0)</f>
        <v>134.94338898756664</v>
      </c>
      <c r="AJ84" s="24">
        <f ca="1">OFFSET(OtherTRA!AM$46,$E84,0)</f>
        <v>167.91525399644763</v>
      </c>
      <c r="AK84" s="24">
        <f ca="1">OFFSET(OtherTRA!AN$46,$E84,0)</f>
        <v>200.88711900532863</v>
      </c>
      <c r="AL84" s="24">
        <f ca="1">OFFSET(OtherTRA!AO$46,$E84,0)</f>
        <v>200.88711900532863</v>
      </c>
      <c r="AM84" s="24">
        <f ca="1">OFFSET(OtherTRA!AP$46,$E84,0)</f>
        <v>200.88711900532863</v>
      </c>
    </row>
    <row r="85" spans="1:39" s="199" customFormat="1">
      <c r="A85" s="36" t="s">
        <v>610</v>
      </c>
      <c r="B85" s="199">
        <f>[2]EB_2006!$AI$70/1000</f>
        <v>42.764908764899999</v>
      </c>
      <c r="E85" s="140">
        <f>MATCH(F85,OtherTRA!$D$47:$D$51,0)</f>
        <v>3</v>
      </c>
      <c r="F85" s="199" t="str">
        <f t="shared" ref="F85" si="2">A85</f>
        <v>TADJET</v>
      </c>
      <c r="G85" s="24">
        <f ca="1">OFFSET(OtherTRA!J$46,$E85,0)</f>
        <v>20.123000000000001</v>
      </c>
      <c r="H85" s="24">
        <f ca="1">OFFSET(OtherTRA!K$46,$E85,0)</f>
        <v>20.730621669626998</v>
      </c>
      <c r="I85" s="24">
        <f ca="1">OFFSET(OtherTRA!L$46,$E85,0)</f>
        <v>21.338243339253996</v>
      </c>
      <c r="J85" s="24">
        <f ca="1">OFFSET(OtherTRA!M$46,$E85,0)</f>
        <v>21.945865008880997</v>
      </c>
      <c r="K85" s="24">
        <f ca="1">OFFSET(OtherTRA!N$46,$E85,0)</f>
        <v>21.205546534016896</v>
      </c>
      <c r="L85" s="24">
        <f ca="1">OFFSET(OtherTRA!O$46,$E85,0)</f>
        <v>20.465228059152793</v>
      </c>
      <c r="M85" s="24">
        <f ca="1">OFFSET(OtherTRA!P$46,$E85,0)</f>
        <v>21.048129836948519</v>
      </c>
      <c r="N85" s="24">
        <f ca="1">OFFSET(OtherTRA!Q$46,$E85,0)</f>
        <v>21.631031614744245</v>
      </c>
      <c r="O85" s="24">
        <f ca="1">OFFSET(OtherTRA!R$46,$E85,0)</f>
        <v>22.213933392539968</v>
      </c>
      <c r="P85" s="24">
        <f ca="1">OFFSET(OtherTRA!S$46,$E85,0)</f>
        <v>23.168256838365899</v>
      </c>
      <c r="Q85" s="24">
        <f ca="1">OFFSET(OtherTRA!T$46,$E85,0)</f>
        <v>24.12258028419183</v>
      </c>
      <c r="R85" s="24">
        <f ca="1">OFFSET(OtherTRA!U$46,$E85,0)</f>
        <v>25.076903730017762</v>
      </c>
      <c r="S85" s="24">
        <f ca="1">OFFSET(OtherTRA!V$46,$E85,0)</f>
        <v>26.031227175843693</v>
      </c>
      <c r="T85" s="24">
        <f ca="1">OFFSET(OtherTRA!W$46,$E85,0)</f>
        <v>26.985550621669624</v>
      </c>
      <c r="U85" s="24">
        <f ca="1">OFFSET(OtherTRA!X$46,$E85,0)</f>
        <v>27.939874067495555</v>
      </c>
      <c r="V85" s="24">
        <f ca="1">OFFSET(OtherTRA!Y$46,$E85,0)</f>
        <v>28.894197513321487</v>
      </c>
      <c r="W85" s="24">
        <f ca="1">OFFSET(OtherTRA!Z$46,$E85,0)</f>
        <v>29.848520959147418</v>
      </c>
      <c r="X85" s="24">
        <f ca="1">OFFSET(OtherTRA!AA$46,$E85,0)</f>
        <v>30.802844404973349</v>
      </c>
      <c r="Y85" s="24">
        <f ca="1">OFFSET(OtherTRA!AB$46,$E85,0)</f>
        <v>31.757167850799295</v>
      </c>
      <c r="Z85" s="24">
        <f ca="1">OFFSET(OtherTRA!AC$46,$E85,0)</f>
        <v>33.079638543516879</v>
      </c>
      <c r="AA85" s="24">
        <f ca="1">OFFSET(OtherTRA!AD$46,$E85,0)</f>
        <v>34.402109236234466</v>
      </c>
      <c r="AB85" s="24">
        <f ca="1">OFFSET(OtherTRA!AE$46,$E85,0)</f>
        <v>35.724579928952053</v>
      </c>
      <c r="AC85" s="24">
        <f ca="1">OFFSET(OtherTRA!AF$46,$E85,0)</f>
        <v>37.047050621669641</v>
      </c>
      <c r="AD85" s="24">
        <f ca="1">OFFSET(OtherTRA!AG$46,$E85,0)</f>
        <v>38.369521314387228</v>
      </c>
      <c r="AE85" s="24">
        <f ca="1">OFFSET(OtherTRA!AH$46,$E85,0)</f>
        <v>39.691992007104815</v>
      </c>
      <c r="AF85" s="24">
        <f ca="1">OFFSET(OtherTRA!AI$46,$E85,0)</f>
        <v>41.014462699822403</v>
      </c>
      <c r="AG85" s="24">
        <f ca="1">OFFSET(OtherTRA!AJ$46,$E85,0)</f>
        <v>42.33693339253999</v>
      </c>
      <c r="AH85" s="24">
        <f ca="1">OFFSET(OtherTRA!AK$46,$E85,0)</f>
        <v>43.659404085257577</v>
      </c>
      <c r="AI85" s="24">
        <f ca="1">OFFSET(OtherTRA!AL$46,$E85,0)</f>
        <v>44.981874777975143</v>
      </c>
      <c r="AJ85" s="24">
        <f ca="1">OFFSET(OtherTRA!AM$46,$E85,0)</f>
        <v>55.97267850799291</v>
      </c>
      <c r="AK85" s="24">
        <f ca="1">OFFSET(OtherTRA!AN$46,$E85,0)</f>
        <v>66.96348223801067</v>
      </c>
      <c r="AL85" s="24">
        <f ca="1">OFFSET(OtherTRA!AO$46,$E85,0)</f>
        <v>66.96348223801067</v>
      </c>
      <c r="AM85" s="24">
        <f ca="1">OFFSET(OtherTRA!AP$46,$E85,0)</f>
        <v>66.96348223801067</v>
      </c>
    </row>
    <row r="86" spans="1:39">
      <c r="A86" s="36" t="s">
        <v>381</v>
      </c>
      <c r="B86" s="24">
        <f>[2]EB_2006!$AG$68/1000</f>
        <v>0.74474625240000003</v>
      </c>
      <c r="E86" s="142">
        <f>MATCH(F86,OtherTRA!$D$47:$D$51,0)</f>
        <v>4</v>
      </c>
      <c r="F86" s="4" t="str">
        <f t="shared" si="1"/>
        <v>TAOAG</v>
      </c>
      <c r="G86" s="24">
        <f ca="1">OFFSET(OtherTRA!J$46,$E86,0)</f>
        <v>1.0701311035156249</v>
      </c>
      <c r="H86" s="24">
        <f ca="1">OFFSET(OtherTRA!K$46,$E86,0)</f>
        <v>1.1024441208509101</v>
      </c>
      <c r="I86" s="24">
        <f ca="1">OFFSET(OtherTRA!L$46,$E86,0)</f>
        <v>1.1347571381861954</v>
      </c>
      <c r="J86" s="24">
        <f ca="1">OFFSET(OtherTRA!M$46,$E86,0)</f>
        <v>1.1670701555214809</v>
      </c>
      <c r="K86" s="24">
        <f ca="1">OFFSET(OtherTRA!N$46,$E86,0)</f>
        <v>1.182276281326321</v>
      </c>
      <c r="L86" s="24">
        <f ca="1">OFFSET(OtherTRA!O$46,$E86,0)</f>
        <v>1.1974824071311612</v>
      </c>
      <c r="M86" s="24">
        <f ca="1">OFFSET(OtherTRA!P$46,$E86,0)</f>
        <v>1.1920969042419469</v>
      </c>
      <c r="N86" s="24">
        <f ca="1">OFFSET(OtherTRA!Q$46,$E86,0)</f>
        <v>1.1867114013527327</v>
      </c>
      <c r="O86" s="24">
        <f ca="1">OFFSET(OtherTRA!R$46,$E86,0)</f>
        <v>1.1813258984635187</v>
      </c>
      <c r="P86" s="24">
        <f ca="1">OFFSET(OtherTRA!S$46,$E86,0)</f>
        <v>1.2320763433371726</v>
      </c>
      <c r="Q86" s="24">
        <f ca="1">OFFSET(OtherTRA!T$46,$E86,0)</f>
        <v>1.2828267882108266</v>
      </c>
      <c r="R86" s="24">
        <f ca="1">OFFSET(OtherTRA!U$46,$E86,0)</f>
        <v>1.3335772330844806</v>
      </c>
      <c r="S86" s="24">
        <f ca="1">OFFSET(OtherTRA!V$46,$E86,0)</f>
        <v>1.3843276779581346</v>
      </c>
      <c r="T86" s="24">
        <f ca="1">OFFSET(OtherTRA!W$46,$E86,0)</f>
        <v>1.4350781228317886</v>
      </c>
      <c r="U86" s="24">
        <f ca="1">OFFSET(OtherTRA!X$46,$E86,0)</f>
        <v>1.4858285677054426</v>
      </c>
      <c r="V86" s="24">
        <f ca="1">OFFSET(OtherTRA!Y$46,$E86,0)</f>
        <v>1.5365790125790966</v>
      </c>
      <c r="W86" s="24">
        <f ca="1">OFFSET(OtherTRA!Z$46,$E86,0)</f>
        <v>1.5873294574527506</v>
      </c>
      <c r="X86" s="24">
        <f ca="1">OFFSET(OtherTRA!AA$46,$E86,0)</f>
        <v>1.6380799023264045</v>
      </c>
      <c r="Y86" s="24">
        <f ca="1">OFFSET(OtherTRA!AB$46,$E86,0)</f>
        <v>1.6888303472000585</v>
      </c>
      <c r="Z86" s="24">
        <f ca="1">OFFSET(OtherTRA!AC$46,$E86,0)</f>
        <v>1.7591586790474443</v>
      </c>
      <c r="AA86" s="24">
        <f ca="1">OFFSET(OtherTRA!AD$46,$E86,0)</f>
        <v>1.82948701089483</v>
      </c>
      <c r="AB86" s="24">
        <f ca="1">OFFSET(OtherTRA!AE$46,$E86,0)</f>
        <v>1.8998153427422158</v>
      </c>
      <c r="AC86" s="24">
        <f ca="1">OFFSET(OtherTRA!AF$46,$E86,0)</f>
        <v>1.9701436745896015</v>
      </c>
      <c r="AD86" s="24">
        <f ca="1">OFFSET(OtherTRA!AG$46,$E86,0)</f>
        <v>2.0404720064369872</v>
      </c>
      <c r="AE86" s="24">
        <f ca="1">OFFSET(OtherTRA!AH$46,$E86,0)</f>
        <v>2.1108003382843727</v>
      </c>
      <c r="AF86" s="24">
        <f ca="1">OFFSET(OtherTRA!AI$46,$E86,0)</f>
        <v>2.1811286701317583</v>
      </c>
      <c r="AG86" s="24">
        <f ca="1">OFFSET(OtherTRA!AJ$46,$E86,0)</f>
        <v>2.2514570019791438</v>
      </c>
      <c r="AH86" s="24">
        <f ca="1">OFFSET(OtherTRA!AK$46,$E86,0)</f>
        <v>2.3217853338265293</v>
      </c>
      <c r="AI86" s="24">
        <f ca="1">OFFSET(OtherTRA!AL$46,$E86,0)</f>
        <v>2.3921136656739153</v>
      </c>
      <c r="AJ86" s="24">
        <f ca="1">OFFSET(OtherTRA!AM$46,$E86,0)</f>
        <v>2.976599126297458</v>
      </c>
      <c r="AK86" s="24">
        <f ca="1">OFFSET(OtherTRA!AN$46,$E86,0)</f>
        <v>3.5610845869210008</v>
      </c>
      <c r="AL86" s="24">
        <f ca="1">OFFSET(OtherTRA!AO$46,$E86,0)</f>
        <v>3.5610845869210008</v>
      </c>
      <c r="AM86" s="24">
        <f ca="1">OFFSET(OtherTRA!AP$46,$E86,0)</f>
        <v>3.5610845869210008</v>
      </c>
    </row>
    <row r="87" spans="1:39">
      <c r="A87" s="36" t="s">
        <v>151</v>
      </c>
      <c r="B87" s="24">
        <v>52.28615900487997</v>
      </c>
      <c r="E87" s="141">
        <f>MATCH(F87,FTRA!$D$132:$D$144,0)</f>
        <v>1</v>
      </c>
      <c r="F87" s="4" t="str">
        <f>A87</f>
        <v>TFLCV</v>
      </c>
      <c r="G87" s="24">
        <f ca="1">OFFSET(FTRA!J$131,$E87,0)</f>
        <v>43.11250375056882</v>
      </c>
      <c r="H87" s="24">
        <f ca="1">OFFSET(FTRA!K$131,$E87,0)</f>
        <v>43.541669167045889</v>
      </c>
      <c r="I87" s="24">
        <f ca="1">OFFSET(FTRA!L$131,$E87,0)</f>
        <v>43.970834583522958</v>
      </c>
      <c r="J87" s="24">
        <f ca="1">OFFSET(FTRA!M$131,$E87,0)</f>
        <v>44.4</v>
      </c>
      <c r="K87" s="24">
        <f ca="1">OFFSET(FTRA!N$131,$E87,0)</f>
        <v>44.871410582810697</v>
      </c>
      <c r="L87" s="24">
        <f ca="1">OFFSET(FTRA!O$131,$E87,0)</f>
        <v>45.342821165621402</v>
      </c>
      <c r="M87" s="24">
        <f ca="1">OFFSET(FTRA!P$131,$E87,0)</f>
        <v>45.179311841840047</v>
      </c>
      <c r="N87" s="24">
        <f ca="1">OFFSET(FTRA!Q$131,$E87,0)</f>
        <v>45.015802518058692</v>
      </c>
      <c r="O87" s="24">
        <f ca="1">OFFSET(FTRA!R$131,$E87,0)</f>
        <v>44.85229319427733</v>
      </c>
      <c r="P87" s="24">
        <f ca="1">OFFSET(FTRA!S$131,$E87,0)</f>
        <v>46.551708382803803</v>
      </c>
      <c r="Q87" s="24">
        <f ca="1">OFFSET(FTRA!T$131,$E87,0)</f>
        <v>48.251123571330275</v>
      </c>
      <c r="R87" s="24">
        <f ca="1">OFFSET(FTRA!U$131,$E87,0)</f>
        <v>49.950538759856748</v>
      </c>
      <c r="S87" s="24">
        <f ca="1">OFFSET(FTRA!V$131,$E87,0)</f>
        <v>51.649953948383221</v>
      </c>
      <c r="T87" s="24">
        <f ca="1">OFFSET(FTRA!W$131,$E87,0)</f>
        <v>53.349369136909694</v>
      </c>
      <c r="U87" s="24">
        <f ca="1">OFFSET(FTRA!X$131,$E87,0)</f>
        <v>55.048784325436166</v>
      </c>
      <c r="V87" s="24">
        <f ca="1">OFFSET(FTRA!Y$131,$E87,0)</f>
        <v>56.748199513962639</v>
      </c>
      <c r="W87" s="24">
        <f ca="1">OFFSET(FTRA!Z$131,$E87,0)</f>
        <v>58.447614702489112</v>
      </c>
      <c r="X87" s="24">
        <f ca="1">OFFSET(FTRA!AA$131,$E87,0)</f>
        <v>60.147029891015585</v>
      </c>
      <c r="Y87" s="24">
        <f ca="1">OFFSET(FTRA!AB$131,$E87,0)</f>
        <v>61.846445079542072</v>
      </c>
      <c r="Z87" s="24">
        <f ca="1">OFFSET(FTRA!AC$131,$E87,0)</f>
        <v>64.577416493628107</v>
      </c>
      <c r="AA87" s="24">
        <f ca="1">OFFSET(FTRA!AD$131,$E87,0)</f>
        <v>67.308387907714135</v>
      </c>
      <c r="AB87" s="24">
        <f ca="1">OFFSET(FTRA!AE$131,$E87,0)</f>
        <v>70.039359321800163</v>
      </c>
      <c r="AC87" s="24">
        <f ca="1">OFFSET(FTRA!AF$131,$E87,0)</f>
        <v>72.770330735886191</v>
      </c>
      <c r="AD87" s="24">
        <f ca="1">OFFSET(FTRA!AG$131,$E87,0)</f>
        <v>75.501302149972219</v>
      </c>
      <c r="AE87" s="24">
        <f ca="1">OFFSET(FTRA!AH$131,$E87,0)</f>
        <v>78.232273564058247</v>
      </c>
      <c r="AF87" s="24">
        <f ca="1">OFFSET(FTRA!AI$131,$E87,0)</f>
        <v>80.963244978144274</v>
      </c>
      <c r="AG87" s="24">
        <f ca="1">OFFSET(FTRA!AJ$131,$E87,0)</f>
        <v>83.694216392230302</v>
      </c>
      <c r="AH87" s="24">
        <f ca="1">OFFSET(FTRA!AK$131,$E87,0)</f>
        <v>86.42518780631633</v>
      </c>
      <c r="AI87" s="24">
        <f ca="1">OFFSET(FTRA!AL$131,$E87,0)</f>
        <v>89.156159220402401</v>
      </c>
      <c r="AJ87" s="24">
        <f ca="1">OFFSET(FTRA!AM$131,$E87,0)</f>
        <v>111.25154590280788</v>
      </c>
      <c r="AK87" s="24">
        <f ca="1">OFFSET(FTRA!AN$131,$E87,0)</f>
        <v>133.34693258521338</v>
      </c>
      <c r="AL87" s="24">
        <f ca="1">OFFSET(FTRA!AO$131,$E87,0)</f>
        <v>133.34693258521338</v>
      </c>
      <c r="AM87" s="24">
        <f ca="1">OFFSET(FTRA!AP$131,$E87,0)</f>
        <v>133.34693258521338</v>
      </c>
    </row>
    <row r="88" spans="1:39">
      <c r="A88" s="36" t="s">
        <v>412</v>
      </c>
      <c r="B88" s="24">
        <v>4.134278411680218</v>
      </c>
      <c r="E88" s="140">
        <f>MATCH(F88,FTRA!$D$132:$D$144,0)</f>
        <v>2</v>
      </c>
      <c r="F88" s="4" t="str">
        <f>A88</f>
        <v>TFHCV1</v>
      </c>
      <c r="G88" s="24">
        <f ca="1">OFFSET(FTRA!J$131,$E88,0)</f>
        <v>3.310563752317667</v>
      </c>
      <c r="H88" s="24">
        <f ca="1">OFFSET(FTRA!K$131,$E88,0)</f>
        <v>3.3405637523176668</v>
      </c>
      <c r="I88" s="24">
        <f ca="1">OFFSET(FTRA!L$131,$E88,0)</f>
        <v>3.3705637523176666</v>
      </c>
      <c r="J88" s="24">
        <f ca="1">OFFSET(FTRA!M$131,$E88,0)</f>
        <v>3.4</v>
      </c>
      <c r="K88" s="24">
        <f ca="1">OFFSET(FTRA!N$131,$E88,0)</f>
        <v>3.4249999999999998</v>
      </c>
      <c r="L88" s="24">
        <f ca="1">OFFSET(FTRA!O$131,$E88,0)</f>
        <v>3.45</v>
      </c>
      <c r="M88" s="24">
        <f ca="1">OFFSET(FTRA!P$131,$E88,0)</f>
        <v>3.3904650521296027</v>
      </c>
      <c r="N88" s="24">
        <f ca="1">OFFSET(FTRA!Q$131,$E88,0)</f>
        <v>3.3309301042592052</v>
      </c>
      <c r="O88" s="24">
        <f ca="1">OFFSET(FTRA!R$131,$E88,0)</f>
        <v>3.2713951563888077</v>
      </c>
      <c r="P88" s="24">
        <f ca="1">OFFSET(FTRA!S$131,$E88,0)</f>
        <v>3.3727910380302379</v>
      </c>
      <c r="Q88" s="24">
        <f ca="1">OFFSET(FTRA!T$131,$E88,0)</f>
        <v>3.4741869196716682</v>
      </c>
      <c r="R88" s="24">
        <f ca="1">OFFSET(FTRA!U$131,$E88,0)</f>
        <v>3.5755828013130984</v>
      </c>
      <c r="S88" s="24">
        <f ca="1">OFFSET(FTRA!V$131,$E88,0)</f>
        <v>3.6769786829545286</v>
      </c>
      <c r="T88" s="24">
        <f ca="1">OFFSET(FTRA!W$131,$E88,0)</f>
        <v>3.7783745645959588</v>
      </c>
      <c r="U88" s="24">
        <f ca="1">OFFSET(FTRA!X$131,$E88,0)</f>
        <v>3.879770446237389</v>
      </c>
      <c r="V88" s="24">
        <f ca="1">OFFSET(FTRA!Y$131,$E88,0)</f>
        <v>3.9811663278788192</v>
      </c>
      <c r="W88" s="24">
        <f ca="1">OFFSET(FTRA!Z$131,$E88,0)</f>
        <v>4.0825622095202494</v>
      </c>
      <c r="X88" s="24">
        <f ca="1">OFFSET(FTRA!AA$131,$E88,0)</f>
        <v>4.1839580911616796</v>
      </c>
      <c r="Y88" s="24">
        <f ca="1">OFFSET(FTRA!AB$131,$E88,0)</f>
        <v>4.2853539728031098</v>
      </c>
      <c r="Z88" s="24">
        <f ca="1">OFFSET(FTRA!AC$131,$E88,0)</f>
        <v>4.4436953403755775</v>
      </c>
      <c r="AA88" s="24">
        <f ca="1">OFFSET(FTRA!AD$131,$E88,0)</f>
        <v>4.6020367079480451</v>
      </c>
      <c r="AB88" s="24">
        <f ca="1">OFFSET(FTRA!AE$131,$E88,0)</f>
        <v>4.7603780755205127</v>
      </c>
      <c r="AC88" s="24">
        <f ca="1">OFFSET(FTRA!AF$131,$E88,0)</f>
        <v>4.9187194430929804</v>
      </c>
      <c r="AD88" s="24">
        <f ca="1">OFFSET(FTRA!AG$131,$E88,0)</f>
        <v>5.077060810665448</v>
      </c>
      <c r="AE88" s="24">
        <f ca="1">OFFSET(FTRA!AH$131,$E88,0)</f>
        <v>5.2354021782379156</v>
      </c>
      <c r="AF88" s="24">
        <f ca="1">OFFSET(FTRA!AI$131,$E88,0)</f>
        <v>5.3937435458103833</v>
      </c>
      <c r="AG88" s="24">
        <f ca="1">OFFSET(FTRA!AJ$131,$E88,0)</f>
        <v>5.5520849133828509</v>
      </c>
      <c r="AH88" s="24">
        <f ca="1">OFFSET(FTRA!AK$131,$E88,0)</f>
        <v>5.7104262809553186</v>
      </c>
      <c r="AI88" s="24">
        <f ca="1">OFFSET(FTRA!AL$131,$E88,0)</f>
        <v>5.8687676485277898</v>
      </c>
      <c r="AJ88" s="24">
        <f ca="1">OFFSET(FTRA!AM$131,$E88,0)</f>
        <v>7.103770786915037</v>
      </c>
      <c r="AK88" s="24">
        <f ca="1">OFFSET(FTRA!AN$131,$E88,0)</f>
        <v>8.3387739253022843</v>
      </c>
      <c r="AL88" s="24">
        <f ca="1">OFFSET(FTRA!AO$131,$E88,0)</f>
        <v>8.3387739253022843</v>
      </c>
      <c r="AM88" s="24">
        <f ca="1">OFFSET(FTRA!AP$131,$E88,0)</f>
        <v>8.3387739253022843</v>
      </c>
    </row>
    <row r="89" spans="1:39" s="4" customFormat="1">
      <c r="A89" s="36" t="s">
        <v>413</v>
      </c>
      <c r="B89" s="24">
        <v>0.80954708483781546</v>
      </c>
      <c r="E89" s="140">
        <f>MATCH(F89,FTRA!$D$132:$D$144,0)</f>
        <v>3</v>
      </c>
      <c r="F89" s="4" t="str">
        <f t="shared" ref="F89:F96" si="3">A89</f>
        <v>TFHCV2</v>
      </c>
      <c r="G89" s="24">
        <f ca="1">OFFSET(FTRA!J$131,$E89,0)</f>
        <v>0.6547839540708813</v>
      </c>
      <c r="H89" s="24">
        <f ca="1">OFFSET(FTRA!K$131,$E89,0)</f>
        <v>0.67123078144835724</v>
      </c>
      <c r="I89" s="24">
        <f ca="1">OFFSET(FTRA!L$131,$E89,0)</f>
        <v>0.68767760882583318</v>
      </c>
      <c r="J89" s="24">
        <f ca="1">OFFSET(FTRA!M$131,$E89,0)</f>
        <v>0.704124436203308</v>
      </c>
      <c r="K89" s="24">
        <f ca="1">OFFSET(FTRA!N$131,$E89,0)</f>
        <v>0.72006693722491655</v>
      </c>
      <c r="L89" s="24">
        <f ca="1">OFFSET(FTRA!O$131,$E89,0)</f>
        <v>0.73600943824652509</v>
      </c>
      <c r="M89" s="24">
        <f ca="1">OFFSET(FTRA!P$131,$E89,0)</f>
        <v>0.71774213313838819</v>
      </c>
      <c r="N89" s="24">
        <f ca="1">OFFSET(FTRA!Q$131,$E89,0)</f>
        <v>0.69947482803025129</v>
      </c>
      <c r="O89" s="24">
        <f ca="1">OFFSET(FTRA!R$131,$E89,0)</f>
        <v>0.68120752292211428</v>
      </c>
      <c r="P89" s="24">
        <f ca="1">OFFSET(FTRA!S$131,$E89,0)</f>
        <v>0.69950340577038861</v>
      </c>
      <c r="Q89" s="24">
        <f ca="1">OFFSET(FTRA!T$131,$E89,0)</f>
        <v>0.71779928861866293</v>
      </c>
      <c r="R89" s="24">
        <f ca="1">OFFSET(FTRA!U$131,$E89,0)</f>
        <v>0.73609517146693726</v>
      </c>
      <c r="S89" s="24">
        <f ca="1">OFFSET(FTRA!V$131,$E89,0)</f>
        <v>0.75439105431521158</v>
      </c>
      <c r="T89" s="24">
        <f ca="1">OFFSET(FTRA!W$131,$E89,0)</f>
        <v>0.77268693716348591</v>
      </c>
      <c r="U89" s="24">
        <f ca="1">OFFSET(FTRA!X$131,$E89,0)</f>
        <v>0.79098282001176023</v>
      </c>
      <c r="V89" s="24">
        <f ca="1">OFFSET(FTRA!Y$131,$E89,0)</f>
        <v>0.80927870286003456</v>
      </c>
      <c r="W89" s="24">
        <f ca="1">OFFSET(FTRA!Z$131,$E89,0)</f>
        <v>0.82757458570830889</v>
      </c>
      <c r="X89" s="24">
        <f ca="1">OFFSET(FTRA!AA$131,$E89,0)</f>
        <v>0.84587046855658321</v>
      </c>
      <c r="Y89" s="24">
        <f ca="1">OFFSET(FTRA!AB$131,$E89,0)</f>
        <v>0.86416635140485754</v>
      </c>
      <c r="Z89" s="24">
        <f ca="1">OFFSET(FTRA!AC$131,$E89,0)</f>
        <v>0.89360528408124174</v>
      </c>
      <c r="AA89" s="24">
        <f ca="1">OFFSET(FTRA!AD$131,$E89,0)</f>
        <v>0.92304421675762593</v>
      </c>
      <c r="AB89" s="24">
        <f ca="1">OFFSET(FTRA!AE$131,$E89,0)</f>
        <v>0.95248314943401013</v>
      </c>
      <c r="AC89" s="24">
        <f ca="1">OFFSET(FTRA!AF$131,$E89,0)</f>
        <v>0.98192208211039433</v>
      </c>
      <c r="AD89" s="24">
        <f ca="1">OFFSET(FTRA!AG$131,$E89,0)</f>
        <v>1.0113610147867784</v>
      </c>
      <c r="AE89" s="24">
        <f ca="1">OFFSET(FTRA!AH$131,$E89,0)</f>
        <v>1.0407999474631626</v>
      </c>
      <c r="AF89" s="24">
        <f ca="1">OFFSET(FTRA!AI$131,$E89,0)</f>
        <v>1.0702388801395468</v>
      </c>
      <c r="AG89" s="24">
        <f ca="1">OFFSET(FTRA!AJ$131,$E89,0)</f>
        <v>1.099677812815931</v>
      </c>
      <c r="AH89" s="24">
        <f ca="1">OFFSET(FTRA!AK$131,$E89,0)</f>
        <v>1.1291167454923152</v>
      </c>
      <c r="AI89" s="24">
        <f ca="1">OFFSET(FTRA!AL$131,$E89,0)</f>
        <v>1.1585556781686994</v>
      </c>
      <c r="AJ89" s="24">
        <f ca="1">OFFSET(FTRA!AM$131,$E89,0)</f>
        <v>1.3850301166353032</v>
      </c>
      <c r="AK89" s="24">
        <f ca="1">OFFSET(FTRA!AN$131,$E89,0)</f>
        <v>1.6115045551019063</v>
      </c>
      <c r="AL89" s="24">
        <f ca="1">OFFSET(FTRA!AO$131,$E89,0)</f>
        <v>1.6115045551019063</v>
      </c>
      <c r="AM89" s="24">
        <f ca="1">OFFSET(FTRA!AP$131,$E89,0)</f>
        <v>1.6115045551019063</v>
      </c>
    </row>
    <row r="90" spans="1:39" s="4" customFormat="1">
      <c r="A90" s="36" t="s">
        <v>414</v>
      </c>
      <c r="B90" s="24">
        <v>2.7195831056144888</v>
      </c>
      <c r="E90" s="140">
        <f>MATCH(F90,FTRA!$D$132:$D$144,0)</f>
        <v>4</v>
      </c>
      <c r="F90" s="4" t="str">
        <f t="shared" si="3"/>
        <v>TFHCV3</v>
      </c>
      <c r="G90" s="24">
        <f ca="1">OFFSET(FTRA!J$131,$E90,0)</f>
        <v>2.7114063478211388</v>
      </c>
      <c r="H90" s="24">
        <f ca="1">OFFSET(FTRA!K$131,$E90,0)</f>
        <v>2.7742708985474289</v>
      </c>
      <c r="I90" s="24">
        <f ca="1">OFFSET(FTRA!L$131,$E90,0)</f>
        <v>2.8371354492737191</v>
      </c>
      <c r="J90" s="24">
        <f ca="1">OFFSET(FTRA!M$131,$E90,0)</f>
        <v>2.9</v>
      </c>
      <c r="K90" s="24">
        <f ca="1">OFFSET(FTRA!N$131,$E90,0)</f>
        <v>2.9652984627095749</v>
      </c>
      <c r="L90" s="24">
        <f ca="1">OFFSET(FTRA!O$131,$E90,0)</f>
        <v>3.0305969254191498</v>
      </c>
      <c r="M90" s="24">
        <f ca="1">OFFSET(FTRA!P$131,$E90,0)</f>
        <v>2.9606726726268029</v>
      </c>
      <c r="N90" s="24">
        <f ca="1">OFFSET(FTRA!Q$131,$E90,0)</f>
        <v>2.890748419834456</v>
      </c>
      <c r="O90" s="24">
        <f ca="1">OFFSET(FTRA!R$131,$E90,0)</f>
        <v>2.8208241670421086</v>
      </c>
      <c r="P90" s="24">
        <f ca="1">OFFSET(FTRA!S$131,$E90,0)</f>
        <v>2.8965859088889969</v>
      </c>
      <c r="Q90" s="24">
        <f ca="1">OFFSET(FTRA!T$131,$E90,0)</f>
        <v>2.9723476507358848</v>
      </c>
      <c r="R90" s="24">
        <f ca="1">OFFSET(FTRA!U$131,$E90,0)</f>
        <v>3.0481093925827727</v>
      </c>
      <c r="S90" s="24">
        <f ca="1">OFFSET(FTRA!V$131,$E90,0)</f>
        <v>3.1238711344296606</v>
      </c>
      <c r="T90" s="24">
        <f ca="1">OFFSET(FTRA!W$131,$E90,0)</f>
        <v>3.1996328762765485</v>
      </c>
      <c r="U90" s="24">
        <f ca="1">OFFSET(FTRA!X$131,$E90,0)</f>
        <v>3.2753946181234364</v>
      </c>
      <c r="V90" s="24">
        <f ca="1">OFFSET(FTRA!Y$131,$E90,0)</f>
        <v>3.3511563599703242</v>
      </c>
      <c r="W90" s="24">
        <f ca="1">OFFSET(FTRA!Z$131,$E90,0)</f>
        <v>3.4269181018172121</v>
      </c>
      <c r="X90" s="24">
        <f ca="1">OFFSET(FTRA!AA$131,$E90,0)</f>
        <v>3.5026798436641</v>
      </c>
      <c r="Y90" s="24">
        <f ca="1">OFFSET(FTRA!AB$131,$E90,0)</f>
        <v>3.5784415855109897</v>
      </c>
      <c r="Z90" s="24">
        <f ca="1">OFFSET(FTRA!AC$131,$E90,0)</f>
        <v>3.700345777627442</v>
      </c>
      <c r="AA90" s="24">
        <f ca="1">OFFSET(FTRA!AD$131,$E90,0)</f>
        <v>3.8222499697438943</v>
      </c>
      <c r="AB90" s="24">
        <f ca="1">OFFSET(FTRA!AE$131,$E90,0)</f>
        <v>3.9441541618603466</v>
      </c>
      <c r="AC90" s="24">
        <f ca="1">OFFSET(FTRA!AF$131,$E90,0)</f>
        <v>4.0660583539767989</v>
      </c>
      <c r="AD90" s="24">
        <f ca="1">OFFSET(FTRA!AG$131,$E90,0)</f>
        <v>4.1879625460932512</v>
      </c>
      <c r="AE90" s="24">
        <f ca="1">OFFSET(FTRA!AH$131,$E90,0)</f>
        <v>4.3098667382097036</v>
      </c>
      <c r="AF90" s="24">
        <f ca="1">OFFSET(FTRA!AI$131,$E90,0)</f>
        <v>4.4317709303261559</v>
      </c>
      <c r="AG90" s="24">
        <f ca="1">OFFSET(FTRA!AJ$131,$E90,0)</f>
        <v>4.5536751224426082</v>
      </c>
      <c r="AH90" s="24">
        <f ca="1">OFFSET(FTRA!AK$131,$E90,0)</f>
        <v>4.6755793145590605</v>
      </c>
      <c r="AI90" s="24">
        <f ca="1">OFFSET(FTRA!AL$131,$E90,0)</f>
        <v>4.7974835066755146</v>
      </c>
      <c r="AJ90" s="24">
        <f ca="1">OFFSET(FTRA!AM$131,$E90,0)</f>
        <v>5.7352954769595375</v>
      </c>
      <c r="AK90" s="24">
        <f ca="1">OFFSET(FTRA!AN$131,$E90,0)</f>
        <v>6.6731074472435576</v>
      </c>
      <c r="AL90" s="24">
        <f ca="1">OFFSET(FTRA!AO$131,$E90,0)</f>
        <v>6.6731074472435576</v>
      </c>
      <c r="AM90" s="24">
        <f ca="1">OFFSET(FTRA!AP$131,$E90,0)</f>
        <v>6.6731074472435576</v>
      </c>
    </row>
    <row r="91" spans="1:39" s="4" customFormat="1">
      <c r="A91" s="36" t="s">
        <v>415</v>
      </c>
      <c r="B91" s="24">
        <v>0.66594475210557558</v>
      </c>
      <c r="E91" s="140">
        <f>MATCH(F91,FTRA!$D$132:$D$144,0)</f>
        <v>5</v>
      </c>
      <c r="F91" s="4" t="str">
        <f t="shared" si="3"/>
        <v>TFHCV4</v>
      </c>
      <c r="G91" s="24">
        <f ca="1">OFFSET(FTRA!J$131,$E91,0)</f>
        <v>0.57023972229676956</v>
      </c>
      <c r="H91" s="24">
        <f ca="1">OFFSET(FTRA!K$131,$E91,0)</f>
        <v>0.55900373411704862</v>
      </c>
      <c r="I91" s="24">
        <f ca="1">OFFSET(FTRA!L$131,$E91,0)</f>
        <v>0.54776774593732769</v>
      </c>
      <c r="J91" s="24">
        <f ca="1">OFFSET(FTRA!M$131,$E91,0)</f>
        <v>0.53653175775760331</v>
      </c>
      <c r="K91" s="24">
        <f ca="1">OFFSET(FTRA!N$131,$E91,0)</f>
        <v>0.54016937887880168</v>
      </c>
      <c r="L91" s="24">
        <f ca="1">OFFSET(FTRA!O$131,$E91,0)</f>
        <v>0.54380700000000004</v>
      </c>
      <c r="M91" s="24">
        <f ca="1">OFFSET(FTRA!P$131,$E91,0)</f>
        <v>0.56028851311836958</v>
      </c>
      <c r="N91" s="24">
        <f ca="1">OFFSET(FTRA!Q$131,$E91,0)</f>
        <v>0.57677002623673912</v>
      </c>
      <c r="O91" s="24">
        <f ca="1">OFFSET(FTRA!R$131,$E91,0)</f>
        <v>0.59325153935510855</v>
      </c>
      <c r="P91" s="24">
        <f ca="1">OFFSET(FTRA!S$131,$E91,0)</f>
        <v>0.6091850989509271</v>
      </c>
      <c r="Q91" s="24">
        <f ca="1">OFFSET(FTRA!T$131,$E91,0)</f>
        <v>0.62511865854674564</v>
      </c>
      <c r="R91" s="24">
        <f ca="1">OFFSET(FTRA!U$131,$E91,0)</f>
        <v>0.64105221814256419</v>
      </c>
      <c r="S91" s="24">
        <f ca="1">OFFSET(FTRA!V$131,$E91,0)</f>
        <v>0.65698577773838274</v>
      </c>
      <c r="T91" s="24">
        <f ca="1">OFFSET(FTRA!W$131,$E91,0)</f>
        <v>0.67291933733420128</v>
      </c>
      <c r="U91" s="24">
        <f ca="1">OFFSET(FTRA!X$131,$E91,0)</f>
        <v>0.68885289693001983</v>
      </c>
      <c r="V91" s="24">
        <f ca="1">OFFSET(FTRA!Y$131,$E91,0)</f>
        <v>0.70478645652583838</v>
      </c>
      <c r="W91" s="24">
        <f ca="1">OFFSET(FTRA!Z$131,$E91,0)</f>
        <v>0.72072001612165693</v>
      </c>
      <c r="X91" s="24">
        <f ca="1">OFFSET(FTRA!AA$131,$E91,0)</f>
        <v>0.73665357571747547</v>
      </c>
      <c r="Y91" s="24">
        <f ca="1">OFFSET(FTRA!AB$131,$E91,0)</f>
        <v>0.75258713531329446</v>
      </c>
      <c r="Z91" s="24">
        <f ca="1">OFFSET(FTRA!AC$131,$E91,0)</f>
        <v>0.7782249792001612</v>
      </c>
      <c r="AA91" s="24">
        <f ca="1">OFFSET(FTRA!AD$131,$E91,0)</f>
        <v>0.80386282308702794</v>
      </c>
      <c r="AB91" s="24">
        <f ca="1">OFFSET(FTRA!AE$131,$E91,0)</f>
        <v>0.82950066697389468</v>
      </c>
      <c r="AC91" s="24">
        <f ca="1">OFFSET(FTRA!AF$131,$E91,0)</f>
        <v>0.85513851086076142</v>
      </c>
      <c r="AD91" s="24">
        <f ca="1">OFFSET(FTRA!AG$131,$E91,0)</f>
        <v>0.88077635474762817</v>
      </c>
      <c r="AE91" s="24">
        <f ca="1">OFFSET(FTRA!AH$131,$E91,0)</f>
        <v>0.90641419863449491</v>
      </c>
      <c r="AF91" s="24">
        <f ca="1">OFFSET(FTRA!AI$131,$E91,0)</f>
        <v>0.93205204252136165</v>
      </c>
      <c r="AG91" s="24">
        <f ca="1">OFFSET(FTRA!AJ$131,$E91,0)</f>
        <v>0.95768988640822839</v>
      </c>
      <c r="AH91" s="24">
        <f ca="1">OFFSET(FTRA!AK$131,$E91,0)</f>
        <v>0.98332773029509513</v>
      </c>
      <c r="AI91" s="24">
        <f ca="1">OFFSET(FTRA!AL$131,$E91,0)</f>
        <v>1.0089655741819614</v>
      </c>
      <c r="AJ91" s="24">
        <f ca="1">OFFSET(FTRA!AM$131,$E91,0)</f>
        <v>1.2061981424139745</v>
      </c>
      <c r="AK91" s="24">
        <f ca="1">OFFSET(FTRA!AN$131,$E91,0)</f>
        <v>1.4034307106459869</v>
      </c>
      <c r="AL91" s="24">
        <f ca="1">OFFSET(FTRA!AO$131,$E91,0)</f>
        <v>1.4034307106459869</v>
      </c>
      <c r="AM91" s="24">
        <f ca="1">OFFSET(FTRA!AP$131,$E91,0)</f>
        <v>1.4034307106459869</v>
      </c>
    </row>
    <row r="92" spans="1:39" s="4" customFormat="1">
      <c r="A92" s="36" t="s">
        <v>416</v>
      </c>
      <c r="B92" s="24">
        <v>0.33457448391316724</v>
      </c>
      <c r="E92" s="140">
        <f>MATCH(F92,FTRA!$D$132:$D$144,0)</f>
        <v>6</v>
      </c>
      <c r="F92" s="4" t="str">
        <f t="shared" si="3"/>
        <v>TFHCV5</v>
      </c>
      <c r="G92" s="24">
        <f ca="1">OFFSET(FTRA!J$131,$E92,0)</f>
        <v>0.27326501935541331</v>
      </c>
      <c r="H92" s="24">
        <f ca="1">OFFSET(FTRA!K$131,$E92,0)</f>
        <v>0.27740453823694228</v>
      </c>
      <c r="I92" s="24">
        <f ca="1">OFFSET(FTRA!L$131,$E92,0)</f>
        <v>0.28154405711847125</v>
      </c>
      <c r="J92" s="24">
        <f ca="1">OFFSET(FTRA!M$131,$E92,0)</f>
        <v>0.28568357599999999</v>
      </c>
      <c r="K92" s="24">
        <f ca="1">OFFSET(FTRA!N$131,$E92,0)</f>
        <v>0.2876204765</v>
      </c>
      <c r="L92" s="24">
        <f ca="1">OFFSET(FTRA!O$131,$E92,0)</f>
        <v>0.289557377</v>
      </c>
      <c r="M92" s="24">
        <f ca="1">OFFSET(FTRA!P$131,$E92,0)</f>
        <v>0.28780242801534867</v>
      </c>
      <c r="N92" s="24">
        <f ca="1">OFFSET(FTRA!Q$131,$E92,0)</f>
        <v>0.28604747903069733</v>
      </c>
      <c r="O92" s="24">
        <f ca="1">OFFSET(FTRA!R$131,$E92,0)</f>
        <v>0.28429253004604604</v>
      </c>
      <c r="P92" s="24">
        <f ca="1">OFFSET(FTRA!S$131,$E92,0)</f>
        <v>0.29192806349119954</v>
      </c>
      <c r="Q92" s="24">
        <f ca="1">OFFSET(FTRA!T$131,$E92,0)</f>
        <v>0.29956359693635304</v>
      </c>
      <c r="R92" s="24">
        <f ca="1">OFFSET(FTRA!U$131,$E92,0)</f>
        <v>0.30719913038150654</v>
      </c>
      <c r="S92" s="24">
        <f ca="1">OFFSET(FTRA!V$131,$E92,0)</f>
        <v>0.31483466382666003</v>
      </c>
      <c r="T92" s="24">
        <f ca="1">OFFSET(FTRA!W$131,$E92,0)</f>
        <v>0.32247019727181353</v>
      </c>
      <c r="U92" s="24">
        <f ca="1">OFFSET(FTRA!X$131,$E92,0)</f>
        <v>0.33010573071696703</v>
      </c>
      <c r="V92" s="24">
        <f ca="1">OFFSET(FTRA!Y$131,$E92,0)</f>
        <v>0.33774126416212052</v>
      </c>
      <c r="W92" s="24">
        <f ca="1">OFFSET(FTRA!Z$131,$E92,0)</f>
        <v>0.34537679760727402</v>
      </c>
      <c r="X92" s="24">
        <f ca="1">OFFSET(FTRA!AA$131,$E92,0)</f>
        <v>0.35301233105242752</v>
      </c>
      <c r="Y92" s="24">
        <f ca="1">OFFSET(FTRA!AB$131,$E92,0)</f>
        <v>0.36064786449758096</v>
      </c>
      <c r="Z92" s="24">
        <f ca="1">OFFSET(FTRA!AC$131,$E92,0)</f>
        <v>0.37293379554033218</v>
      </c>
      <c r="AA92" s="24">
        <f ca="1">OFFSET(FTRA!AD$131,$E92,0)</f>
        <v>0.3852197265830834</v>
      </c>
      <c r="AB92" s="24">
        <f ca="1">OFFSET(FTRA!AE$131,$E92,0)</f>
        <v>0.39750565762583462</v>
      </c>
      <c r="AC92" s="24">
        <f ca="1">OFFSET(FTRA!AF$131,$E92,0)</f>
        <v>0.40979158866858584</v>
      </c>
      <c r="AD92" s="24">
        <f ca="1">OFFSET(FTRA!AG$131,$E92,0)</f>
        <v>0.42207751971133706</v>
      </c>
      <c r="AE92" s="24">
        <f ca="1">OFFSET(FTRA!AH$131,$E92,0)</f>
        <v>0.43436345075408828</v>
      </c>
      <c r="AF92" s="24">
        <f ca="1">OFFSET(FTRA!AI$131,$E92,0)</f>
        <v>0.4466493817968395</v>
      </c>
      <c r="AG92" s="24">
        <f ca="1">OFFSET(FTRA!AJ$131,$E92,0)</f>
        <v>0.45893531283959071</v>
      </c>
      <c r="AH92" s="24">
        <f ca="1">OFFSET(FTRA!AK$131,$E92,0)</f>
        <v>0.47122124388234193</v>
      </c>
      <c r="AI92" s="24">
        <f ca="1">OFFSET(FTRA!AL$131,$E92,0)</f>
        <v>0.48350717492509332</v>
      </c>
      <c r="AJ92" s="24">
        <f ca="1">OFFSET(FTRA!AM$131,$E92,0)</f>
        <v>0.5780231468366217</v>
      </c>
      <c r="AK92" s="24">
        <f ca="1">OFFSET(FTRA!AN$131,$E92,0)</f>
        <v>0.67253911874814976</v>
      </c>
      <c r="AL92" s="24">
        <f ca="1">OFFSET(FTRA!AO$131,$E92,0)</f>
        <v>0.67253911874814976</v>
      </c>
      <c r="AM92" s="24">
        <f ca="1">OFFSET(FTRA!AP$131,$E92,0)</f>
        <v>0.67253911874814976</v>
      </c>
    </row>
    <row r="93" spans="1:39" s="4" customFormat="1">
      <c r="A93" s="36" t="s">
        <v>417</v>
      </c>
      <c r="B93" s="24">
        <v>4.2080971938397562</v>
      </c>
      <c r="E93" s="140">
        <f>MATCH(F93,FTRA!$D$132:$D$144,0)</f>
        <v>7</v>
      </c>
      <c r="F93" s="4" t="str">
        <f t="shared" si="3"/>
        <v>TFHCV6</v>
      </c>
      <c r="G93" s="24">
        <f ca="1">OFFSET(FTRA!J$131,$E93,0)</f>
        <v>5.0361375113209643</v>
      </c>
      <c r="H93" s="24">
        <f ca="1">OFFSET(FTRA!K$131,$E93,0)</f>
        <v>5.3607583408806443</v>
      </c>
      <c r="I93" s="24">
        <f ca="1">OFFSET(FTRA!L$131,$E93,0)</f>
        <v>5.6853791704403243</v>
      </c>
      <c r="J93" s="24">
        <f ca="1">OFFSET(FTRA!M$131,$E93,0)</f>
        <v>6.01</v>
      </c>
      <c r="K93" s="24">
        <f ca="1">OFFSET(FTRA!N$131,$E93,0)</f>
        <v>6.3253919226144593</v>
      </c>
      <c r="L93" s="24">
        <f ca="1">OFFSET(FTRA!O$131,$E93,0)</f>
        <v>6.6407838452289196</v>
      </c>
      <c r="M93" s="24">
        <f ca="1">OFFSET(FTRA!P$131,$E93,0)</f>
        <v>6.1736455678261564</v>
      </c>
      <c r="N93" s="24">
        <f ca="1">OFFSET(FTRA!Q$131,$E93,0)</f>
        <v>5.7065072904233931</v>
      </c>
      <c r="O93" s="24">
        <f ca="1">OFFSET(FTRA!R$131,$E93,0)</f>
        <v>5.239369013020629</v>
      </c>
      <c r="P93" s="24">
        <f ca="1">OFFSET(FTRA!S$131,$E93,0)</f>
        <v>5.3800880720966457</v>
      </c>
      <c r="Q93" s="24">
        <f ca="1">OFFSET(FTRA!T$131,$E93,0)</f>
        <v>5.5208071311726625</v>
      </c>
      <c r="R93" s="24">
        <f ca="1">OFFSET(FTRA!U$131,$E93,0)</f>
        <v>5.6615261902486793</v>
      </c>
      <c r="S93" s="24">
        <f ca="1">OFFSET(FTRA!V$131,$E93,0)</f>
        <v>5.8022452493246961</v>
      </c>
      <c r="T93" s="24">
        <f ca="1">OFFSET(FTRA!W$131,$E93,0)</f>
        <v>5.9429643084007129</v>
      </c>
      <c r="U93" s="24">
        <f ca="1">OFFSET(FTRA!X$131,$E93,0)</f>
        <v>6.0836833674767297</v>
      </c>
      <c r="V93" s="24">
        <f ca="1">OFFSET(FTRA!Y$131,$E93,0)</f>
        <v>6.2244024265527464</v>
      </c>
      <c r="W93" s="24">
        <f ca="1">OFFSET(FTRA!Z$131,$E93,0)</f>
        <v>6.3651214856287632</v>
      </c>
      <c r="X93" s="24">
        <f ca="1">OFFSET(FTRA!AA$131,$E93,0)</f>
        <v>6.50584054470478</v>
      </c>
      <c r="Y93" s="24">
        <f ca="1">OFFSET(FTRA!AB$131,$E93,0)</f>
        <v>6.6465596037807968</v>
      </c>
      <c r="Z93" s="24">
        <f ca="1">OFFSET(FTRA!AC$131,$E93,0)</f>
        <v>6.8729831626097013</v>
      </c>
      <c r="AA93" s="24">
        <f ca="1">OFFSET(FTRA!AD$131,$E93,0)</f>
        <v>7.0994067214386058</v>
      </c>
      <c r="AB93" s="24">
        <f ca="1">OFFSET(FTRA!AE$131,$E93,0)</f>
        <v>7.3258302802675104</v>
      </c>
      <c r="AC93" s="24">
        <f ca="1">OFFSET(FTRA!AF$131,$E93,0)</f>
        <v>7.5522538390964149</v>
      </c>
      <c r="AD93" s="24">
        <f ca="1">OFFSET(FTRA!AG$131,$E93,0)</f>
        <v>7.7786773979253194</v>
      </c>
      <c r="AE93" s="24">
        <f ca="1">OFFSET(FTRA!AH$131,$E93,0)</f>
        <v>8.0051009567542248</v>
      </c>
      <c r="AF93" s="24">
        <f ca="1">OFFSET(FTRA!AI$131,$E93,0)</f>
        <v>8.2315245155831303</v>
      </c>
      <c r="AG93" s="24">
        <f ca="1">OFFSET(FTRA!AJ$131,$E93,0)</f>
        <v>8.4579480744120357</v>
      </c>
      <c r="AH93" s="24">
        <f ca="1">OFFSET(FTRA!AK$131,$E93,0)</f>
        <v>8.6843716332409411</v>
      </c>
      <c r="AI93" s="24">
        <f ca="1">OFFSET(FTRA!AL$131,$E93,0)</f>
        <v>8.9107951920698447</v>
      </c>
      <c r="AJ93" s="24">
        <f ca="1">OFFSET(FTRA!AM$131,$E93,0)</f>
        <v>10.652677240073647</v>
      </c>
      <c r="AK93" s="24">
        <f ca="1">OFFSET(FTRA!AN$131,$E93,0)</f>
        <v>12.394559288077447</v>
      </c>
      <c r="AL93" s="24">
        <f ca="1">OFFSET(FTRA!AO$131,$E93,0)</f>
        <v>12.394559288077447</v>
      </c>
      <c r="AM93" s="24">
        <f ca="1">OFFSET(FTRA!AP$131,$E93,0)</f>
        <v>12.394559288077447</v>
      </c>
    </row>
    <row r="94" spans="1:39" s="4" customFormat="1">
      <c r="A94" s="36" t="s">
        <v>418</v>
      </c>
      <c r="B94" s="24">
        <v>1.4910262867673953</v>
      </c>
      <c r="E94" s="140">
        <f>MATCH(F94,FTRA!$D$132:$D$144,0)</f>
        <v>8</v>
      </c>
      <c r="F94" s="4" t="str">
        <f t="shared" si="3"/>
        <v>TFHCV7</v>
      </c>
      <c r="G94" s="24">
        <f ca="1">OFFSET(FTRA!J$131,$E94,0)</f>
        <v>1.5653068685251963</v>
      </c>
      <c r="H94" s="24">
        <f ca="1">OFFSET(FTRA!K$131,$E94,0)</f>
        <v>1.6102045790167996</v>
      </c>
      <c r="I94" s="24">
        <f ca="1">OFFSET(FTRA!L$131,$E94,0)</f>
        <v>1.6551022895084029</v>
      </c>
      <c r="J94" s="24">
        <f ca="1">OFFSET(FTRA!M$131,$E94,0)</f>
        <v>1.7</v>
      </c>
      <c r="K94" s="24">
        <f ca="1">OFFSET(FTRA!N$131,$E94,0)</f>
        <v>1.74</v>
      </c>
      <c r="L94" s="24">
        <f ca="1">OFFSET(FTRA!O$131,$E94,0)</f>
        <v>1.78</v>
      </c>
      <c r="M94" s="24">
        <f ca="1">OFFSET(FTRA!P$131,$E94,0)</f>
        <v>1.7294914197228428</v>
      </c>
      <c r="N94" s="24">
        <f ca="1">OFFSET(FTRA!Q$131,$E94,0)</f>
        <v>1.6789828394456856</v>
      </c>
      <c r="O94" s="24">
        <f ca="1">OFFSET(FTRA!R$131,$E94,0)</f>
        <v>1.6284742591685284</v>
      </c>
      <c r="P94" s="24">
        <f ca="1">OFFSET(FTRA!S$131,$E94,0)</f>
        <v>1.6722118475900001</v>
      </c>
      <c r="Q94" s="24">
        <f ca="1">OFFSET(FTRA!T$131,$E94,0)</f>
        <v>1.7159494360114718</v>
      </c>
      <c r="R94" s="24">
        <f ca="1">OFFSET(FTRA!U$131,$E94,0)</f>
        <v>1.7596870244329434</v>
      </c>
      <c r="S94" s="24">
        <f ca="1">OFFSET(FTRA!V$131,$E94,0)</f>
        <v>1.8034246128544151</v>
      </c>
      <c r="T94" s="24">
        <f ca="1">OFFSET(FTRA!W$131,$E94,0)</f>
        <v>1.8471622012758868</v>
      </c>
      <c r="U94" s="24">
        <f ca="1">OFFSET(FTRA!X$131,$E94,0)</f>
        <v>1.8908997896973585</v>
      </c>
      <c r="V94" s="24">
        <f ca="1">OFFSET(FTRA!Y$131,$E94,0)</f>
        <v>1.9346373781188302</v>
      </c>
      <c r="W94" s="24">
        <f ca="1">OFFSET(FTRA!Z$131,$E94,0)</f>
        <v>1.9783749665403019</v>
      </c>
      <c r="X94" s="24">
        <f ca="1">OFFSET(FTRA!AA$131,$E94,0)</f>
        <v>2.0221125549617738</v>
      </c>
      <c r="Y94" s="24">
        <f ca="1">OFFSET(FTRA!AB$131,$E94,0)</f>
        <v>2.0658501433832459</v>
      </c>
      <c r="Z94" s="24">
        <f ca="1">OFFSET(FTRA!AC$131,$E94,0)</f>
        <v>2.1362259722866623</v>
      </c>
      <c r="AA94" s="24">
        <f ca="1">OFFSET(FTRA!AD$131,$E94,0)</f>
        <v>2.2066018011900788</v>
      </c>
      <c r="AB94" s="24">
        <f ca="1">OFFSET(FTRA!AE$131,$E94,0)</f>
        <v>2.2769776300934952</v>
      </c>
      <c r="AC94" s="24">
        <f ca="1">OFFSET(FTRA!AF$131,$E94,0)</f>
        <v>2.3473534589969116</v>
      </c>
      <c r="AD94" s="24">
        <f ca="1">OFFSET(FTRA!AG$131,$E94,0)</f>
        <v>2.417729287900328</v>
      </c>
      <c r="AE94" s="24">
        <f ca="1">OFFSET(FTRA!AH$131,$E94,0)</f>
        <v>2.4881051168037445</v>
      </c>
      <c r="AF94" s="24">
        <f ca="1">OFFSET(FTRA!AI$131,$E94,0)</f>
        <v>2.5584809457071609</v>
      </c>
      <c r="AG94" s="24">
        <f ca="1">OFFSET(FTRA!AJ$131,$E94,0)</f>
        <v>2.6288567746105773</v>
      </c>
      <c r="AH94" s="24">
        <f ca="1">OFFSET(FTRA!AK$131,$E94,0)</f>
        <v>2.6992326035139937</v>
      </c>
      <c r="AI94" s="24">
        <f ca="1">OFFSET(FTRA!AL$131,$E94,0)</f>
        <v>2.7696084324174115</v>
      </c>
      <c r="AJ94" s="24">
        <f ca="1">OFFSET(FTRA!AM$131,$E94,0)</f>
        <v>3.3110114278224962</v>
      </c>
      <c r="AK94" s="24">
        <f ca="1">OFFSET(FTRA!AN$131,$E94,0)</f>
        <v>3.852414423227581</v>
      </c>
      <c r="AL94" s="24">
        <f ca="1">OFFSET(FTRA!AO$131,$E94,0)</f>
        <v>3.852414423227581</v>
      </c>
      <c r="AM94" s="24">
        <f ca="1">OFFSET(FTRA!AP$131,$E94,0)</f>
        <v>3.852414423227581</v>
      </c>
    </row>
    <row r="95" spans="1:39" s="4" customFormat="1">
      <c r="A95" s="36" t="s">
        <v>419</v>
      </c>
      <c r="B95" s="24">
        <v>0</v>
      </c>
      <c r="E95" s="140">
        <f>MATCH(F95,FTRA!$D$132:$D$144,0)</f>
        <v>9</v>
      </c>
      <c r="F95" s="4" t="str">
        <f t="shared" si="3"/>
        <v>TFHCV8</v>
      </c>
      <c r="G95" s="24">
        <f ca="1">OFFSET(FTRA!J$131,$E95,0)</f>
        <v>5.8486156921973939E-2</v>
      </c>
      <c r="H95" s="24">
        <f ca="1">OFFSET(FTRA!K$131,$E95,0)</f>
        <v>6.5622085483256903E-2</v>
      </c>
      <c r="I95" s="24">
        <f ca="1">OFFSET(FTRA!L$131,$E95,0)</f>
        <v>7.2758014044539868E-2</v>
      </c>
      <c r="J95" s="24">
        <f ca="1">OFFSET(FTRA!M$131,$E95,0)</f>
        <v>7.9893942605822804E-2</v>
      </c>
      <c r="K95" s="24">
        <f ca="1">OFFSET(FTRA!N$131,$E95,0)</f>
        <v>9.0970063028559395E-2</v>
      </c>
      <c r="L95" s="24">
        <f ca="1">OFFSET(FTRA!O$131,$E95,0)</f>
        <v>0.102046183451296</v>
      </c>
      <c r="M95" s="24">
        <f ca="1">OFFSET(FTRA!P$131,$E95,0)</f>
        <v>8.8312903821014643E-2</v>
      </c>
      <c r="N95" s="24">
        <f ca="1">OFFSET(FTRA!Q$131,$E95,0)</f>
        <v>7.4579624190733287E-2</v>
      </c>
      <c r="O95" s="24">
        <f ca="1">OFFSET(FTRA!R$131,$E95,0)</f>
        <v>6.0846344560451945E-2</v>
      </c>
      <c r="P95" s="24">
        <f ca="1">OFFSET(FTRA!S$131,$E95,0)</f>
        <v>6.2480556682843677E-2</v>
      </c>
      <c r="Q95" s="24">
        <f ca="1">OFFSET(FTRA!T$131,$E95,0)</f>
        <v>6.4114768805235409E-2</v>
      </c>
      <c r="R95" s="24">
        <f ca="1">OFFSET(FTRA!U$131,$E95,0)</f>
        <v>6.574898092762714E-2</v>
      </c>
      <c r="S95" s="24">
        <f ca="1">OFFSET(FTRA!V$131,$E95,0)</f>
        <v>6.7383193050018872E-2</v>
      </c>
      <c r="T95" s="24">
        <f ca="1">OFFSET(FTRA!W$131,$E95,0)</f>
        <v>6.9017405172410604E-2</v>
      </c>
      <c r="U95" s="24">
        <f ca="1">OFFSET(FTRA!X$131,$E95,0)</f>
        <v>7.0651617294802335E-2</v>
      </c>
      <c r="V95" s="24">
        <f ca="1">OFFSET(FTRA!Y$131,$E95,0)</f>
        <v>7.2285829417194067E-2</v>
      </c>
      <c r="W95" s="24">
        <f ca="1">OFFSET(FTRA!Z$131,$E95,0)</f>
        <v>7.3920041539585798E-2</v>
      </c>
      <c r="X95" s="24">
        <f ca="1">OFFSET(FTRA!AA$131,$E95,0)</f>
        <v>7.555425366197753E-2</v>
      </c>
      <c r="Y95" s="24">
        <f ca="1">OFFSET(FTRA!AB$131,$E95,0)</f>
        <v>7.7188465784369248E-2</v>
      </c>
      <c r="Z95" s="24">
        <f ca="1">OFFSET(FTRA!AC$131,$E95,0)</f>
        <v>7.981798965315369E-2</v>
      </c>
      <c r="AA95" s="24">
        <f ca="1">OFFSET(FTRA!AD$131,$E95,0)</f>
        <v>8.2447513521938132E-2</v>
      </c>
      <c r="AB95" s="24">
        <f ca="1">OFFSET(FTRA!AE$131,$E95,0)</f>
        <v>8.5077037390722574E-2</v>
      </c>
      <c r="AC95" s="24">
        <f ca="1">OFFSET(FTRA!AF$131,$E95,0)</f>
        <v>8.7706561259507015E-2</v>
      </c>
      <c r="AD95" s="24">
        <f ca="1">OFFSET(FTRA!AG$131,$E95,0)</f>
        <v>9.0336085128291457E-2</v>
      </c>
      <c r="AE95" s="24">
        <f ca="1">OFFSET(FTRA!AH$131,$E95,0)</f>
        <v>9.2965608997075899E-2</v>
      </c>
      <c r="AF95" s="24">
        <f ca="1">OFFSET(FTRA!AI$131,$E95,0)</f>
        <v>9.5595132865860341E-2</v>
      </c>
      <c r="AG95" s="24">
        <f ca="1">OFFSET(FTRA!AJ$131,$E95,0)</f>
        <v>9.8224656734644783E-2</v>
      </c>
      <c r="AH95" s="24">
        <f ca="1">OFFSET(FTRA!AK$131,$E95,0)</f>
        <v>0.10085418060342922</v>
      </c>
      <c r="AI95" s="24">
        <f ca="1">OFFSET(FTRA!AL$131,$E95,0)</f>
        <v>0.10348370447221361</v>
      </c>
      <c r="AJ95" s="24">
        <f ca="1">OFFSET(FTRA!AM$131,$E95,0)</f>
        <v>0.12371269674458661</v>
      </c>
      <c r="AK95" s="24">
        <f ca="1">OFFSET(FTRA!AN$131,$E95,0)</f>
        <v>0.14394168901695967</v>
      </c>
      <c r="AL95" s="24">
        <f ca="1">OFFSET(FTRA!AO$131,$E95,0)</f>
        <v>0.14394168901695967</v>
      </c>
      <c r="AM95" s="24">
        <f ca="1">OFFSET(FTRA!AP$131,$E95,0)</f>
        <v>0.14394168901695967</v>
      </c>
    </row>
    <row r="96" spans="1:39">
      <c r="A96" s="36" t="s">
        <v>420</v>
      </c>
      <c r="B96" s="24">
        <v>4.2946824044977329E-2</v>
      </c>
      <c r="E96" s="140">
        <f>MATCH(F96,FTRA!$D$132:$D$144,0)</f>
        <v>10</v>
      </c>
      <c r="F96" s="4" t="str">
        <f t="shared" si="3"/>
        <v>TFHCV9</v>
      </c>
      <c r="G96" s="24">
        <f ca="1">OFFSET(FTRA!J$131,$E96,0)</f>
        <v>3.9969372950314989E-2</v>
      </c>
      <c r="H96" s="24">
        <f ca="1">OFFSET(FTRA!K$131,$E96,0)</f>
        <v>3.4102559292729893E-2</v>
      </c>
      <c r="I96" s="24">
        <f ca="1">OFFSET(FTRA!L$131,$E96,0)</f>
        <v>2.8235745635144794E-2</v>
      </c>
      <c r="J96" s="24">
        <f ca="1">OFFSET(FTRA!M$131,$E96,0)</f>
        <v>2.2368931977559604E-2</v>
      </c>
      <c r="K96" s="24">
        <f ca="1">OFFSET(FTRA!N$131,$E96,0)</f>
        <v>2.2519965988779801E-2</v>
      </c>
      <c r="L96" s="24">
        <f ca="1">OFFSET(FTRA!O$131,$E96,0)</f>
        <v>2.2670999999999997E-2</v>
      </c>
      <c r="M96" s="24">
        <f ca="1">OFFSET(FTRA!P$131,$E96,0)</f>
        <v>2.8974774163731166E-2</v>
      </c>
      <c r="N96" s="24">
        <f ca="1">OFFSET(FTRA!Q$131,$E96,0)</f>
        <v>3.5278548327462335E-2</v>
      </c>
      <c r="O96" s="24">
        <f ca="1">OFFSET(FTRA!R$131,$E96,0)</f>
        <v>4.1582322491193507E-2</v>
      </c>
      <c r="P96" s="24">
        <f ca="1">OFFSET(FTRA!S$131,$E96,0)</f>
        <v>4.2699141192188712E-2</v>
      </c>
      <c r="Q96" s="24">
        <f ca="1">OFFSET(FTRA!T$131,$E96,0)</f>
        <v>4.3815959893183917E-2</v>
      </c>
      <c r="R96" s="24">
        <f ca="1">OFFSET(FTRA!U$131,$E96,0)</f>
        <v>4.4932778594179122E-2</v>
      </c>
      <c r="S96" s="24">
        <f ca="1">OFFSET(FTRA!V$131,$E96,0)</f>
        <v>4.6049597295174327E-2</v>
      </c>
      <c r="T96" s="24">
        <f ca="1">OFFSET(FTRA!W$131,$E96,0)</f>
        <v>4.7166415996169532E-2</v>
      </c>
      <c r="U96" s="24">
        <f ca="1">OFFSET(FTRA!X$131,$E96,0)</f>
        <v>4.8283234697164737E-2</v>
      </c>
      <c r="V96" s="24">
        <f ca="1">OFFSET(FTRA!Y$131,$E96,0)</f>
        <v>4.9400053398159942E-2</v>
      </c>
      <c r="W96" s="24">
        <f ca="1">OFFSET(FTRA!Z$131,$E96,0)</f>
        <v>5.0516872099155147E-2</v>
      </c>
      <c r="X96" s="24">
        <f ca="1">OFFSET(FTRA!AA$131,$E96,0)</f>
        <v>5.1633690800150352E-2</v>
      </c>
      <c r="Y96" s="24">
        <f ca="1">OFFSET(FTRA!AB$131,$E96,0)</f>
        <v>5.275050950114557E-2</v>
      </c>
      <c r="Z96" s="24">
        <f ca="1">OFFSET(FTRA!AC$131,$E96,0)</f>
        <v>5.4547523114698841E-2</v>
      </c>
      <c r="AA96" s="24">
        <f ca="1">OFFSET(FTRA!AD$131,$E96,0)</f>
        <v>5.6344536728252112E-2</v>
      </c>
      <c r="AB96" s="24">
        <f ca="1">OFFSET(FTRA!AE$131,$E96,0)</f>
        <v>5.8141550341805383E-2</v>
      </c>
      <c r="AC96" s="24">
        <f ca="1">OFFSET(FTRA!AF$131,$E96,0)</f>
        <v>5.9938563955358654E-2</v>
      </c>
      <c r="AD96" s="24">
        <f ca="1">OFFSET(FTRA!AG$131,$E96,0)</f>
        <v>6.1735577568911924E-2</v>
      </c>
      <c r="AE96" s="24">
        <f ca="1">OFFSET(FTRA!AH$131,$E96,0)</f>
        <v>6.3532591182465195E-2</v>
      </c>
      <c r="AF96" s="24">
        <f ca="1">OFFSET(FTRA!AI$131,$E96,0)</f>
        <v>6.5329604796018473E-2</v>
      </c>
      <c r="AG96" s="24">
        <f ca="1">OFFSET(FTRA!AJ$131,$E96,0)</f>
        <v>6.7126618409571751E-2</v>
      </c>
      <c r="AH96" s="24">
        <f ca="1">OFFSET(FTRA!AK$131,$E96,0)</f>
        <v>6.8923632023125028E-2</v>
      </c>
      <c r="AI96" s="24">
        <f ca="1">OFFSET(FTRA!AL$131,$E96,0)</f>
        <v>7.0720645636678292E-2</v>
      </c>
      <c r="AJ96" s="24">
        <f ca="1">OFFSET(FTRA!AM$131,$E96,0)</f>
        <v>8.4545115889052475E-2</v>
      </c>
      <c r="AK96" s="24">
        <f ca="1">OFFSET(FTRA!AN$131,$E96,0)</f>
        <v>9.8369586141426629E-2</v>
      </c>
      <c r="AL96" s="24">
        <f ca="1">OFFSET(FTRA!AO$131,$E96,0)</f>
        <v>9.8369586141426629E-2</v>
      </c>
      <c r="AM96" s="24">
        <f ca="1">OFFSET(FTRA!AP$131,$E96,0)</f>
        <v>9.8369586141426629E-2</v>
      </c>
    </row>
    <row r="97" spans="1:39">
      <c r="A97" s="36" t="s">
        <v>382</v>
      </c>
      <c r="B97">
        <v>28</v>
      </c>
      <c r="E97" s="140">
        <f>MATCH(F97,FTRA!$D$132:$D$144,0)</f>
        <v>11</v>
      </c>
      <c r="F97" s="4" t="str">
        <f t="shared" si="1"/>
        <v>TFRCO</v>
      </c>
      <c r="G97" s="24">
        <f ca="1">OFFSET(FTRA!J$131,$E97,0)</f>
        <v>22</v>
      </c>
      <c r="H97" s="24">
        <f ca="1">OFFSET(FTRA!K$131,$E97,0)</f>
        <v>22.407647056507475</v>
      </c>
      <c r="I97" s="24">
        <f ca="1">OFFSET(FTRA!L$131,$E97,0)</f>
        <v>22.81529411301495</v>
      </c>
      <c r="J97" s="24">
        <f ca="1">OFFSET(FTRA!M$131,$E97,0)</f>
        <v>23.222941169522429</v>
      </c>
      <c r="K97" s="24">
        <f ca="1">OFFSET(FTRA!N$131,$E97,0)</f>
        <v>23.45448568927641</v>
      </c>
      <c r="L97" s="24">
        <f ca="1">OFFSET(FTRA!O$131,$E97,0)</f>
        <v>23.686030209030392</v>
      </c>
      <c r="M97" s="24">
        <f ca="1">OFFSET(FTRA!P$131,$E97,0)</f>
        <v>23.419954144818554</v>
      </c>
      <c r="N97" s="24">
        <f ca="1">OFFSET(FTRA!Q$131,$E97,0)</f>
        <v>23.153878080606717</v>
      </c>
      <c r="O97" s="24">
        <f ca="1">OFFSET(FTRA!R$131,$E97,0)</f>
        <v>22.887802016394883</v>
      </c>
      <c r="P97" s="24">
        <f ca="1">OFFSET(FTRA!S$131,$E97,0)</f>
        <v>25.487568601803119</v>
      </c>
      <c r="Q97" s="24">
        <f ca="1">OFFSET(FTRA!T$131,$E97,0)</f>
        <v>28.087335187211355</v>
      </c>
      <c r="R97" s="24">
        <f ca="1">OFFSET(FTRA!U$131,$E97,0)</f>
        <v>30.687101772619592</v>
      </c>
      <c r="S97" s="24">
        <f ca="1">OFFSET(FTRA!V$131,$E97,0)</f>
        <v>33.286868358027832</v>
      </c>
      <c r="T97" s="24">
        <f ca="1">OFFSET(FTRA!W$131,$E97,0)</f>
        <v>35.886634943436071</v>
      </c>
      <c r="U97" s="24">
        <f ca="1">OFFSET(FTRA!X$131,$E97,0)</f>
        <v>38.486401528844311</v>
      </c>
      <c r="V97" s="24">
        <f ca="1">OFFSET(FTRA!Y$131,$E97,0)</f>
        <v>41.086168114252551</v>
      </c>
      <c r="W97" s="24">
        <f ca="1">OFFSET(FTRA!Z$131,$E97,0)</f>
        <v>43.685934699660791</v>
      </c>
      <c r="X97" s="24">
        <f ca="1">OFFSET(FTRA!AA$131,$E97,0)</f>
        <v>46.285701285069031</v>
      </c>
      <c r="Y97" s="24">
        <f ca="1">OFFSET(FTRA!AB$131,$E97,0)</f>
        <v>48.88546787047725</v>
      </c>
      <c r="Z97" s="24">
        <f ca="1">OFFSET(FTRA!AC$131,$E97,0)</f>
        <v>53.054703373493318</v>
      </c>
      <c r="AA97" s="24">
        <f ca="1">OFFSET(FTRA!AD$131,$E97,0)</f>
        <v>57.223938876509386</v>
      </c>
      <c r="AB97" s="24">
        <f ca="1">OFFSET(FTRA!AE$131,$E97,0)</f>
        <v>61.393174379525455</v>
      </c>
      <c r="AC97" s="24">
        <f ca="1">OFFSET(FTRA!AF$131,$E97,0)</f>
        <v>65.562409882541516</v>
      </c>
      <c r="AD97" s="24">
        <f ca="1">OFFSET(FTRA!AG$131,$E97,0)</f>
        <v>69.731645385557584</v>
      </c>
      <c r="AE97" s="24">
        <f ca="1">OFFSET(FTRA!AH$131,$E97,0)</f>
        <v>73.900880888573653</v>
      </c>
      <c r="AF97" s="24">
        <f ca="1">OFFSET(FTRA!AI$131,$E97,0)</f>
        <v>78.070116391589721</v>
      </c>
      <c r="AG97" s="24">
        <f ca="1">OFFSET(FTRA!AJ$131,$E97,0)</f>
        <v>82.23935189460579</v>
      </c>
      <c r="AH97" s="24">
        <f ca="1">OFFSET(FTRA!AK$131,$E97,0)</f>
        <v>86.408587397621858</v>
      </c>
      <c r="AI97" s="24">
        <f ca="1">OFFSET(FTRA!AL$131,$E97,0)</f>
        <v>90.577822900637926</v>
      </c>
      <c r="AJ97" s="24">
        <f ca="1">OFFSET(FTRA!AM$131,$E97,0)</f>
        <v>127.00875867012493</v>
      </c>
      <c r="AK97" s="24">
        <f ca="1">OFFSET(FTRA!AN$131,$E97,0)</f>
        <v>163.43969443961191</v>
      </c>
      <c r="AL97" s="24">
        <f ca="1">OFFSET(FTRA!AO$131,$E97,0)</f>
        <v>163.43969443961191</v>
      </c>
      <c r="AM97" s="24">
        <f ca="1">OFFSET(FTRA!AP$131,$E97,0)</f>
        <v>163.43969443961191</v>
      </c>
    </row>
    <row r="98" spans="1:39">
      <c r="A98" s="36" t="s">
        <v>384</v>
      </c>
      <c r="B98">
        <v>26</v>
      </c>
      <c r="E98" s="142">
        <f>MATCH(F98,FTRA!$D$132:$D$144,0)</f>
        <v>12</v>
      </c>
      <c r="F98" s="4" t="str">
        <f>A98</f>
        <v>TFROT</v>
      </c>
      <c r="G98" s="24">
        <f ca="1">OFFSET(FTRA!J$131,$E98,0)</f>
        <v>25.1</v>
      </c>
      <c r="H98" s="24">
        <f ca="1">OFFSET(FTRA!K$131,$E98,0)</f>
        <v>25.565088232651718</v>
      </c>
      <c r="I98" s="24">
        <f ca="1">OFFSET(FTRA!L$131,$E98,0)</f>
        <v>26.030176465303434</v>
      </c>
      <c r="J98" s="24">
        <f ca="1">OFFSET(FTRA!M$131,$E98,0)</f>
        <v>26.495264697955154</v>
      </c>
      <c r="K98" s="24">
        <f ca="1">OFFSET(FTRA!N$131,$E98,0)</f>
        <v>26.891657045383518</v>
      </c>
      <c r="L98" s="24">
        <f ca="1">OFFSET(FTRA!O$131,$E98,0)</f>
        <v>27.288049392811885</v>
      </c>
      <c r="M98" s="24">
        <f ca="1">OFFSET(FTRA!P$131,$E98,0)</f>
        <v>26.981510191502863</v>
      </c>
      <c r="N98" s="24">
        <f ca="1">OFFSET(FTRA!Q$131,$E98,0)</f>
        <v>26.674970990193842</v>
      </c>
      <c r="O98" s="24">
        <f ca="1">OFFSET(FTRA!R$131,$E98,0)</f>
        <v>26.368431788884816</v>
      </c>
      <c r="P98" s="24">
        <f ca="1">OFFSET(FTRA!S$131,$E98,0)</f>
        <v>27.40098233685374</v>
      </c>
      <c r="Q98" s="24">
        <f ca="1">OFFSET(FTRA!T$131,$E98,0)</f>
        <v>28.433532884822664</v>
      </c>
      <c r="R98" s="24">
        <f ca="1">OFFSET(FTRA!U$131,$E98,0)</f>
        <v>29.466083432791589</v>
      </c>
      <c r="S98" s="24">
        <f ca="1">OFFSET(FTRA!V$131,$E98,0)</f>
        <v>30.498633980760513</v>
      </c>
      <c r="T98" s="24">
        <f ca="1">OFFSET(FTRA!W$131,$E98,0)</f>
        <v>31.531184528729437</v>
      </c>
      <c r="U98" s="24">
        <f ca="1">OFFSET(FTRA!X$131,$E98,0)</f>
        <v>32.563735076698357</v>
      </c>
      <c r="V98" s="24">
        <f ca="1">OFFSET(FTRA!Y$131,$E98,0)</f>
        <v>33.596285624667281</v>
      </c>
      <c r="W98" s="24">
        <f ca="1">OFFSET(FTRA!Z$131,$E98,0)</f>
        <v>34.628836172636206</v>
      </c>
      <c r="X98" s="24">
        <f ca="1">OFFSET(FTRA!AA$131,$E98,0)</f>
        <v>35.66138672060513</v>
      </c>
      <c r="Y98" s="24">
        <f ca="1">OFFSET(FTRA!AB$131,$E98,0)</f>
        <v>36.693937268574047</v>
      </c>
      <c r="Z98" s="24">
        <f ca="1">OFFSET(FTRA!AC$131,$E98,0)</f>
        <v>38.360083352691525</v>
      </c>
      <c r="AA98" s="24">
        <f ca="1">OFFSET(FTRA!AD$131,$E98,0)</f>
        <v>40.026229436809004</v>
      </c>
      <c r="AB98" s="24">
        <f ca="1">OFFSET(FTRA!AE$131,$E98,0)</f>
        <v>41.692375520926483</v>
      </c>
      <c r="AC98" s="24">
        <f ca="1">OFFSET(FTRA!AF$131,$E98,0)</f>
        <v>43.358521605043961</v>
      </c>
      <c r="AD98" s="24">
        <f ca="1">OFFSET(FTRA!AG$131,$E98,0)</f>
        <v>45.02466768916144</v>
      </c>
      <c r="AE98" s="24">
        <f ca="1">OFFSET(FTRA!AH$131,$E98,0)</f>
        <v>46.690813773278919</v>
      </c>
      <c r="AF98" s="24">
        <f ca="1">OFFSET(FTRA!AI$131,$E98,0)</f>
        <v>48.356959857396397</v>
      </c>
      <c r="AG98" s="24">
        <f ca="1">OFFSET(FTRA!AJ$131,$E98,0)</f>
        <v>50.023105941513876</v>
      </c>
      <c r="AH98" s="24">
        <f ca="1">OFFSET(FTRA!AK$131,$E98,0)</f>
        <v>51.689252025631355</v>
      </c>
      <c r="AI98" s="24">
        <f ca="1">OFFSET(FTRA!AL$131,$E98,0)</f>
        <v>53.355398109748847</v>
      </c>
      <c r="AJ98" s="24">
        <f ca="1">OFFSET(FTRA!AM$131,$E98,0)</f>
        <v>66.904029164859097</v>
      </c>
      <c r="AK98" s="24">
        <f ca="1">OFFSET(FTRA!AN$131,$E98,0)</f>
        <v>80.452660219969331</v>
      </c>
      <c r="AL98" s="24">
        <f ca="1">OFFSET(FTRA!AO$131,$E98,0)</f>
        <v>80.452660219969331</v>
      </c>
      <c r="AM98" s="24">
        <f ca="1">OFFSET(FTRA!AP$131,$E98,0)</f>
        <v>80.452660219969331</v>
      </c>
    </row>
    <row r="99" spans="1:39">
      <c r="A99" s="36" t="s">
        <v>383</v>
      </c>
      <c r="B99">
        <v>67</v>
      </c>
      <c r="E99" s="141">
        <f>MATCH(F99,FTRA!$D$132:$D$144,0)</f>
        <v>13</v>
      </c>
      <c r="F99" s="4" t="str">
        <f t="shared" si="1"/>
        <v>TFREX</v>
      </c>
      <c r="G99" s="24">
        <f ca="1">OFFSET(FTRA!J$131,$E99,0)</f>
        <v>82</v>
      </c>
      <c r="H99" s="24">
        <f ca="1">OFFSET(FTRA!K$131,$E99,0)</f>
        <v>82</v>
      </c>
      <c r="I99" s="24">
        <f ca="1">OFFSET(FTRA!L$131,$E99,0)</f>
        <v>82</v>
      </c>
      <c r="J99" s="24">
        <f ca="1">OFFSET(FTRA!M$131,$E99,0)</f>
        <v>82</v>
      </c>
      <c r="K99" s="24">
        <f ca="1">OFFSET(FTRA!N$131,$E99,0)</f>
        <v>82</v>
      </c>
      <c r="L99" s="24">
        <f ca="1">OFFSET(FTRA!O$131,$E99,0)</f>
        <v>82</v>
      </c>
      <c r="M99" s="24">
        <f ca="1">OFFSET(FTRA!P$131,$E99,0)</f>
        <v>80.333090323072156</v>
      </c>
      <c r="N99" s="24">
        <f ca="1">OFFSET(FTRA!Q$131,$E99,0)</f>
        <v>78.666180646144312</v>
      </c>
      <c r="O99" s="24">
        <f ca="1">OFFSET(FTRA!R$131,$E99,0)</f>
        <v>76.999270969216482</v>
      </c>
      <c r="P99" s="24">
        <f ca="1">OFFSET(FTRA!S$131,$E99,0)</f>
        <v>79.135375281788185</v>
      </c>
      <c r="Q99" s="24">
        <f ca="1">OFFSET(FTRA!T$131,$E99,0)</f>
        <v>81.271479594359903</v>
      </c>
      <c r="R99" s="24">
        <f ca="1">OFFSET(FTRA!U$131,$E99,0)</f>
        <v>83.40758390693162</v>
      </c>
      <c r="S99" s="24">
        <f ca="1">OFFSET(FTRA!V$131,$E99,0)</f>
        <v>85.543688219503338</v>
      </c>
      <c r="T99" s="24">
        <f ca="1">OFFSET(FTRA!W$131,$E99,0)</f>
        <v>87.679792532075055</v>
      </c>
      <c r="U99" s="24">
        <f ca="1">OFFSET(FTRA!X$131,$E99,0)</f>
        <v>89.815896844646772</v>
      </c>
      <c r="V99" s="24">
        <f ca="1">OFFSET(FTRA!Y$131,$E99,0)</f>
        <v>91.95200115721849</v>
      </c>
      <c r="W99" s="24">
        <f ca="1">OFFSET(FTRA!Z$131,$E99,0)</f>
        <v>94.088105469790207</v>
      </c>
      <c r="X99" s="24">
        <f ca="1">OFFSET(FTRA!AA$131,$E99,0)</f>
        <v>96.224209782361925</v>
      </c>
      <c r="Y99" s="24">
        <f ca="1">OFFSET(FTRA!AB$131,$E99,0)</f>
        <v>98.360314094933585</v>
      </c>
      <c r="Z99" s="24">
        <f ca="1">OFFSET(FTRA!AC$131,$E99,0)</f>
        <v>101.69681486905661</v>
      </c>
      <c r="AA99" s="24">
        <f ca="1">OFFSET(FTRA!AD$131,$E99,0)</f>
        <v>105.03331564317963</v>
      </c>
      <c r="AB99" s="24">
        <f ca="1">OFFSET(FTRA!AE$131,$E99,0)</f>
        <v>108.36981641730266</v>
      </c>
      <c r="AC99" s="24">
        <f ca="1">OFFSET(FTRA!AF$131,$E99,0)</f>
        <v>111.70631719142568</v>
      </c>
      <c r="AD99" s="24">
        <f ca="1">OFFSET(FTRA!AG$131,$E99,0)</f>
        <v>115.04281796554871</v>
      </c>
      <c r="AE99" s="24">
        <f ca="1">OFFSET(FTRA!AH$131,$E99,0)</f>
        <v>118.37931873967173</v>
      </c>
      <c r="AF99" s="24">
        <f ca="1">OFFSET(FTRA!AI$131,$E99,0)</f>
        <v>121.71581951379476</v>
      </c>
      <c r="AG99" s="24">
        <f ca="1">OFFSET(FTRA!AJ$131,$E99,0)</f>
        <v>125.05232028791778</v>
      </c>
      <c r="AH99" s="24">
        <f ca="1">OFFSET(FTRA!AK$131,$E99,0)</f>
        <v>128.38882106204079</v>
      </c>
      <c r="AI99" s="24">
        <f ca="1">OFFSET(FTRA!AL$131,$E99,0)</f>
        <v>131.72532183616377</v>
      </c>
      <c r="AJ99" s="24">
        <f ca="1">OFFSET(FTRA!AM$131,$E99,0)</f>
        <v>161.45807919856674</v>
      </c>
      <c r="AK99" s="24">
        <f ca="1">OFFSET(FTRA!AN$131,$E99,0)</f>
        <v>191.19083656096981</v>
      </c>
      <c r="AL99" s="24">
        <f ca="1">OFFSET(FTRA!AO$131,$E99,0)</f>
        <v>191.19083656096981</v>
      </c>
      <c r="AM99" s="24">
        <f ca="1">OFFSET(FTRA!AP$131,$E99,0)</f>
        <v>191.19083656096981</v>
      </c>
    </row>
    <row r="100" spans="1:39">
      <c r="A100" s="36" t="s">
        <v>128</v>
      </c>
      <c r="B100">
        <v>73.203613436309993</v>
      </c>
      <c r="E100" s="140">
        <f>MATCH(F100,PTRA!$D$214:$D$221,0)</f>
        <v>1</v>
      </c>
      <c r="F100" s="4" t="str">
        <f t="shared" si="1"/>
        <v>TPPRCAR</v>
      </c>
      <c r="G100" s="24">
        <f ca="1">OFFSET(PTRA!J$213,$E100,0)</f>
        <v>79.483105557424096</v>
      </c>
      <c r="H100" s="24">
        <f ca="1">OFFSET(PTRA!K$213,$E100,0)</f>
        <v>83.905507154383585</v>
      </c>
      <c r="I100" s="24">
        <f ca="1">OFFSET(PTRA!L$213,$E100,0)</f>
        <v>88.327908751343074</v>
      </c>
      <c r="J100" s="24">
        <f ca="1">OFFSET(PTRA!M$213,$E100,0)</f>
        <v>92.750310348302548</v>
      </c>
      <c r="K100" s="24">
        <f ca="1">OFFSET(PTRA!N$213,$E100,0)</f>
        <v>96.653368650431077</v>
      </c>
      <c r="L100" s="24">
        <f ca="1">OFFSET(PTRA!O$213,$E100,0)</f>
        <v>100.5564269525596</v>
      </c>
      <c r="M100" s="24">
        <f ca="1">OFFSET(PTRA!P$213,$E100,0)</f>
        <v>103.31715188474146</v>
      </c>
      <c r="N100" s="24">
        <f ca="1">OFFSET(PTRA!Q$213,$E100,0)</f>
        <v>106.07787681692332</v>
      </c>
      <c r="O100" s="24">
        <f ca="1">OFFSET(PTRA!R$213,$E100,0)</f>
        <v>108.83860174910519</v>
      </c>
      <c r="P100" s="24">
        <f ca="1">OFFSET(PTRA!S$213,$E100,0)</f>
        <v>113.54308234419325</v>
      </c>
      <c r="Q100" s="24">
        <f ca="1">OFFSET(PTRA!T$213,$E100,0)</f>
        <v>118.24756293928131</v>
      </c>
      <c r="R100" s="24">
        <f ca="1">OFFSET(PTRA!U$213,$E100,0)</f>
        <v>122.95204353436937</v>
      </c>
      <c r="S100" s="24">
        <f ca="1">OFFSET(PTRA!V$213,$E100,0)</f>
        <v>127.65652412945742</v>
      </c>
      <c r="T100" s="24">
        <f ca="1">OFFSET(PTRA!W$213,$E100,0)</f>
        <v>132.3610047245455</v>
      </c>
      <c r="U100" s="24">
        <f ca="1">OFFSET(PTRA!X$213,$E100,0)</f>
        <v>137.06548531963355</v>
      </c>
      <c r="V100" s="24">
        <f ca="1">OFFSET(PTRA!Y$213,$E100,0)</f>
        <v>141.76996591472161</v>
      </c>
      <c r="W100" s="24">
        <f ca="1">OFFSET(PTRA!Z$213,$E100,0)</f>
        <v>146.47444650980967</v>
      </c>
      <c r="X100" s="24">
        <f ca="1">OFFSET(PTRA!AA$213,$E100,0)</f>
        <v>151.17892710489772</v>
      </c>
      <c r="Y100" s="24">
        <f ca="1">OFFSET(PTRA!AB$213,$E100,0)</f>
        <v>155.88340769998581</v>
      </c>
      <c r="Z100" s="24">
        <f ca="1">OFFSET(PTRA!AC$213,$E100,0)</f>
        <v>160.70986411396171</v>
      </c>
      <c r="AA100" s="24">
        <f ca="1">OFFSET(PTRA!AD$213,$E100,0)</f>
        <v>165.53632052793762</v>
      </c>
      <c r="AB100" s="24">
        <f ca="1">OFFSET(PTRA!AE$213,$E100,0)</f>
        <v>170.36277694191352</v>
      </c>
      <c r="AC100" s="24">
        <f ca="1">OFFSET(PTRA!AF$213,$E100,0)</f>
        <v>175.18923335588943</v>
      </c>
      <c r="AD100" s="24">
        <f ca="1">OFFSET(PTRA!AG$213,$E100,0)</f>
        <v>180.01568976986533</v>
      </c>
      <c r="AE100" s="24">
        <f ca="1">OFFSET(PTRA!AH$213,$E100,0)</f>
        <v>184.84214618384124</v>
      </c>
      <c r="AF100" s="24">
        <f ca="1">OFFSET(PTRA!AI$213,$E100,0)</f>
        <v>189.66860259781714</v>
      </c>
      <c r="AG100" s="24">
        <f ca="1">OFFSET(PTRA!AJ$213,$E100,0)</f>
        <v>194.49505901179305</v>
      </c>
      <c r="AH100" s="24">
        <f ca="1">OFFSET(PTRA!AK$213,$E100,0)</f>
        <v>199.32151542576895</v>
      </c>
      <c r="AI100" s="24">
        <f ca="1">OFFSET(PTRA!AL$213,$E100,0)</f>
        <v>204.14797183974494</v>
      </c>
      <c r="AJ100" s="24">
        <f ca="1">OFFSET(PTRA!AM$213,$E100,0)</f>
        <v>221.12286579157978</v>
      </c>
      <c r="AK100" s="24">
        <f ca="1">OFFSET(PTRA!AN$213,$E100,0)</f>
        <v>238.09775974341463</v>
      </c>
      <c r="AL100" s="24">
        <f ca="1">OFFSET(PTRA!AO$213,$E100,0)</f>
        <v>238.09775974341463</v>
      </c>
      <c r="AM100" s="24">
        <f ca="1">OFFSET(PTRA!AP$213,$E100,0)</f>
        <v>238.09775974341463</v>
      </c>
    </row>
    <row r="101" spans="1:39">
      <c r="A101" s="36" t="s">
        <v>183</v>
      </c>
      <c r="B101">
        <v>2.2210937076119999</v>
      </c>
      <c r="E101" s="141">
        <f>MATCH(F101,PTRA!$D$214:$D$221,0)</f>
        <v>3</v>
      </c>
      <c r="F101" s="4" t="str">
        <f t="shared" si="1"/>
        <v>TPPRMOT</v>
      </c>
      <c r="G101" s="24">
        <f ca="1">OFFSET(PTRA!J$213,$E101,0)</f>
        <v>3.1110391443224037</v>
      </c>
      <c r="H101" s="24">
        <f ca="1">OFFSET(PTRA!K$213,$E101,0)</f>
        <v>2.9659458194027142</v>
      </c>
      <c r="I101" s="24">
        <f ca="1">OFFSET(PTRA!L$213,$E101,0)</f>
        <v>2.8208524944830247</v>
      </c>
      <c r="J101" s="24">
        <f ca="1">OFFSET(PTRA!M$213,$E101,0)</f>
        <v>2.6757591695633347</v>
      </c>
      <c r="K101" s="24">
        <f ca="1">OFFSET(PTRA!N$213,$E101,0)</f>
        <v>2.7883587285517843</v>
      </c>
      <c r="L101" s="24">
        <f ca="1">OFFSET(PTRA!O$213,$E101,0)</f>
        <v>2.900958287540234</v>
      </c>
      <c r="M101" s="24">
        <f ca="1">OFFSET(PTRA!P$213,$E101,0)</f>
        <v>2.9705303035897295</v>
      </c>
      <c r="N101" s="24">
        <f ca="1">OFFSET(PTRA!Q$213,$E101,0)</f>
        <v>3.0401023196392249</v>
      </c>
      <c r="O101" s="24">
        <f ca="1">OFFSET(PTRA!R$213,$E101,0)</f>
        <v>3.10967433568872</v>
      </c>
      <c r="P101" s="24">
        <f ca="1">OFFSET(PTRA!S$213,$E101,0)</f>
        <v>3.2756295273847678</v>
      </c>
      <c r="Q101" s="24">
        <f ca="1">OFFSET(PTRA!T$213,$E101,0)</f>
        <v>3.4415847190808155</v>
      </c>
      <c r="R101" s="24">
        <f ca="1">OFFSET(PTRA!U$213,$E101,0)</f>
        <v>3.6075399107768633</v>
      </c>
      <c r="S101" s="24">
        <f ca="1">OFFSET(PTRA!V$213,$E101,0)</f>
        <v>3.7734951024729111</v>
      </c>
      <c r="T101" s="24">
        <f ca="1">OFFSET(PTRA!W$213,$E101,0)</f>
        <v>3.9394502941689589</v>
      </c>
      <c r="U101" s="24">
        <f ca="1">OFFSET(PTRA!X$213,$E101,0)</f>
        <v>4.1054054858650071</v>
      </c>
      <c r="V101" s="24">
        <f ca="1">OFFSET(PTRA!Y$213,$E101,0)</f>
        <v>4.2713606775610549</v>
      </c>
      <c r="W101" s="24">
        <f ca="1">OFFSET(PTRA!Z$213,$E101,0)</f>
        <v>4.4373158692571026</v>
      </c>
      <c r="X101" s="24">
        <f ca="1">OFFSET(PTRA!AA$213,$E101,0)</f>
        <v>4.6032710609531504</v>
      </c>
      <c r="Y101" s="24">
        <f ca="1">OFFSET(PTRA!AB$213,$E101,0)</f>
        <v>4.7692262526491982</v>
      </c>
      <c r="Z101" s="24">
        <f ca="1">OFFSET(PTRA!AC$213,$E101,0)</f>
        <v>4.9649360348227871</v>
      </c>
      <c r="AA101" s="24">
        <f ca="1">OFFSET(PTRA!AD$213,$E101,0)</f>
        <v>5.160645816996376</v>
      </c>
      <c r="AB101" s="24">
        <f ca="1">OFFSET(PTRA!AE$213,$E101,0)</f>
        <v>5.356355599169965</v>
      </c>
      <c r="AC101" s="24">
        <f ca="1">OFFSET(PTRA!AF$213,$E101,0)</f>
        <v>5.5520653813435539</v>
      </c>
      <c r="AD101" s="24">
        <f ca="1">OFFSET(PTRA!AG$213,$E101,0)</f>
        <v>5.7477751635171428</v>
      </c>
      <c r="AE101" s="24">
        <f ca="1">OFFSET(PTRA!AH$213,$E101,0)</f>
        <v>5.9434849456907317</v>
      </c>
      <c r="AF101" s="24">
        <f ca="1">OFFSET(PTRA!AI$213,$E101,0)</f>
        <v>6.1391947278643206</v>
      </c>
      <c r="AG101" s="24">
        <f ca="1">OFFSET(PTRA!AJ$213,$E101,0)</f>
        <v>6.3349045100379096</v>
      </c>
      <c r="AH101" s="24">
        <f ca="1">OFFSET(PTRA!AK$213,$E101,0)</f>
        <v>6.5306142922114985</v>
      </c>
      <c r="AI101" s="24">
        <f ca="1">OFFSET(PTRA!AL$213,$E101,0)</f>
        <v>6.7263240743850883</v>
      </c>
      <c r="AJ101" s="24">
        <f ca="1">OFFSET(PTRA!AM$213,$E101,0)</f>
        <v>7.6124888912277298</v>
      </c>
      <c r="AK101" s="24">
        <f ca="1">OFFSET(PTRA!AN$213,$E101,0)</f>
        <v>8.4986537080703712</v>
      </c>
      <c r="AL101" s="24">
        <f ca="1">OFFSET(PTRA!AO$213,$E101,0)</f>
        <v>8.4986537080703712</v>
      </c>
      <c r="AM101" s="24">
        <f ca="1">OFFSET(PTRA!AP$213,$E101,0)</f>
        <v>8.4986537080703712</v>
      </c>
    </row>
    <row r="102" spans="1:39">
      <c r="A102" s="36" t="s">
        <v>127</v>
      </c>
      <c r="B102">
        <v>9.7306216335790001</v>
      </c>
      <c r="E102" s="141">
        <f>MATCH(F102,PTRA!$D$214:$D$221,0)</f>
        <v>2</v>
      </c>
      <c r="F102" s="4" t="str">
        <f t="shared" si="1"/>
        <v>TPPRSUV</v>
      </c>
      <c r="G102" s="24">
        <f ca="1">OFFSET(PTRA!J$213,$E102,0)</f>
        <v>9.1263671637063464</v>
      </c>
      <c r="H102" s="24">
        <f ca="1">OFFSET(PTRA!K$213,$E102,0)</f>
        <v>9.6341538239803892</v>
      </c>
      <c r="I102" s="24">
        <f ca="1">OFFSET(PTRA!L$213,$E102,0)</f>
        <v>10.141940484254432</v>
      </c>
      <c r="J102" s="24">
        <f ca="1">OFFSET(PTRA!M$213,$E102,0)</f>
        <v>10.649727144528473</v>
      </c>
      <c r="K102" s="24">
        <f ca="1">OFFSET(PTRA!N$213,$E102,0)</f>
        <v>11.097882043318158</v>
      </c>
      <c r="L102" s="24">
        <f ca="1">OFFSET(PTRA!O$213,$E102,0)</f>
        <v>11.546036942107843</v>
      </c>
      <c r="M102" s="24">
        <f ca="1">OFFSET(PTRA!P$213,$E102,0)</f>
        <v>11.843590408990188</v>
      </c>
      <c r="N102" s="24">
        <f ca="1">OFFSET(PTRA!Q$213,$E102,0)</f>
        <v>12.141143875872533</v>
      </c>
      <c r="O102" s="24">
        <f ca="1">OFFSET(PTRA!R$213,$E102,0)</f>
        <v>12.43869734275488</v>
      </c>
      <c r="P102" s="24">
        <f ca="1">OFFSET(PTRA!S$213,$E102,0)</f>
        <v>12.966470398123887</v>
      </c>
      <c r="Q102" s="24">
        <f ca="1">OFFSET(PTRA!T$213,$E102,0)</f>
        <v>13.494243453492894</v>
      </c>
      <c r="R102" s="24">
        <f ca="1">OFFSET(PTRA!U$213,$E102,0)</f>
        <v>14.022016508861901</v>
      </c>
      <c r="S102" s="24">
        <f ca="1">OFFSET(PTRA!V$213,$E102,0)</f>
        <v>14.549789564230908</v>
      </c>
      <c r="T102" s="24">
        <f ca="1">OFFSET(PTRA!W$213,$E102,0)</f>
        <v>15.077562619599915</v>
      </c>
      <c r="U102" s="24">
        <f ca="1">OFFSET(PTRA!X$213,$E102,0)</f>
        <v>15.605335674968922</v>
      </c>
      <c r="V102" s="24">
        <f ca="1">OFFSET(PTRA!Y$213,$E102,0)</f>
        <v>16.133108730337931</v>
      </c>
      <c r="W102" s="24">
        <f ca="1">OFFSET(PTRA!Z$213,$E102,0)</f>
        <v>16.660881785706938</v>
      </c>
      <c r="X102" s="24">
        <f ca="1">OFFSET(PTRA!AA$213,$E102,0)</f>
        <v>17.188654841075945</v>
      </c>
      <c r="Y102" s="24">
        <f ca="1">OFFSET(PTRA!AB$213,$E102,0)</f>
        <v>17.716427896444952</v>
      </c>
      <c r="Z102" s="24">
        <f ca="1">OFFSET(PTRA!AC$213,$E102,0)</f>
        <v>18.264963294247565</v>
      </c>
      <c r="AA102" s="24">
        <f ca="1">OFFSET(PTRA!AD$213,$E102,0)</f>
        <v>18.813498692050178</v>
      </c>
      <c r="AB102" s="24">
        <f ca="1">OFFSET(PTRA!AE$213,$E102,0)</f>
        <v>19.362034089852791</v>
      </c>
      <c r="AC102" s="24">
        <f ca="1">OFFSET(PTRA!AF$213,$E102,0)</f>
        <v>19.910569487655405</v>
      </c>
      <c r="AD102" s="24">
        <f ca="1">OFFSET(PTRA!AG$213,$E102,0)</f>
        <v>20.459104885458018</v>
      </c>
      <c r="AE102" s="24">
        <f ca="1">OFFSET(PTRA!AH$213,$E102,0)</f>
        <v>21.007640283260631</v>
      </c>
      <c r="AF102" s="24">
        <f ca="1">OFFSET(PTRA!AI$213,$E102,0)</f>
        <v>21.556175681063245</v>
      </c>
      <c r="AG102" s="24">
        <f ca="1">OFFSET(PTRA!AJ$213,$E102,0)</f>
        <v>22.104711078865858</v>
      </c>
      <c r="AH102" s="24">
        <f ca="1">OFFSET(PTRA!AK$213,$E102,0)</f>
        <v>22.653246476668471</v>
      </c>
      <c r="AI102" s="24">
        <f ca="1">OFFSET(PTRA!AL$213,$E102,0)</f>
        <v>23.20178187447107</v>
      </c>
      <c r="AJ102" s="24">
        <f ca="1">OFFSET(PTRA!AM$213,$E102,0)</f>
        <v>25.131008911426008</v>
      </c>
      <c r="AK102" s="24">
        <f ca="1">OFFSET(PTRA!AN$213,$E102,0)</f>
        <v>27.060235948380942</v>
      </c>
      <c r="AL102" s="24">
        <f ca="1">OFFSET(PTRA!AO$213,$E102,0)</f>
        <v>27.060235948380942</v>
      </c>
      <c r="AM102" s="24">
        <f ca="1">OFFSET(PTRA!AP$213,$E102,0)</f>
        <v>27.060235948380942</v>
      </c>
    </row>
    <row r="103" spans="1:39">
      <c r="A103" s="36" t="s">
        <v>131</v>
      </c>
      <c r="B103" t="s">
        <v>386</v>
      </c>
      <c r="E103" s="141">
        <f>MATCH(F103,PTRA!$D$214:$D$221,0)</f>
        <v>6</v>
      </c>
      <c r="F103" s="4" t="str">
        <f t="shared" si="1"/>
        <v>TPPUBRT</v>
      </c>
      <c r="G103" s="24">
        <f ca="1">OFFSET(PTRA!J$213,$E103,0)</f>
        <v>0</v>
      </c>
      <c r="H103" s="24">
        <f ca="1">OFFSET(PTRA!K$213,$E103,0)</f>
        <v>2.1691164236032099E-2</v>
      </c>
      <c r="I103" s="24">
        <f ca="1">OFFSET(PTRA!L$213,$E103,0)</f>
        <v>2.232369776021513E-2</v>
      </c>
      <c r="J103" s="24">
        <f ca="1">OFFSET(PTRA!M$213,$E103,0)</f>
        <v>2.2956231284398162E-2</v>
      </c>
      <c r="K103" s="24">
        <f ca="1">OFFSET(PTRA!N$213,$E103,0)</f>
        <v>2.357952894532548E-2</v>
      </c>
      <c r="L103" s="24">
        <f ca="1">OFFSET(PTRA!O$213,$E103,0)</f>
        <v>2.4202826606252802E-2</v>
      </c>
      <c r="M103" s="24">
        <f ca="1">OFFSET(PTRA!P$213,$E103,0)</f>
        <v>9.187834573650186E-2</v>
      </c>
      <c r="N103" s="24">
        <f ca="1">OFFSET(PTRA!Q$213,$E103,0)</f>
        <v>0.15955386486675094</v>
      </c>
      <c r="O103" s="24">
        <f ca="1">OFFSET(PTRA!R$213,$E103,0)</f>
        <v>0.22722938399699999</v>
      </c>
      <c r="P103" s="24">
        <f ca="1">OFFSET(PTRA!S$213,$E103,0)</f>
        <v>0.26515158384263665</v>
      </c>
      <c r="Q103" s="24">
        <f ca="1">OFFSET(PTRA!T$213,$E103,0)</f>
        <v>0.30307378368827331</v>
      </c>
      <c r="R103" s="24">
        <f ca="1">OFFSET(PTRA!U$213,$E103,0)</f>
        <v>0.34099598353390997</v>
      </c>
      <c r="S103" s="24">
        <f ca="1">OFFSET(PTRA!V$213,$E103,0)</f>
        <v>0.37891818337954664</v>
      </c>
      <c r="T103" s="24">
        <f ca="1">OFFSET(PTRA!W$213,$E103,0)</f>
        <v>0.4168403832251833</v>
      </c>
      <c r="U103" s="24">
        <f ca="1">OFFSET(PTRA!X$213,$E103,0)</f>
        <v>0.45476258307081996</v>
      </c>
      <c r="V103" s="24">
        <f ca="1">OFFSET(PTRA!Y$213,$E103,0)</f>
        <v>0.49268478291645662</v>
      </c>
      <c r="W103" s="24">
        <f ca="1">OFFSET(PTRA!Z$213,$E103,0)</f>
        <v>0.53060698276209328</v>
      </c>
      <c r="X103" s="24">
        <f ca="1">OFFSET(PTRA!AA$213,$E103,0)</f>
        <v>0.56852918260772989</v>
      </c>
      <c r="Y103" s="24">
        <f ca="1">OFFSET(PTRA!AB$213,$E103,0)</f>
        <v>0.60645138245336661</v>
      </c>
      <c r="Z103" s="24">
        <f ca="1">OFFSET(PTRA!AC$213,$E103,0)</f>
        <v>0.66142613070209189</v>
      </c>
      <c r="AA103" s="24">
        <f ca="1">OFFSET(PTRA!AD$213,$E103,0)</f>
        <v>0.71640087895081717</v>
      </c>
      <c r="AB103" s="24">
        <f ca="1">OFFSET(PTRA!AE$213,$E103,0)</f>
        <v>0.77137562719954245</v>
      </c>
      <c r="AC103" s="24">
        <f ca="1">OFFSET(PTRA!AF$213,$E103,0)</f>
        <v>0.82635037544826773</v>
      </c>
      <c r="AD103" s="24">
        <f ca="1">OFFSET(PTRA!AG$213,$E103,0)</f>
        <v>0.88132512369699301</v>
      </c>
      <c r="AE103" s="24">
        <f ca="1">OFFSET(PTRA!AH$213,$E103,0)</f>
        <v>0.93629987194571829</v>
      </c>
      <c r="AF103" s="24">
        <f ca="1">OFFSET(PTRA!AI$213,$E103,0)</f>
        <v>0.99127462019444357</v>
      </c>
      <c r="AG103" s="24">
        <f ca="1">OFFSET(PTRA!AJ$213,$E103,0)</f>
        <v>1.0462493684431688</v>
      </c>
      <c r="AH103" s="24">
        <f ca="1">OFFSET(PTRA!AK$213,$E103,0)</f>
        <v>1.1012241166918941</v>
      </c>
      <c r="AI103" s="24">
        <f ca="1">OFFSET(PTRA!AL$213,$E103,0)</f>
        <v>1.156198864940619</v>
      </c>
      <c r="AJ103" s="24">
        <f ca="1">OFFSET(PTRA!AM$213,$E103,0)</f>
        <v>1.4492665836006249</v>
      </c>
      <c r="AK103" s="24">
        <f ca="1">OFFSET(PTRA!AN$213,$E103,0)</f>
        <v>1.7423343022606306</v>
      </c>
      <c r="AL103" s="24">
        <f ca="1">OFFSET(PTRA!AO$213,$E103,0)</f>
        <v>1.7423343022606306</v>
      </c>
      <c r="AM103" s="24">
        <f ca="1">OFFSET(PTRA!AP$213,$E103,0)</f>
        <v>1.7423343022606306</v>
      </c>
    </row>
    <row r="104" spans="1:39">
      <c r="A104" s="36" t="s">
        <v>129</v>
      </c>
      <c r="B104">
        <v>0.62801975359410001</v>
      </c>
      <c r="E104" s="141">
        <f>MATCH(F104,PTRA!$D$214:$D$221,0)</f>
        <v>4</v>
      </c>
      <c r="F104" s="4" t="str">
        <f t="shared" si="1"/>
        <v>TPPUBUS</v>
      </c>
      <c r="G104" s="24">
        <f ca="1">OFFSET(PTRA!J$213,$E104,0)</f>
        <v>1.4990333520535337</v>
      </c>
      <c r="H104" s="24">
        <f ca="1">OFFSET(PTRA!K$213,$E104,0)</f>
        <v>0.6286609931450593</v>
      </c>
      <c r="I104" s="24">
        <f ca="1">OFFSET(PTRA!L$213,$E104,0)</f>
        <v>0.63933049657252961</v>
      </c>
      <c r="J104" s="24">
        <f ca="1">OFFSET(PTRA!M$213,$E104,0)</f>
        <v>0.65</v>
      </c>
      <c r="K104" s="24">
        <f ca="1">OFFSET(PTRA!N$213,$E104,0)</f>
        <v>0.66077214814486951</v>
      </c>
      <c r="L104" s="24">
        <f ca="1">OFFSET(PTRA!O$213,$E104,0)</f>
        <v>0.671544296289739</v>
      </c>
      <c r="M104" s="24">
        <f ca="1">OFFSET(PTRA!P$213,$E104,0)</f>
        <v>0.85845721693139565</v>
      </c>
      <c r="N104" s="24">
        <f ca="1">OFFSET(PTRA!Q$213,$E104,0)</f>
        <v>1.0453701375730524</v>
      </c>
      <c r="O104" s="24">
        <f ca="1">OFFSET(PTRA!R$213,$E104,0)</f>
        <v>1.2322830582147091</v>
      </c>
      <c r="P104" s="24">
        <f ca="1">OFFSET(PTRA!S$213,$E104,0)</f>
        <v>1.1934932172625183</v>
      </c>
      <c r="Q104" s="24">
        <f ca="1">OFFSET(PTRA!T$213,$E104,0)</f>
        <v>1.1547033763103276</v>
      </c>
      <c r="R104" s="24">
        <f ca="1">OFFSET(PTRA!U$213,$E104,0)</f>
        <v>1.1159135353581369</v>
      </c>
      <c r="S104" s="24">
        <f ca="1">OFFSET(PTRA!V$213,$E104,0)</f>
        <v>1.0771236944059461</v>
      </c>
      <c r="T104" s="24">
        <f ca="1">OFFSET(PTRA!W$213,$E104,0)</f>
        <v>1.0383338534537554</v>
      </c>
      <c r="U104" s="24">
        <f ca="1">OFFSET(PTRA!X$213,$E104,0)</f>
        <v>0.99954401250156455</v>
      </c>
      <c r="V104" s="24">
        <f ca="1">OFFSET(PTRA!Y$213,$E104,0)</f>
        <v>0.9607541715493737</v>
      </c>
      <c r="W104" s="24">
        <f ca="1">OFFSET(PTRA!Z$213,$E104,0)</f>
        <v>0.92196433059718286</v>
      </c>
      <c r="X104" s="24">
        <f ca="1">OFFSET(PTRA!AA$213,$E104,0)</f>
        <v>0.88317448964499201</v>
      </c>
      <c r="Y104" s="24">
        <f ca="1">OFFSET(PTRA!AB$213,$E104,0)</f>
        <v>0.84438464869280094</v>
      </c>
      <c r="Z104" s="24">
        <f ca="1">OFFSET(PTRA!AC$213,$E104,0)</f>
        <v>0.84878650936265032</v>
      </c>
      <c r="AA104" s="24">
        <f ca="1">OFFSET(PTRA!AD$213,$E104,0)</f>
        <v>0.8531883700324997</v>
      </c>
      <c r="AB104" s="24">
        <f ca="1">OFFSET(PTRA!AE$213,$E104,0)</f>
        <v>0.85759023070234908</v>
      </c>
      <c r="AC104" s="24">
        <f ca="1">OFFSET(PTRA!AF$213,$E104,0)</f>
        <v>0.86199209137219845</v>
      </c>
      <c r="AD104" s="24">
        <f ca="1">OFFSET(PTRA!AG$213,$E104,0)</f>
        <v>0.86639395204204783</v>
      </c>
      <c r="AE104" s="24">
        <f ca="1">OFFSET(PTRA!AH$213,$E104,0)</f>
        <v>0.87079581271189721</v>
      </c>
      <c r="AF104" s="24">
        <f ca="1">OFFSET(PTRA!AI$213,$E104,0)</f>
        <v>0.87519767338174659</v>
      </c>
      <c r="AG104" s="24">
        <f ca="1">OFFSET(PTRA!AJ$213,$E104,0)</f>
        <v>0.87959953405159597</v>
      </c>
      <c r="AH104" s="24">
        <f ca="1">OFFSET(PTRA!AK$213,$E104,0)</f>
        <v>0.88400139472144534</v>
      </c>
      <c r="AI104" s="24">
        <f ca="1">OFFSET(PTRA!AL$213,$E104,0)</f>
        <v>0.88840325539129461</v>
      </c>
      <c r="AJ104" s="24">
        <f ca="1">OFFSET(PTRA!AM$213,$E104,0)</f>
        <v>0.94039874093515441</v>
      </c>
      <c r="AK104" s="24">
        <f ca="1">OFFSET(PTRA!AN$213,$E104,0)</f>
        <v>0.99239422647901432</v>
      </c>
      <c r="AL104" s="24">
        <f ca="1">OFFSET(PTRA!AO$213,$E104,0)</f>
        <v>0.99239422647901432</v>
      </c>
      <c r="AM104" s="24">
        <f ca="1">OFFSET(PTRA!AP$213,$E104,0)</f>
        <v>0.99239422647901432</v>
      </c>
    </row>
    <row r="105" spans="1:39">
      <c r="A105" s="36" t="s">
        <v>133</v>
      </c>
      <c r="B105" t="s">
        <v>386</v>
      </c>
      <c r="E105" s="141">
        <f>MATCH(F105,PTRA!$D$214:$D$221,0)</f>
        <v>8</v>
      </c>
      <c r="F105" s="4" t="str">
        <f t="shared" si="1"/>
        <v>TPPUGAT</v>
      </c>
      <c r="G105" s="24">
        <f ca="1">OFFSET(PTRA!J$213,$E105,0)</f>
        <v>0</v>
      </c>
      <c r="H105" s="24">
        <f ca="1">OFFSET(PTRA!K$213,$E105,0)</f>
        <v>0.55134415393885639</v>
      </c>
      <c r="I105" s="24">
        <f ca="1">OFFSET(PTRA!L$213,$E105,0)</f>
        <v>0.58342611917976139</v>
      </c>
      <c r="J105" s="24">
        <f ca="1">OFFSET(PTRA!M$213,$E105,0)</f>
        <v>0.6155080844206664</v>
      </c>
      <c r="K105" s="24">
        <f ca="1">OFFSET(PTRA!N$213,$E105,0)</f>
        <v>0.64361620339743641</v>
      </c>
      <c r="L105" s="24">
        <f ca="1">OFFSET(PTRA!O$213,$E105,0)</f>
        <v>0.67172432237420632</v>
      </c>
      <c r="M105" s="24">
        <f ca="1">OFFSET(PTRA!P$213,$E105,0)</f>
        <v>0.68877277847748963</v>
      </c>
      <c r="N105" s="24">
        <f ca="1">OFFSET(PTRA!Q$213,$E105,0)</f>
        <v>0.70582123458077295</v>
      </c>
      <c r="O105" s="24">
        <f ca="1">OFFSET(PTRA!R$213,$E105,0)</f>
        <v>0.72286969068405627</v>
      </c>
      <c r="P105" s="24">
        <f ca="1">OFFSET(PTRA!S$213,$E105,0)</f>
        <v>0.76681963846418388</v>
      </c>
      <c r="Q105" s="24">
        <f ca="1">OFFSET(PTRA!T$213,$E105,0)</f>
        <v>0.8107695862443115</v>
      </c>
      <c r="R105" s="24">
        <f ca="1">OFFSET(PTRA!U$213,$E105,0)</f>
        <v>0.85471953402443912</v>
      </c>
      <c r="S105" s="24">
        <f ca="1">OFFSET(PTRA!V$213,$E105,0)</f>
        <v>0.89866948180456674</v>
      </c>
      <c r="T105" s="24">
        <f ca="1">OFFSET(PTRA!W$213,$E105,0)</f>
        <v>0.94261942958469436</v>
      </c>
      <c r="U105" s="24">
        <f ca="1">OFFSET(PTRA!X$213,$E105,0)</f>
        <v>0.98656937736482198</v>
      </c>
      <c r="V105" s="24">
        <f ca="1">OFFSET(PTRA!Y$213,$E105,0)</f>
        <v>1.0305193251449496</v>
      </c>
      <c r="W105" s="24">
        <f ca="1">OFFSET(PTRA!Z$213,$E105,0)</f>
        <v>1.0744692729250771</v>
      </c>
      <c r="X105" s="24">
        <f ca="1">OFFSET(PTRA!AA$213,$E105,0)</f>
        <v>1.1184192207052046</v>
      </c>
      <c r="Y105" s="24">
        <f ca="1">OFFSET(PTRA!AB$213,$E105,0)</f>
        <v>1.1623691684853323</v>
      </c>
      <c r="Z105" s="24">
        <f ca="1">OFFSET(PTRA!AC$213,$E105,0)</f>
        <v>1.2144163304365445</v>
      </c>
      <c r="AA105" s="24">
        <f ca="1">OFFSET(PTRA!AD$213,$E105,0)</f>
        <v>1.2664634923877567</v>
      </c>
      <c r="AB105" s="24">
        <f ca="1">OFFSET(PTRA!AE$213,$E105,0)</f>
        <v>1.3185106543389689</v>
      </c>
      <c r="AC105" s="24">
        <f ca="1">OFFSET(PTRA!AF$213,$E105,0)</f>
        <v>1.370557816290181</v>
      </c>
      <c r="AD105" s="24">
        <f ca="1">OFFSET(PTRA!AG$213,$E105,0)</f>
        <v>1.4226049782413932</v>
      </c>
      <c r="AE105" s="24">
        <f ca="1">OFFSET(PTRA!AH$213,$E105,0)</f>
        <v>1.4746521401926054</v>
      </c>
      <c r="AF105" s="24">
        <f ca="1">OFFSET(PTRA!AI$213,$E105,0)</f>
        <v>1.5266993021438175</v>
      </c>
      <c r="AG105" s="24">
        <f ca="1">OFFSET(PTRA!AJ$213,$E105,0)</f>
        <v>1.5787464640950297</v>
      </c>
      <c r="AH105" s="24">
        <f ca="1">OFFSET(PTRA!AK$213,$E105,0)</f>
        <v>1.6307936260462419</v>
      </c>
      <c r="AI105" s="24">
        <f ca="1">OFFSET(PTRA!AL$213,$E105,0)</f>
        <v>1.6828407879974545</v>
      </c>
      <c r="AJ105" s="24">
        <f ca="1">OFFSET(PTRA!AM$213,$E105,0)</f>
        <v>1.9443254514485029</v>
      </c>
      <c r="AK105" s="24">
        <f ca="1">OFFSET(PTRA!AN$213,$E105,0)</f>
        <v>2.2058101148995513</v>
      </c>
      <c r="AL105" s="24">
        <f ca="1">OFFSET(PTRA!AO$213,$E105,0)</f>
        <v>2.2058101148995513</v>
      </c>
      <c r="AM105" s="24">
        <f ca="1">OFFSET(PTRA!AP$213,$E105,0)</f>
        <v>2.2058101148995513</v>
      </c>
    </row>
    <row r="106" spans="1:39">
      <c r="A106" s="36" t="s">
        <v>130</v>
      </c>
      <c r="B106">
        <v>8.3842691666009994</v>
      </c>
      <c r="E106" s="141">
        <f>MATCH(F106,PTRA!$D$214:$D$221,0)</f>
        <v>5</v>
      </c>
      <c r="F106" s="4" t="str">
        <f t="shared" si="1"/>
        <v>TPPUMBT</v>
      </c>
      <c r="G106" s="24">
        <f ca="1">OFFSET(PTRA!J$213,$E106,0)</f>
        <v>6.4978638621089795</v>
      </c>
      <c r="H106" s="24">
        <f ca="1">OFFSET(PTRA!K$213,$E106,0)</f>
        <v>6.2704712069196402</v>
      </c>
      <c r="I106" s="24">
        <f ca="1">OFFSET(PTRA!L$213,$E106,0)</f>
        <v>6.5852356034598207</v>
      </c>
      <c r="J106" s="24">
        <f ca="1">OFFSET(PTRA!M$213,$E106,0)</f>
        <v>6.9</v>
      </c>
      <c r="K106" s="24">
        <f ca="1">OFFSET(PTRA!N$213,$E106,0)</f>
        <v>7.0212765000000008</v>
      </c>
      <c r="L106" s="24">
        <f ca="1">OFFSET(PTRA!O$213,$E106,0)</f>
        <v>7.1425530000000004</v>
      </c>
      <c r="M106" s="24">
        <f ca="1">OFFSET(PTRA!P$213,$E106,0)</f>
        <v>7.0745031764759618</v>
      </c>
      <c r="N106" s="24">
        <f ca="1">OFFSET(PTRA!Q$213,$E106,0)</f>
        <v>7.0064533529519233</v>
      </c>
      <c r="O106" s="24">
        <f ca="1">OFFSET(PTRA!R$213,$E106,0)</f>
        <v>6.9384035294278847</v>
      </c>
      <c r="P106" s="24">
        <f ca="1">OFFSET(PTRA!S$213,$E106,0)</f>
        <v>7.0422866078635504</v>
      </c>
      <c r="Q106" s="24">
        <f ca="1">OFFSET(PTRA!T$213,$E106,0)</f>
        <v>7.1461696862992161</v>
      </c>
      <c r="R106" s="24">
        <f ca="1">OFFSET(PTRA!U$213,$E106,0)</f>
        <v>7.2500527647348818</v>
      </c>
      <c r="S106" s="24">
        <f ca="1">OFFSET(PTRA!V$213,$E106,0)</f>
        <v>7.3539358431705475</v>
      </c>
      <c r="T106" s="24">
        <f ca="1">OFFSET(PTRA!W$213,$E106,0)</f>
        <v>7.4578189216062132</v>
      </c>
      <c r="U106" s="24">
        <f ca="1">OFFSET(PTRA!X$213,$E106,0)</f>
        <v>7.5617020000418789</v>
      </c>
      <c r="V106" s="24">
        <f ca="1">OFFSET(PTRA!Y$213,$E106,0)</f>
        <v>7.6655850784775446</v>
      </c>
      <c r="W106" s="24">
        <f ca="1">OFFSET(PTRA!Z$213,$E106,0)</f>
        <v>7.7694681569132102</v>
      </c>
      <c r="X106" s="24">
        <f ca="1">OFFSET(PTRA!AA$213,$E106,0)</f>
        <v>7.8733512353488759</v>
      </c>
      <c r="Y106" s="24">
        <f ca="1">OFFSET(PTRA!AB$213,$E106,0)</f>
        <v>7.9772343137845452</v>
      </c>
      <c r="Z106" s="24">
        <f ca="1">OFFSET(PTRA!AC$213,$E106,0)</f>
        <v>8.0188204250839181</v>
      </c>
      <c r="AA106" s="24">
        <f ca="1">OFFSET(PTRA!AD$213,$E106,0)</f>
        <v>8.060406536383292</v>
      </c>
      <c r="AB106" s="24">
        <f ca="1">OFFSET(PTRA!AE$213,$E106,0)</f>
        <v>8.1019926476826658</v>
      </c>
      <c r="AC106" s="24">
        <f ca="1">OFFSET(PTRA!AF$213,$E106,0)</f>
        <v>8.1435787589820396</v>
      </c>
      <c r="AD106" s="24">
        <f ca="1">OFFSET(PTRA!AG$213,$E106,0)</f>
        <v>8.1851648702814135</v>
      </c>
      <c r="AE106" s="24">
        <f ca="1">OFFSET(PTRA!AH$213,$E106,0)</f>
        <v>8.2267509815807873</v>
      </c>
      <c r="AF106" s="24">
        <f ca="1">OFFSET(PTRA!AI$213,$E106,0)</f>
        <v>8.2683370928801612</v>
      </c>
      <c r="AG106" s="24">
        <f ca="1">OFFSET(PTRA!AJ$213,$E106,0)</f>
        <v>8.309923204179535</v>
      </c>
      <c r="AH106" s="24">
        <f ca="1">OFFSET(PTRA!AK$213,$E106,0)</f>
        <v>8.3515093154789088</v>
      </c>
      <c r="AI106" s="24">
        <f ca="1">OFFSET(PTRA!AL$213,$E106,0)</f>
        <v>8.3930954267782774</v>
      </c>
      <c r="AJ106" s="24">
        <f ca="1">OFFSET(PTRA!AM$213,$E106,0)</f>
        <v>8.8843172556977059</v>
      </c>
      <c r="AK106" s="24">
        <f ca="1">OFFSET(PTRA!AN$213,$E106,0)</f>
        <v>9.3755390846171345</v>
      </c>
      <c r="AL106" s="24">
        <f ca="1">OFFSET(PTRA!AO$213,$E106,0)</f>
        <v>9.3755390846171345</v>
      </c>
      <c r="AM106" s="24">
        <f ca="1">OFFSET(PTRA!AP$213,$E106,0)</f>
        <v>9.3755390846171345</v>
      </c>
    </row>
    <row r="107" spans="1:39">
      <c r="A107" s="36" t="s">
        <v>132</v>
      </c>
      <c r="B107">
        <v>13.9</v>
      </c>
      <c r="E107" s="142">
        <f>MATCH(F107,PTRA!$D$214:$D$221,0)</f>
        <v>7</v>
      </c>
      <c r="F107" s="4" t="str">
        <f t="shared" si="1"/>
        <v>TPPUMER</v>
      </c>
      <c r="G107" s="24">
        <f ca="1">OFFSET(PTRA!J$213,$E107,0)</f>
        <v>15.8</v>
      </c>
      <c r="H107" s="24">
        <f ca="1">OFFSET(PTRA!K$213,$E107,0)</f>
        <v>13.645324247300293</v>
      </c>
      <c r="I107" s="24">
        <f ca="1">OFFSET(PTRA!L$213,$E107,0)</f>
        <v>12.808940413161372</v>
      </c>
      <c r="J107" s="24">
        <f ca="1">OFFSET(PTRA!M$213,$E107,0)</f>
        <v>11.972556579022449</v>
      </c>
      <c r="K107" s="24">
        <f ca="1">OFFSET(PTRA!N$213,$E107,0)</f>
        <v>10.722295372559355</v>
      </c>
      <c r="L107" s="24">
        <f ca="1">OFFSET(PTRA!O$213,$E107,0)</f>
        <v>9.4720341660962628</v>
      </c>
      <c r="M107" s="24">
        <f ca="1">OFFSET(PTRA!P$213,$E107,0)</f>
        <v>9.4755151099602379</v>
      </c>
      <c r="N107" s="24">
        <f ca="1">OFFSET(PTRA!Q$213,$E107,0)</f>
        <v>9.4789960538242131</v>
      </c>
      <c r="O107" s="24">
        <f ca="1">OFFSET(PTRA!R$213,$E107,0)</f>
        <v>9.4824769976881882</v>
      </c>
      <c r="P107" s="24">
        <f ca="1">OFFSET(PTRA!S$213,$E107,0)</f>
        <v>9.518393837780911</v>
      </c>
      <c r="Q107" s="24">
        <f ca="1">OFFSET(PTRA!T$213,$E107,0)</f>
        <v>9.5543106778736338</v>
      </c>
      <c r="R107" s="24">
        <f ca="1">OFFSET(PTRA!U$213,$E107,0)</f>
        <v>9.5902275179663565</v>
      </c>
      <c r="S107" s="24">
        <f ca="1">OFFSET(PTRA!V$213,$E107,0)</f>
        <v>9.6261443580590793</v>
      </c>
      <c r="T107" s="24">
        <f ca="1">OFFSET(PTRA!W$213,$E107,0)</f>
        <v>9.6620611981518021</v>
      </c>
      <c r="U107" s="24">
        <f ca="1">OFFSET(PTRA!X$213,$E107,0)</f>
        <v>9.6979780382445249</v>
      </c>
      <c r="V107" s="24">
        <f ca="1">OFFSET(PTRA!Y$213,$E107,0)</f>
        <v>9.7338948783372476</v>
      </c>
      <c r="W107" s="24">
        <f ca="1">OFFSET(PTRA!Z$213,$E107,0)</f>
        <v>9.7698117184299704</v>
      </c>
      <c r="X107" s="24">
        <f ca="1">OFFSET(PTRA!AA$213,$E107,0)</f>
        <v>9.8057285585226932</v>
      </c>
      <c r="Y107" s="24">
        <f ca="1">OFFSET(PTRA!AB$213,$E107,0)</f>
        <v>9.8416453986154089</v>
      </c>
      <c r="Z107" s="24">
        <f ca="1">OFFSET(PTRA!AC$213,$E107,0)</f>
        <v>9.8929508692606127</v>
      </c>
      <c r="AA107" s="24">
        <f ca="1">OFFSET(PTRA!AD$213,$E107,0)</f>
        <v>9.9442563399058166</v>
      </c>
      <c r="AB107" s="24">
        <f ca="1">OFFSET(PTRA!AE$213,$E107,0)</f>
        <v>9.9955618105510204</v>
      </c>
      <c r="AC107" s="24">
        <f ca="1">OFFSET(PTRA!AF$213,$E107,0)</f>
        <v>10.046867281196224</v>
      </c>
      <c r="AD107" s="24">
        <f ca="1">OFFSET(PTRA!AG$213,$E107,0)</f>
        <v>10.098172751841428</v>
      </c>
      <c r="AE107" s="24">
        <f ca="1">OFFSET(PTRA!AH$213,$E107,0)</f>
        <v>10.149478222486632</v>
      </c>
      <c r="AF107" s="24">
        <f ca="1">OFFSET(PTRA!AI$213,$E107,0)</f>
        <v>10.200783693131836</v>
      </c>
      <c r="AG107" s="24">
        <f ca="1">OFFSET(PTRA!AJ$213,$E107,0)</f>
        <v>10.25208916377704</v>
      </c>
      <c r="AH107" s="24">
        <f ca="1">OFFSET(PTRA!AK$213,$E107,0)</f>
        <v>10.303394634422244</v>
      </c>
      <c r="AI107" s="24">
        <f ca="1">OFFSET(PTRA!AL$213,$E107,0)</f>
        <v>10.354700105067447</v>
      </c>
      <c r="AJ107" s="24">
        <f ca="1">OFFSET(PTRA!AM$213,$E107,0)</f>
        <v>10.96072856833203</v>
      </c>
      <c r="AK107" s="24">
        <f ca="1">OFFSET(PTRA!AN$213,$E107,0)</f>
        <v>11.566757031596611</v>
      </c>
      <c r="AL107" s="24">
        <f ca="1">OFFSET(PTRA!AO$213,$E107,0)</f>
        <v>11.566757031596611</v>
      </c>
      <c r="AM107" s="24">
        <f ca="1">OFFSET(PTRA!AP$213,$E107,0)</f>
        <v>11.566757031596611</v>
      </c>
    </row>
    <row r="108" spans="1:39">
      <c r="A108" s="36" t="s">
        <v>158</v>
      </c>
      <c r="B108">
        <v>0.1024485696</v>
      </c>
      <c r="E108" s="143">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4.5090000000000003</v>
      </c>
      <c r="L108" s="24">
        <f ca="1">OFFSET(OtherTRA!O$46,$E108,0)</f>
        <v>4.5485526315789473</v>
      </c>
      <c r="M108" s="24">
        <f ca="1">OFFSET(OtherTRA!P$46,$E108,0)</f>
        <v>4.3639736842105261</v>
      </c>
      <c r="N108" s="24">
        <f ca="1">OFFSET(OtherTRA!Q$46,$E108,0)</f>
        <v>4.1793947368421049</v>
      </c>
      <c r="O108" s="24">
        <f ca="1">OFFSET(OtherTRA!R$46,$E108,0)</f>
        <v>3.9948157894736842</v>
      </c>
      <c r="P108" s="24">
        <f ca="1">OFFSET(OtherTRA!S$46,$E108,0)</f>
        <v>4.2321315789473681</v>
      </c>
      <c r="Q108" s="24">
        <f ca="1">OFFSET(OtherTRA!T$46,$E108,0)</f>
        <v>4.4694473684210525</v>
      </c>
      <c r="R108" s="24">
        <f ca="1">OFFSET(OtherTRA!U$46,$E108,0)</f>
        <v>4.7067631578947369</v>
      </c>
      <c r="S108" s="24">
        <f ca="1">OFFSET(OtherTRA!V$46,$E108,0)</f>
        <v>4.9440789473684212</v>
      </c>
      <c r="T108" s="24">
        <f ca="1">OFFSET(OtherTRA!W$46,$E108,0)</f>
        <v>5.1813947368421056</v>
      </c>
      <c r="U108" s="24">
        <f ca="1">OFFSET(OtherTRA!X$46,$E108,0)</f>
        <v>5.41871052631579</v>
      </c>
      <c r="V108" s="24">
        <f ca="1">OFFSET(OtherTRA!Y$46,$E108,0)</f>
        <v>5.6560263157894743</v>
      </c>
      <c r="W108" s="24">
        <f ca="1">OFFSET(OtherTRA!Z$46,$E108,0)</f>
        <v>5.8933421052631587</v>
      </c>
      <c r="X108" s="24">
        <f ca="1">OFFSET(OtherTRA!AA$46,$E108,0)</f>
        <v>6.1306578947368431</v>
      </c>
      <c r="Y108" s="24">
        <f ca="1">OFFSET(OtherTRA!AB$46,$E108,0)</f>
        <v>6.3679736842105266</v>
      </c>
      <c r="Z108" s="24">
        <f ca="1">OFFSET(OtherTRA!AC$46,$E108,0)</f>
        <v>7.0126815789473689</v>
      </c>
      <c r="AA108" s="24">
        <f ca="1">OFFSET(OtherTRA!AD$46,$E108,0)</f>
        <v>7.6573894736842112</v>
      </c>
      <c r="AB108" s="24">
        <f ca="1">OFFSET(OtherTRA!AE$46,$E108,0)</f>
        <v>8.3020973684210535</v>
      </c>
      <c r="AC108" s="24">
        <f ca="1">OFFSET(OtherTRA!AF$46,$E108,0)</f>
        <v>8.9468052631578949</v>
      </c>
      <c r="AD108" s="24">
        <f ca="1">OFFSET(OtherTRA!AG$46,$E108,0)</f>
        <v>9.5915131578947364</v>
      </c>
      <c r="AE108" s="24">
        <f ca="1">OFFSET(OtherTRA!AH$46,$E108,0)</f>
        <v>10.236221052631578</v>
      </c>
      <c r="AF108" s="24">
        <f ca="1">OFFSET(OtherTRA!AI$46,$E108,0)</f>
        <v>10.880928947368419</v>
      </c>
      <c r="AG108" s="24">
        <f ca="1">OFFSET(OtherTRA!AJ$46,$E108,0)</f>
        <v>11.525636842105261</v>
      </c>
      <c r="AH108" s="24">
        <f ca="1">OFFSET(OtherTRA!AK$46,$E108,0)</f>
        <v>12.170344736842102</v>
      </c>
      <c r="AI108" s="24">
        <f ca="1">OFFSET(OtherTRA!AL$46,$E108,0)</f>
        <v>12.815052631578947</v>
      </c>
      <c r="AJ108" s="24">
        <f ca="1">OFFSET(OtherTRA!AM$46,$E108,0)</f>
        <v>19.103921052631577</v>
      </c>
      <c r="AK108" s="24">
        <f ca="1">OFFSET(OtherTRA!AN$46,$E108,0)</f>
        <v>25.392789473684207</v>
      </c>
      <c r="AL108" s="24">
        <f ca="1">OFFSET(OtherTRA!AO$46,$E108,0)</f>
        <v>25.392789473684207</v>
      </c>
      <c r="AM108" s="24">
        <f ca="1">OFFSET(OtherTRA!AP$46,$E108,0)</f>
        <v>25.392789473684207</v>
      </c>
    </row>
    <row r="109" spans="1:39">
      <c r="A109" s="36" t="s">
        <v>239</v>
      </c>
      <c r="B109">
        <v>82.184767358499997</v>
      </c>
      <c r="E109" s="140">
        <f>MATCH(F109,COM!$D$248:$D$266,0)</f>
        <v>1</v>
      </c>
      <c r="F109" s="4" t="str">
        <f t="shared" si="1"/>
        <v>CEC</v>
      </c>
      <c r="G109" s="24">
        <f ca="1">OFFSET(COM!J$247,$E109,0)</f>
        <v>139.66439435388435</v>
      </c>
      <c r="H109" s="24">
        <f ca="1">OFFSET(COM!K$247,$E109,0)</f>
        <v>135.88051692233486</v>
      </c>
      <c r="I109" s="24">
        <f ca="1">OFFSET(COM!L$247,$E109,0)</f>
        <v>132.39616572108426</v>
      </c>
      <c r="J109" s="24">
        <f ca="1">OFFSET(COM!M$247,$E109,0)</f>
        <v>128.60855827859754</v>
      </c>
      <c r="K109" s="24">
        <f ca="1">OFFSET(COM!N$247,$E109,0)</f>
        <v>124.66075526087604</v>
      </c>
      <c r="L109" s="24">
        <f ca="1">OFFSET(COM!O$247,$E109,0)</f>
        <v>120.28334032399778</v>
      </c>
      <c r="M109" s="24">
        <f ca="1">OFFSET(COM!P$247,$E109,0)</f>
        <v>119.54458266316526</v>
      </c>
      <c r="N109" s="24">
        <f ca="1">OFFSET(COM!Q$247,$E109,0)</f>
        <v>118.85329769676166</v>
      </c>
      <c r="O109" s="208">
        <f ca="1">OFFSET(COM!R$247,$E109,0)</f>
        <v>117.89103097416967</v>
      </c>
      <c r="P109" s="24">
        <f ca="1">OFFSET(COM!S$247,$E109,0)</f>
        <v>116.75392933093214</v>
      </c>
      <c r="Q109" s="24">
        <f ca="1">OFFSET(COM!T$247,$E109,0)</f>
        <v>115.54654286385139</v>
      </c>
      <c r="R109" s="24">
        <f ca="1">OFFSET(COM!U$247,$E109,0)</f>
        <v>114.34203957582858</v>
      </c>
      <c r="S109" s="24">
        <f ca="1">OFFSET(COM!V$247,$E109,0)</f>
        <v>113.16610032899654</v>
      </c>
      <c r="T109" s="208">
        <f ca="1">OFFSET(COM!W$247,$E109,0)</f>
        <v>111.99496925935928</v>
      </c>
      <c r="U109" s="24">
        <f ca="1">OFFSET(COM!X$247,$E109,0)</f>
        <v>110.84000279607284</v>
      </c>
      <c r="V109" s="24">
        <f ca="1">OFFSET(COM!Y$247,$E109,0)</f>
        <v>109.68262736457589</v>
      </c>
      <c r="W109" s="24">
        <f ca="1">OFFSET(COM!Z$247,$E109,0)</f>
        <v>108.5227470955121</v>
      </c>
      <c r="X109" s="24">
        <f ca="1">OFFSET(COM!AA$247,$E109,0)</f>
        <v>107.38069956222522</v>
      </c>
      <c r="Y109" s="220">
        <f ca="1">OFFSET(COM!AB$247,$E109,0)</f>
        <v>106.22240388591575</v>
      </c>
      <c r="Z109" s="24">
        <f ca="1">OFFSET(COM!AC$247,$E109,0)</f>
        <v>105.79469150862093</v>
      </c>
      <c r="AA109" s="24">
        <f ca="1">OFFSET(COM!AD$247,$E109,0)</f>
        <v>105.38805863574723</v>
      </c>
      <c r="AB109" s="24">
        <f ca="1">OFFSET(COM!AE$247,$E109,0)</f>
        <v>104.99729693675334</v>
      </c>
      <c r="AC109" s="24">
        <f ca="1">OFFSET(COM!AF$247,$E109,0)</f>
        <v>104.62426838750206</v>
      </c>
      <c r="AD109" s="24">
        <f ca="1">OFFSET(COM!AG$247,$E109,0)</f>
        <v>104.23301324387096</v>
      </c>
      <c r="AE109" s="24">
        <f ca="1">OFFSET(COM!AH$247,$E109,0)</f>
        <v>103.85168566568933</v>
      </c>
      <c r="AF109" s="24">
        <f ca="1">OFFSET(COM!AI$247,$E109,0)</f>
        <v>103.5199264618561</v>
      </c>
      <c r="AG109" s="24">
        <f ca="1">OFFSET(COM!AJ$247,$E109,0)</f>
        <v>103.21532742162972</v>
      </c>
      <c r="AH109" s="24">
        <f ca="1">OFFSET(COM!AK$247,$E109,0)</f>
        <v>102.93165238916582</v>
      </c>
      <c r="AI109" s="24">
        <f ca="1">OFFSET(COM!AL$247,$E109,0)</f>
        <v>102.66111085075552</v>
      </c>
      <c r="AJ109" s="24">
        <f ca="1">OFFSET(COM!AM$247,$E109,0)</f>
        <v>101.57107423363448</v>
      </c>
      <c r="AK109" s="24">
        <f ca="1">OFFSET(COM!AN$247,$E109,0)</f>
        <v>100.900053559566</v>
      </c>
      <c r="AL109" s="24">
        <f ca="1">OFFSET(COM!AO$247,$E109,0)</f>
        <v>100.900053559566</v>
      </c>
      <c r="AM109" s="24">
        <f ca="1">OFFSET(COM!AP$247,$E109,0)</f>
        <v>100.900053559566</v>
      </c>
    </row>
    <row r="110" spans="1:39">
      <c r="A110" s="36" t="s">
        <v>245</v>
      </c>
      <c r="B110">
        <v>9.1664843454099998</v>
      </c>
      <c r="E110" s="140">
        <f>MATCH(F110,COM!$D$248:$D$266,0)</f>
        <v>7</v>
      </c>
      <c r="F110" s="4" t="str">
        <f t="shared" si="1"/>
        <v>CEG</v>
      </c>
      <c r="G110" s="24">
        <f ca="1">OFFSET(COM!J$247,$E110,0)</f>
        <v>10.30055287377321</v>
      </c>
      <c r="H110" s="24">
        <f ca="1">OFFSET(COM!K$247,$E110,0)</f>
        <v>10.02148368271801</v>
      </c>
      <c r="I110" s="24">
        <f ca="1">OFFSET(COM!L$247,$E110,0)</f>
        <v>9.7645052026600503</v>
      </c>
      <c r="J110" s="24">
        <f ca="1">OFFSET(COM!M$247,$E110,0)</f>
        <v>9.4851609151849186</v>
      </c>
      <c r="K110" s="24">
        <f ca="1">OFFSET(COM!N$247,$E110,0)</f>
        <v>9.1940018555877732</v>
      </c>
      <c r="L110" s="24">
        <f ca="1">OFFSET(COM!O$247,$E110,0)</f>
        <v>8.8711579824850144</v>
      </c>
      <c r="M110" s="24">
        <f ca="1">OFFSET(COM!P$247,$E110,0)</f>
        <v>8.9535793798308223</v>
      </c>
      <c r="N110" s="24">
        <f ca="1">OFFSET(COM!Q$247,$E110,0)</f>
        <v>9.0535068495470483</v>
      </c>
      <c r="O110" s="208">
        <f ca="1">OFFSET(COM!R$247,$E110,0)</f>
        <v>9.0535068495470483</v>
      </c>
      <c r="P110" s="24">
        <f ca="1">OFFSET(COM!S$247,$E110,0)</f>
        <v>9.0351321842884627</v>
      </c>
      <c r="Q110" s="24">
        <f ca="1">OFFSET(COM!T$247,$E110,0)</f>
        <v>8.9923139363058517</v>
      </c>
      <c r="R110" s="24">
        <f ca="1">OFFSET(COM!U$247,$E110,0)</f>
        <v>8.9521704146826426</v>
      </c>
      <c r="S110" s="24">
        <f ca="1">OFFSET(COM!V$247,$E110,0)</f>
        <v>8.9245341768538147</v>
      </c>
      <c r="T110" s="208">
        <f ca="1">OFFSET(COM!W$247,$E110,0)</f>
        <v>8.9007444666415232</v>
      </c>
      <c r="U110" s="24">
        <f ca="1">OFFSET(COM!X$247,$E110,0)</f>
        <v>8.8853511375312202</v>
      </c>
      <c r="V110" s="24">
        <f ca="1">OFFSET(COM!Y$247,$E110,0)</f>
        <v>8.8715441986930816</v>
      </c>
      <c r="W110" s="24">
        <f ca="1">OFFSET(COM!Z$247,$E110,0)</f>
        <v>8.8595018786959567</v>
      </c>
      <c r="X110" s="24">
        <f ca="1">OFFSET(COM!AA$247,$E110,0)</f>
        <v>8.8574016261732655</v>
      </c>
      <c r="Y110" s="220">
        <f ca="1">OFFSET(COM!AB$247,$E110,0)</f>
        <v>8.852306025626028</v>
      </c>
      <c r="Z110" s="24">
        <f ca="1">OFFSET(COM!AC$247,$E110,0)</f>
        <v>9.0625702693506138</v>
      </c>
      <c r="AA110" s="24">
        <f ca="1">OFFSET(COM!AD$247,$E110,0)</f>
        <v>9.281126029352631</v>
      </c>
      <c r="AB110" s="24">
        <f ca="1">OFFSET(COM!AE$247,$E110,0)</f>
        <v>9.5059246351985074</v>
      </c>
      <c r="AC110" s="24">
        <f ca="1">OFFSET(COM!AF$247,$E110,0)</f>
        <v>9.7376984856613067</v>
      </c>
      <c r="AD110" s="24">
        <f ca="1">OFFSET(COM!AG$247,$E110,0)</f>
        <v>9.9623029975588739</v>
      </c>
      <c r="AE110" s="24">
        <f ca="1">OFFSET(COM!AH$247,$E110,0)</f>
        <v>10.190812467033965</v>
      </c>
      <c r="AF110" s="24">
        <f ca="1">OFFSET(COM!AI$247,$E110,0)</f>
        <v>10.438819405450632</v>
      </c>
      <c r="AG110" s="24">
        <f ca="1">OFFSET(COM!AJ$247,$E110,0)</f>
        <v>10.697509656631434</v>
      </c>
      <c r="AH110" s="24">
        <f ca="1">OFFSET(COM!AK$247,$E110,0)</f>
        <v>10.964430260266699</v>
      </c>
      <c r="AI110" s="24">
        <f ca="1">OFFSET(COM!AL$247,$E110,0)</f>
        <v>11.236516857255006</v>
      </c>
      <c r="AJ110" s="24">
        <f ca="1">OFFSET(COM!AM$247,$E110,0)</f>
        <v>12.700270178855428</v>
      </c>
      <c r="AK110" s="24">
        <f ca="1">OFFSET(COM!AN$247,$E110,0)</f>
        <v>14.32884129896334</v>
      </c>
      <c r="AL110" s="24">
        <f ca="1">OFFSET(COM!AO$247,$E110,0)</f>
        <v>14.32884129896334</v>
      </c>
      <c r="AM110" s="24">
        <f ca="1">OFFSET(COM!AP$247,$E110,0)</f>
        <v>14.32884129896334</v>
      </c>
    </row>
    <row r="111" spans="1:39">
      <c r="A111" s="36" t="s">
        <v>240</v>
      </c>
      <c r="B111">
        <v>29.897246584059999</v>
      </c>
      <c r="E111" s="140">
        <f>MATCH(F111,COM!$D$248:$D$266,0)</f>
        <v>2</v>
      </c>
      <c r="F111" s="4" t="str">
        <f t="shared" si="1"/>
        <v>CEH</v>
      </c>
      <c r="G111" s="24">
        <f ca="1">OFFSET(COM!J$247,$E111,0)</f>
        <v>7.8517549075018991</v>
      </c>
      <c r="H111" s="24">
        <f ca="1">OFFSET(COM!K$247,$E111,0)</f>
        <v>8.5451368677826967</v>
      </c>
      <c r="I111" s="24">
        <f ca="1">OFFSET(COM!L$247,$E111,0)</f>
        <v>9.2768728776048626</v>
      </c>
      <c r="J111" s="24">
        <f ca="1">OFFSET(COM!M$247,$E111,0)</f>
        <v>10.009107345760587</v>
      </c>
      <c r="K111" s="24">
        <f ca="1">OFFSET(COM!N$247,$E111,0)</f>
        <v>10.749546443501771</v>
      </c>
      <c r="L111" s="24">
        <f ca="1">OFFSET(COM!O$247,$E111,0)</f>
        <v>11.470981711368383</v>
      </c>
      <c r="M111" s="24">
        <f ca="1">OFFSET(COM!P$247,$E111,0)</f>
        <v>11.400529098448615</v>
      </c>
      <c r="N111" s="24">
        <f ca="1">OFFSET(COM!Q$247,$E111,0)</f>
        <v>11.334603782560315</v>
      </c>
      <c r="O111" s="208">
        <f ca="1">OFFSET(COM!R$247,$E111,0)</f>
        <v>11.242835928869367</v>
      </c>
      <c r="P111" s="24">
        <f ca="1">OFFSET(COM!S$247,$E111,0)</f>
        <v>11.134394709009573</v>
      </c>
      <c r="Q111" s="24">
        <f ca="1">OFFSET(COM!T$247,$E111,0)</f>
        <v>11.019250682869874</v>
      </c>
      <c r="R111" s="24">
        <f ca="1">OFFSET(COM!U$247,$E111,0)</f>
        <v>10.904381614959259</v>
      </c>
      <c r="S111" s="24">
        <f ca="1">OFFSET(COM!V$247,$E111,0)</f>
        <v>10.792236595060778</v>
      </c>
      <c r="T111" s="208">
        <f ca="1">OFFSET(COM!W$247,$E111,0)</f>
        <v>10.680550113414705</v>
      </c>
      <c r="U111" s="24">
        <f ca="1">OFFSET(COM!X$247,$E111,0)</f>
        <v>10.570405191084514</v>
      </c>
      <c r="V111" s="24">
        <f ca="1">OFFSET(COM!Y$247,$E111,0)</f>
        <v>10.460030534277285</v>
      </c>
      <c r="W111" s="24">
        <f ca="1">OFFSET(COM!Z$247,$E111,0)</f>
        <v>10.349417000283555</v>
      </c>
      <c r="X111" s="24">
        <f ca="1">OFFSET(COM!AA$247,$E111,0)</f>
        <v>10.240504109000693</v>
      </c>
      <c r="Y111" s="220">
        <f ca="1">OFFSET(COM!AB$247,$E111,0)</f>
        <v>10.13004169181546</v>
      </c>
      <c r="Z111" s="24">
        <f ca="1">OFFSET(COM!AC$247,$E111,0)</f>
        <v>10.089252328596421</v>
      </c>
      <c r="AA111" s="24">
        <f ca="1">OFFSET(COM!AD$247,$E111,0)</f>
        <v>10.050473240524781</v>
      </c>
      <c r="AB111" s="24">
        <f ca="1">OFFSET(COM!AE$247,$E111,0)</f>
        <v>10.013207728188757</v>
      </c>
      <c r="AC111" s="24">
        <f ca="1">OFFSET(COM!AF$247,$E111,0)</f>
        <v>9.9776333614081736</v>
      </c>
      <c r="AD111" s="24">
        <f ca="1">OFFSET(COM!AG$247,$E111,0)</f>
        <v>9.9403207910639999</v>
      </c>
      <c r="AE111" s="24">
        <f ca="1">OFFSET(COM!AH$247,$E111,0)</f>
        <v>9.9039549762838366</v>
      </c>
      <c r="AF111" s="24">
        <f ca="1">OFFSET(COM!AI$247,$E111,0)</f>
        <v>9.872316315855068</v>
      </c>
      <c r="AG111" s="24">
        <f ca="1">OFFSET(COM!AJ$247,$E111,0)</f>
        <v>9.8432678207739919</v>
      </c>
      <c r="AH111" s="24">
        <f ca="1">OFFSET(COM!AK$247,$E111,0)</f>
        <v>9.8162147716933781</v>
      </c>
      <c r="AI111" s="24">
        <f ca="1">OFFSET(COM!AL$247,$E111,0)</f>
        <v>9.7904142158482319</v>
      </c>
      <c r="AJ111" s="24">
        <f ca="1">OFFSET(COM!AM$247,$E111,0)</f>
        <v>9.6864614151857555</v>
      </c>
      <c r="AK111" s="24">
        <f ca="1">OFFSET(COM!AN$247,$E111,0)</f>
        <v>9.6224686306533656</v>
      </c>
      <c r="AL111" s="24">
        <f ca="1">OFFSET(COM!AO$247,$E111,0)</f>
        <v>9.6224686306533656</v>
      </c>
      <c r="AM111" s="24">
        <f ca="1">OFFSET(COM!AP$247,$E111,0)</f>
        <v>9.6224686306533656</v>
      </c>
    </row>
    <row r="112" spans="1:39">
      <c r="A112" s="36" t="s">
        <v>241</v>
      </c>
      <c r="B112">
        <v>0.29916376652240001</v>
      </c>
      <c r="E112" s="140">
        <f>MATCH(F112,COM!$D$248:$D$266,0)</f>
        <v>3</v>
      </c>
      <c r="F112" s="4" t="str">
        <f t="shared" si="1"/>
        <v>CEK</v>
      </c>
      <c r="G112" s="24">
        <f ca="1">OFFSET(COM!J$247,$E112,0)</f>
        <v>9.8944997565297612</v>
      </c>
      <c r="H112" s="24">
        <f ca="1">OFFSET(COM!K$247,$E112,0)</f>
        <v>9.6376414085782098</v>
      </c>
      <c r="I112" s="24">
        <f ca="1">OFFSET(COM!L$247,$E112,0)</f>
        <v>9.4022691154404061</v>
      </c>
      <c r="J112" s="24">
        <f ca="1">OFFSET(COM!M$247,$E112,0)</f>
        <v>9.1456297689080213</v>
      </c>
      <c r="K112" s="24">
        <f ca="1">OFFSET(COM!N$247,$E112,0)</f>
        <v>8.8778543138235051</v>
      </c>
      <c r="L112" s="24">
        <f ca="1">OFFSET(COM!O$247,$E112,0)</f>
        <v>8.5797067698540808</v>
      </c>
      <c r="M112" s="24">
        <f ca="1">OFFSET(COM!P$247,$E112,0)</f>
        <v>8.5270118240132575</v>
      </c>
      <c r="N112" s="24">
        <f ca="1">OFFSET(COM!Q$247,$E112,0)</f>
        <v>8.4777030644612239</v>
      </c>
      <c r="O112" s="208">
        <f ca="1">OFFSET(COM!R$247,$E112,0)</f>
        <v>8.4090654103023912</v>
      </c>
      <c r="P112" s="24">
        <f ca="1">OFFSET(COM!S$247,$E112,0)</f>
        <v>8.3279569322686218</v>
      </c>
      <c r="Q112" s="24">
        <f ca="1">OFFSET(COM!T$247,$E112,0)</f>
        <v>8.241835098459056</v>
      </c>
      <c r="R112" s="24">
        <f ca="1">OFFSET(COM!U$247,$E112,0)</f>
        <v>8.1559189193213282</v>
      </c>
      <c r="S112" s="24">
        <f ca="1">OFFSET(COM!V$247,$E112,0)</f>
        <v>8.0720401885693782</v>
      </c>
      <c r="T112" s="208">
        <f ca="1">OFFSET(COM!W$247,$E112,0)</f>
        <v>7.9885044209436371</v>
      </c>
      <c r="U112" s="24">
        <f ca="1">OFFSET(COM!X$247,$E112,0)</f>
        <v>7.906121660726626</v>
      </c>
      <c r="V112" s="24">
        <f ca="1">OFFSET(COM!Y$247,$E112,0)</f>
        <v>7.8235670708879201</v>
      </c>
      <c r="W112" s="24">
        <f ca="1">OFFSET(COM!Z$247,$E112,0)</f>
        <v>7.7408338131491385</v>
      </c>
      <c r="X112" s="24">
        <f ca="1">OFFSET(COM!AA$247,$E112,0)</f>
        <v>7.6593725490501923</v>
      </c>
      <c r="Y112" s="220">
        <f ca="1">OFFSET(COM!AB$247,$E112,0)</f>
        <v>7.5767523189438766</v>
      </c>
      <c r="Z112" s="24">
        <f ca="1">OFFSET(COM!AC$247,$E112,0)</f>
        <v>7.546243964510567</v>
      </c>
      <c r="AA112" s="24">
        <f ca="1">OFFSET(COM!AD$247,$E112,0)</f>
        <v>7.5172391929200693</v>
      </c>
      <c r="AB112" s="24">
        <f ca="1">OFFSET(COM!AE$247,$E112,0)</f>
        <v>7.489366498453597</v>
      </c>
      <c r="AC112" s="24">
        <f ca="1">OFFSET(COM!AF$247,$E112,0)</f>
        <v>7.4627586942411499</v>
      </c>
      <c r="AD112" s="24">
        <f ca="1">OFFSET(COM!AG$247,$E112,0)</f>
        <v>7.4348508027949203</v>
      </c>
      <c r="AE112" s="24">
        <f ca="1">OFFSET(COM!AH$247,$E112,0)</f>
        <v>7.4076510360172083</v>
      </c>
      <c r="AF112" s="24">
        <f ca="1">OFFSET(COM!AI$247,$E112,0)</f>
        <v>7.3839869385667862</v>
      </c>
      <c r="AG112" s="24">
        <f ca="1">OFFSET(COM!AJ$247,$E112,0)</f>
        <v>7.3622601521266864</v>
      </c>
      <c r="AH112" s="24">
        <f ca="1">OFFSET(COM!AK$247,$E112,0)</f>
        <v>7.342025857087048</v>
      </c>
      <c r="AI112" s="24">
        <f ca="1">OFFSET(COM!AL$247,$E112,0)</f>
        <v>7.322728362834118</v>
      </c>
      <c r="AJ112" s="24">
        <f ca="1">OFFSET(COM!AM$247,$E112,0)</f>
        <v>7.2449769924605398</v>
      </c>
      <c r="AK112" s="24">
        <f ca="1">OFFSET(COM!AN$247,$E112,0)</f>
        <v>7.1971136673773675</v>
      </c>
      <c r="AL112" s="24">
        <f ca="1">OFFSET(COM!AO$247,$E112,0)</f>
        <v>7.1971136673773675</v>
      </c>
      <c r="AM112" s="24">
        <f ca="1">OFFSET(COM!AP$247,$E112,0)</f>
        <v>7.1971136673773675</v>
      </c>
    </row>
    <row r="113" spans="1:39">
      <c r="A113" s="36" t="s">
        <v>242</v>
      </c>
      <c r="B113">
        <v>177.48088542799999</v>
      </c>
      <c r="E113" s="140">
        <f>MATCH(F113,COM!$D$248:$D$266,0)</f>
        <v>4</v>
      </c>
      <c r="F113" s="4" t="str">
        <f t="shared" si="1"/>
        <v>CEL</v>
      </c>
      <c r="G113" s="24">
        <f ca="1">OFFSET(COM!J$247,$E113,0)</f>
        <v>121.54027190568891</v>
      </c>
      <c r="H113" s="24">
        <f ca="1">OFFSET(COM!K$247,$E113,0)</f>
        <v>118.2474248345661</v>
      </c>
      <c r="I113" s="24">
        <f ca="1">OFFSET(COM!L$247,$E113,0)</f>
        <v>115.21523474507296</v>
      </c>
      <c r="J113" s="24">
        <f ca="1">OFFSET(COM!M$247,$E113,0)</f>
        <v>111.919141703167</v>
      </c>
      <c r="K113" s="24">
        <f ca="1">OFFSET(COM!N$247,$E113,0)</f>
        <v>108.48364152129386</v>
      </c>
      <c r="L113" s="24">
        <f ca="1">OFFSET(COM!O$247,$E113,0)</f>
        <v>104.67427977141128</v>
      </c>
      <c r="M113" s="24">
        <f ca="1">OFFSET(COM!P$247,$E113,0)</f>
        <v>104.03139002570782</v>
      </c>
      <c r="N113" s="24">
        <f ca="1">OFFSET(COM!Q$247,$E113,0)</f>
        <v>103.42981248570776</v>
      </c>
      <c r="O113" s="208">
        <f ca="1">OFFSET(COM!R$247,$E113,0)</f>
        <v>102.59241824753646</v>
      </c>
      <c r="P113" s="24">
        <f ca="1">OFFSET(COM!S$247,$E113,0)</f>
        <v>101.60287725863336</v>
      </c>
      <c r="Q113" s="24">
        <f ca="1">OFFSET(COM!T$247,$E113,0)</f>
        <v>100.55217224406525</v>
      </c>
      <c r="R113" s="24">
        <f ca="1">OFFSET(COM!U$247,$E113,0)</f>
        <v>99.503976261009981</v>
      </c>
      <c r="S113" s="24">
        <f ca="1">OFFSET(COM!V$247,$E113,0)</f>
        <v>98.480637589291021</v>
      </c>
      <c r="T113" s="208">
        <f ca="1">OFFSET(COM!W$247,$E113,0)</f>
        <v>97.461483141950268</v>
      </c>
      <c r="U113" s="24">
        <f ca="1">OFFSET(COM!X$247,$E113,0)</f>
        <v>96.456395634578129</v>
      </c>
      <c r="V113" s="24">
        <f ca="1">OFFSET(COM!Y$247,$E113,0)</f>
        <v>95.449211768626753</v>
      </c>
      <c r="W113" s="24">
        <f ca="1">OFFSET(COM!Z$247,$E113,0)</f>
        <v>94.439848115619668</v>
      </c>
      <c r="X113" s="24">
        <f ca="1">OFFSET(COM!AA$247,$E113,0)</f>
        <v>93.446003060356674</v>
      </c>
      <c r="Y113" s="220">
        <f ca="1">OFFSET(COM!AB$247,$E113,0)</f>
        <v>92.438018368931878</v>
      </c>
      <c r="Z113" s="24">
        <f ca="1">OFFSET(COM!AC$247,$E113,0)</f>
        <v>92.065809840950692</v>
      </c>
      <c r="AA113" s="24">
        <f ca="1">OFFSET(COM!AD$247,$E113,0)</f>
        <v>91.711945349120128</v>
      </c>
      <c r="AB113" s="24">
        <f ca="1">OFFSET(COM!AE$247,$E113,0)</f>
        <v>91.371892443254168</v>
      </c>
      <c r="AC113" s="24">
        <f ca="1">OFFSET(COM!AF$247,$E113,0)</f>
        <v>91.047271472287832</v>
      </c>
      <c r="AD113" s="24">
        <f ca="1">OFFSET(COM!AG$247,$E113,0)</f>
        <v>90.706789155650043</v>
      </c>
      <c r="AE113" s="24">
        <f ca="1">OFFSET(COM!AH$247,$E113,0)</f>
        <v>90.374946113250147</v>
      </c>
      <c r="AF113" s="24">
        <f ca="1">OFFSET(COM!AI$247,$E113,0)</f>
        <v>90.086239001980701</v>
      </c>
      <c r="AG113" s="24">
        <f ca="1">OFFSET(COM!AJ$247,$E113,0)</f>
        <v>89.821167504391127</v>
      </c>
      <c r="AH113" s="24">
        <f ca="1">OFFSET(COM!AK$247,$E113,0)</f>
        <v>89.574304724954601</v>
      </c>
      <c r="AI113" s="24">
        <f ca="1">OFFSET(COM!AL$247,$E113,0)</f>
        <v>89.338871117897583</v>
      </c>
      <c r="AJ113" s="24">
        <f ca="1">OFFSET(COM!AM$247,$E113,0)</f>
        <v>88.390287569134529</v>
      </c>
      <c r="AK113" s="24">
        <f ca="1">OFFSET(COM!AN$247,$E113,0)</f>
        <v>87.806344642535976</v>
      </c>
      <c r="AL113" s="24">
        <f ca="1">OFFSET(COM!AO$247,$E113,0)</f>
        <v>87.806344642535976</v>
      </c>
      <c r="AM113" s="24">
        <f ca="1">OFFSET(COM!AP$247,$E113,0)</f>
        <v>87.806344642535976</v>
      </c>
    </row>
    <row r="114" spans="1:39">
      <c r="A114" s="36" t="s">
        <v>247</v>
      </c>
      <c r="B114">
        <v>30.831061307799999</v>
      </c>
      <c r="E114" s="140">
        <f>MATCH(F114,COM!$D$248:$D$266,0)</f>
        <v>9</v>
      </c>
      <c r="F114" s="4" t="str">
        <f t="shared" si="1"/>
        <v>CEO</v>
      </c>
      <c r="G114" s="24">
        <f ca="1">OFFSET(COM!J$247,$E114,0)</f>
        <v>18.760184357078931</v>
      </c>
      <c r="H114" s="24">
        <f ca="1">OFFSET(COM!K$247,$E114,0)</f>
        <v>18.414019966220415</v>
      </c>
      <c r="I114" s="24">
        <f ca="1">OFFSET(COM!L$247,$E114,0)</f>
        <v>18.11193788323466</v>
      </c>
      <c r="J114" s="24">
        <f ca="1">OFFSET(COM!M$247,$E114,0)</f>
        <v>17.772260523902151</v>
      </c>
      <c r="K114" s="24">
        <f ca="1">OFFSET(COM!N$247,$E114,0)</f>
        <v>17.414144069480905</v>
      </c>
      <c r="L114" s="24">
        <f ca="1">OFFSET(COM!O$247,$E114,0)</f>
        <v>16.999241745794041</v>
      </c>
      <c r="M114" s="24">
        <f ca="1">OFFSET(COM!P$247,$E114,0)</f>
        <v>16.894835599155428</v>
      </c>
      <c r="N114" s="24">
        <f ca="1">OFFSET(COM!Q$247,$E114,0)</f>
        <v>16.797138609468625</v>
      </c>
      <c r="O114" s="208">
        <f ca="1">OFFSET(COM!R$247,$E114,0)</f>
        <v>16.661144675502275</v>
      </c>
      <c r="P114" s="24">
        <f ca="1">OFFSET(COM!S$247,$E114,0)</f>
        <v>16.5004419075972</v>
      </c>
      <c r="Q114" s="24">
        <f ca="1">OFFSET(COM!T$247,$E114,0)</f>
        <v>16.329806020871569</v>
      </c>
      <c r="R114" s="24">
        <f ca="1">OFFSET(COM!U$247,$E114,0)</f>
        <v>16.159577604188513</v>
      </c>
      <c r="S114" s="24">
        <f ca="1">OFFSET(COM!V$247,$E114,0)</f>
        <v>15.993386047806567</v>
      </c>
      <c r="T114" s="208">
        <f ca="1">OFFSET(COM!W$247,$E114,0)</f>
        <v>15.827874015008433</v>
      </c>
      <c r="U114" s="24">
        <f ca="1">OFFSET(COM!X$247,$E114,0)</f>
        <v>15.664646471902252</v>
      </c>
      <c r="V114" s="24">
        <f ca="1">OFFSET(COM!Y$247,$E114,0)</f>
        <v>15.501078477384777</v>
      </c>
      <c r="W114" s="24">
        <f ca="1">OFFSET(COM!Z$247,$E114,0)</f>
        <v>15.337156482560875</v>
      </c>
      <c r="X114" s="24">
        <f ca="1">OFFSET(COM!AA$247,$E114,0)</f>
        <v>15.175754728575345</v>
      </c>
      <c r="Y114" s="220">
        <f ca="1">OFFSET(COM!AB$247,$E114,0)</f>
        <v>15.012056678939754</v>
      </c>
      <c r="Z114" s="24">
        <f ca="1">OFFSET(COM!AC$247,$E114,0)</f>
        <v>14.951609520757096</v>
      </c>
      <c r="AA114" s="24">
        <f ca="1">OFFSET(COM!AD$247,$E114,0)</f>
        <v>14.894141458354214</v>
      </c>
      <c r="AB114" s="24">
        <f ca="1">OFFSET(COM!AE$247,$E114,0)</f>
        <v>14.838916415814644</v>
      </c>
      <c r="AC114" s="24">
        <f ca="1">OFFSET(COM!AF$247,$E114,0)</f>
        <v>14.786197539952664</v>
      </c>
      <c r="AD114" s="24">
        <f ca="1">OFFSET(COM!AG$247,$E114,0)</f>
        <v>14.730902760534704</v>
      </c>
      <c r="AE114" s="24">
        <f ca="1">OFFSET(COM!AH$247,$E114,0)</f>
        <v>14.677011010701465</v>
      </c>
      <c r="AF114" s="24">
        <f ca="1">OFFSET(COM!AI$247,$E114,0)</f>
        <v>14.630124593246128</v>
      </c>
      <c r="AG114" s="24">
        <f ca="1">OFFSET(COM!AJ$247,$E114,0)</f>
        <v>14.58707663077354</v>
      </c>
      <c r="AH114" s="24">
        <f ca="1">OFFSET(COM!AK$247,$E114,0)</f>
        <v>14.546985788258603</v>
      </c>
      <c r="AI114" s="24">
        <f ca="1">OFFSET(COM!AL$247,$E114,0)</f>
        <v>14.508751058483657</v>
      </c>
      <c r="AJ114" s="24">
        <f ca="1">OFFSET(COM!AM$247,$E114,0)</f>
        <v>14.354699833132784</v>
      </c>
      <c r="AK114" s="24">
        <f ca="1">OFFSET(COM!AN$247,$E114,0)</f>
        <v>14.259866728031197</v>
      </c>
      <c r="AL114" s="24">
        <f ca="1">OFFSET(COM!AO$247,$E114,0)</f>
        <v>14.259866728031197</v>
      </c>
      <c r="AM114" s="24">
        <f ca="1">OFFSET(COM!AP$247,$E114,0)</f>
        <v>14.259866728031197</v>
      </c>
    </row>
    <row r="115" spans="1:39">
      <c r="A115" s="36" t="s">
        <v>243</v>
      </c>
      <c r="B115">
        <v>7.3604096683640003</v>
      </c>
      <c r="E115" s="140">
        <f>MATCH(F115,COM!$D$248:$D$266,0)</f>
        <v>5</v>
      </c>
      <c r="F115" s="4" t="str">
        <f t="shared" si="1"/>
        <v>CER</v>
      </c>
      <c r="G115" s="24">
        <f ca="1">OFFSET(COM!J$247,$E115,0)</f>
        <v>29.566390373747055</v>
      </c>
      <c r="H115" s="24">
        <f ca="1">OFFSET(COM!K$247,$E115,0)</f>
        <v>28.765358745140752</v>
      </c>
      <c r="I115" s="24">
        <f ca="1">OFFSET(COM!L$247,$E115,0)</f>
        <v>28.027735614406538</v>
      </c>
      <c r="J115" s="24">
        <f ca="1">OFFSET(COM!M$247,$E115,0)</f>
        <v>27.225914357491767</v>
      </c>
      <c r="K115" s="24">
        <f ca="1">OFFSET(COM!N$247,$E115,0)</f>
        <v>26.390180341813739</v>
      </c>
      <c r="L115" s="24">
        <f ca="1">OFFSET(COM!O$247,$E115,0)</f>
        <v>25.463499211305454</v>
      </c>
      <c r="M115" s="24">
        <f ca="1">OFFSET(COM!P$247,$E115,0)</f>
        <v>25.307107186746741</v>
      </c>
      <c r="N115" s="24">
        <f ca="1">OFFSET(COM!Q$247,$E115,0)</f>
        <v>25.160764940602007</v>
      </c>
      <c r="O115" s="208">
        <f ca="1">OFFSET(COM!R$247,$E115,0)</f>
        <v>24.957056946911564</v>
      </c>
      <c r="P115" s="24">
        <f ca="1">OFFSET(COM!S$247,$E115,0)</f>
        <v>24.716337103932801</v>
      </c>
      <c r="Q115" s="24">
        <f ca="1">OFFSET(COM!T$247,$E115,0)</f>
        <v>24.460738246522979</v>
      </c>
      <c r="R115" s="24">
        <f ca="1">OFFSET(COM!U$247,$E115,0)</f>
        <v>24.205749746519835</v>
      </c>
      <c r="S115" s="24">
        <f ca="1">OFFSET(COM!V$247,$E115,0)</f>
        <v>23.956808139115232</v>
      </c>
      <c r="T115" s="208">
        <f ca="1">OFFSET(COM!W$247,$E115,0)</f>
        <v>23.708884403478052</v>
      </c>
      <c r="U115" s="24">
        <f ca="1">OFFSET(COM!X$247,$E115,0)</f>
        <v>23.464382649970371</v>
      </c>
      <c r="V115" s="24">
        <f ca="1">OFFSET(COM!Y$247,$E115,0)</f>
        <v>23.219370927584517</v>
      </c>
      <c r="W115" s="24">
        <f ca="1">OFFSET(COM!Z$247,$E115,0)</f>
        <v>22.973828941163461</v>
      </c>
      <c r="X115" s="24">
        <f ca="1">OFFSET(COM!AA$247,$E115,0)</f>
        <v>22.732062073160023</v>
      </c>
      <c r="Y115" s="220">
        <f ca="1">OFFSET(COM!AB$247,$E115,0)</f>
        <v>22.486855538649777</v>
      </c>
      <c r="Z115" s="24">
        <f ca="1">OFFSET(COM!AC$247,$E115,0)</f>
        <v>22.396310549189252</v>
      </c>
      <c r="AA115" s="24">
        <f ca="1">OFFSET(COM!AD$247,$E115,0)</f>
        <v>22.310228006005637</v>
      </c>
      <c r="AB115" s="24">
        <f ca="1">OFFSET(COM!AE$247,$E115,0)</f>
        <v>22.227505326477971</v>
      </c>
      <c r="AC115" s="24">
        <f ca="1">OFFSET(COM!AF$247,$E115,0)</f>
        <v>22.148536683405133</v>
      </c>
      <c r="AD115" s="24">
        <f ca="1">OFFSET(COM!AG$247,$E115,0)</f>
        <v>22.065709543633044</v>
      </c>
      <c r="AE115" s="24">
        <f ca="1">OFFSET(COM!AH$247,$E115,0)</f>
        <v>21.984984029525091</v>
      </c>
      <c r="AF115" s="24">
        <f ca="1">OFFSET(COM!AI$247,$E115,0)</f>
        <v>21.914751940838528</v>
      </c>
      <c r="AG115" s="24">
        <f ca="1">OFFSET(COM!AJ$247,$E115,0)</f>
        <v>21.850269549514209</v>
      </c>
      <c r="AH115" s="24">
        <f ca="1">OFFSET(COM!AK$247,$E115,0)</f>
        <v>21.790216686449757</v>
      </c>
      <c r="AI115" s="24">
        <f ca="1">OFFSET(COM!AL$247,$E115,0)</f>
        <v>21.732944131236543</v>
      </c>
      <c r="AJ115" s="24">
        <f ca="1">OFFSET(COM!AM$247,$E115,0)</f>
        <v>21.502187764930191</v>
      </c>
      <c r="AK115" s="24">
        <f ca="1">OFFSET(COM!AN$247,$E115,0)</f>
        <v>21.360135387943586</v>
      </c>
      <c r="AL115" s="24">
        <f ca="1">OFFSET(COM!AO$247,$E115,0)</f>
        <v>21.360135387943586</v>
      </c>
      <c r="AM115" s="24">
        <f ca="1">OFFSET(COM!AP$247,$E115,0)</f>
        <v>21.360135387943586</v>
      </c>
    </row>
    <row r="116" spans="1:39">
      <c r="A116" s="36" t="s">
        <v>246</v>
      </c>
      <c r="B116">
        <v>3.1678360284579998</v>
      </c>
      <c r="E116" s="140">
        <f>MATCH(F116,COM!$D$248:$D$266,0)</f>
        <v>8</v>
      </c>
      <c r="F116" s="4" t="str">
        <f t="shared" si="1"/>
        <v>CET</v>
      </c>
      <c r="G116" s="24">
        <f ca="1">OFFSET(COM!J$247,$E116,0)</f>
        <v>3.5593512487513528</v>
      </c>
      <c r="H116" s="24">
        <f ca="1">OFFSET(COM!K$247,$E116,0)</f>
        <v>3.4629190197396977</v>
      </c>
      <c r="I116" s="24">
        <f ca="1">OFFSET(COM!L$247,$E116,0)</f>
        <v>3.3741202256258949</v>
      </c>
      <c r="J116" s="24">
        <f ca="1">OFFSET(COM!M$247,$E116,0)</f>
        <v>3.2775929371744406</v>
      </c>
      <c r="K116" s="24">
        <f ca="1">OFFSET(COM!N$247,$E116,0)</f>
        <v>3.176983059718149</v>
      </c>
      <c r="L116" s="24">
        <f ca="1">OFFSET(COM!O$247,$E116,0)</f>
        <v>3.0654245097100388</v>
      </c>
      <c r="M116" s="24">
        <f ca="1">OFFSET(COM!P$247,$E116,0)</f>
        <v>3.0939051851807302</v>
      </c>
      <c r="N116" s="24">
        <f ca="1">OFFSET(COM!Q$247,$E116,0)</f>
        <v>3.1284350758067578</v>
      </c>
      <c r="O116" s="208">
        <f ca="1">OFFSET(COM!R$247,$E116,0)</f>
        <v>3.1284350758067578</v>
      </c>
      <c r="P116" s="24">
        <f ca="1">OFFSET(COM!S$247,$E116,0)</f>
        <v>3.1220857187834037</v>
      </c>
      <c r="Q116" s="24">
        <f ca="1">OFFSET(COM!T$247,$E116,0)</f>
        <v>3.1072898931326955</v>
      </c>
      <c r="R116" s="24">
        <f ca="1">OFFSET(COM!U$247,$E116,0)</f>
        <v>3.0934183179299066</v>
      </c>
      <c r="S116" s="24">
        <f ca="1">OFFSET(COM!V$247,$E116,0)</f>
        <v>3.0838686288178505</v>
      </c>
      <c r="T116" s="208">
        <f ca="1">OFFSET(COM!W$247,$E116,0)</f>
        <v>3.0756481055324305</v>
      </c>
      <c r="U116" s="24">
        <f ca="1">OFFSET(COM!X$247,$E116,0)</f>
        <v>3.0703289478267601</v>
      </c>
      <c r="V116" s="24">
        <f ca="1">OFFSET(COM!Y$247,$E116,0)</f>
        <v>3.0655579665408825</v>
      </c>
      <c r="W116" s="24">
        <f ca="1">OFFSET(COM!Z$247,$E116,0)</f>
        <v>3.0613967484737667</v>
      </c>
      <c r="X116" s="24">
        <f ca="1">OFFSET(COM!AA$247,$E116,0)</f>
        <v>3.0606710071926009</v>
      </c>
      <c r="Y116" s="220">
        <f ca="1">OFFSET(COM!AB$247,$E116,0)</f>
        <v>3.0589102247964317</v>
      </c>
      <c r="Z116" s="24">
        <f ca="1">OFFSET(COM!AC$247,$E116,0)</f>
        <v>3.1315669362992105</v>
      </c>
      <c r="AA116" s="24">
        <f ca="1">OFFSET(COM!AD$247,$E116,0)</f>
        <v>3.2070887773904468</v>
      </c>
      <c r="AB116" s="24">
        <f ca="1">OFFSET(COM!AE$247,$E116,0)</f>
        <v>3.284767830955849</v>
      </c>
      <c r="AC116" s="24">
        <f ca="1">OFFSET(COM!AF$247,$E116,0)</f>
        <v>3.3648571770503835</v>
      </c>
      <c r="AD116" s="24">
        <f ca="1">OFFSET(COM!AG$247,$E116,0)</f>
        <v>3.4424691615423333</v>
      </c>
      <c r="AE116" s="24">
        <f ca="1">OFFSET(COM!AH$247,$E116,0)</f>
        <v>3.5214305023067278</v>
      </c>
      <c r="AF116" s="24">
        <f ca="1">OFFSET(COM!AI$247,$E116,0)</f>
        <v>3.6071291843842666</v>
      </c>
      <c r="AG116" s="24">
        <f ca="1">OFFSET(COM!AJ$247,$E116,0)</f>
        <v>3.6965194802124262</v>
      </c>
      <c r="AH116" s="24">
        <f ca="1">OFFSET(COM!AK$247,$E116,0)</f>
        <v>3.7887537704984999</v>
      </c>
      <c r="AI116" s="24">
        <f ca="1">OFFSET(COM!AL$247,$E116,0)</f>
        <v>3.8827731673820072</v>
      </c>
      <c r="AJ116" s="24">
        <f ca="1">OFFSET(COM!AM$247,$E116,0)</f>
        <v>4.3885724460176121</v>
      </c>
      <c r="AK116" s="24">
        <f ca="1">OFFSET(COM!AN$247,$E116,0)</f>
        <v>4.9513244381748169</v>
      </c>
      <c r="AL116" s="24">
        <f ca="1">OFFSET(COM!AO$247,$E116,0)</f>
        <v>4.9513244381748169</v>
      </c>
      <c r="AM116" s="24">
        <f ca="1">OFFSET(COM!AP$247,$E116,0)</f>
        <v>4.9513244381748169</v>
      </c>
    </row>
    <row r="117" spans="1:39">
      <c r="A117" s="36" t="s">
        <v>244</v>
      </c>
      <c r="B117">
        <v>31.577350492680001</v>
      </c>
      <c r="E117" s="140">
        <f>MATCH(F117,COM!$D$248:$D$266,0)</f>
        <v>6</v>
      </c>
      <c r="F117" s="4" t="str">
        <f t="shared" si="1"/>
        <v>CEW</v>
      </c>
      <c r="G117" s="24">
        <f ca="1">OFFSET(COM!J$247,$E117,0)</f>
        <v>9.6831090230750316</v>
      </c>
      <c r="H117" s="24">
        <f ca="1">OFFSET(COM!K$247,$E117,0)</f>
        <v>10.370298222877517</v>
      </c>
      <c r="I117" s="24">
        <f ca="1">OFFSET(COM!L$247,$E117,0)</f>
        <v>11.100800089110525</v>
      </c>
      <c r="J117" s="24">
        <f ca="1">OFFSET(COM!M$247,$E117,0)</f>
        <v>11.828664869540164</v>
      </c>
      <c r="K117" s="24">
        <f ca="1">OFFSET(COM!N$247,$E117,0)</f>
        <v>12.563458496281971</v>
      </c>
      <c r="L117" s="24">
        <f ca="1">OFFSET(COM!O$247,$E117,0)</f>
        <v>13.273861719969343</v>
      </c>
      <c r="M117" s="24">
        <f ca="1">OFFSET(COM!P$247,$E117,0)</f>
        <v>13.192336157010708</v>
      </c>
      <c r="N117" s="24">
        <f ca="1">OFFSET(COM!Q$247,$E117,0)</f>
        <v>13.116049440758747</v>
      </c>
      <c r="O117" s="208">
        <f ca="1">OFFSET(COM!R$247,$E117,0)</f>
        <v>13.009858546998991</v>
      </c>
      <c r="P117" s="24">
        <f ca="1">OFFSET(COM!S$247,$E117,0)</f>
        <v>12.884373754730767</v>
      </c>
      <c r="Q117" s="24">
        <f ca="1">OFFSET(COM!T$247,$E117,0)</f>
        <v>12.751132684409455</v>
      </c>
      <c r="R117" s="24">
        <f ca="1">OFFSET(COM!U$247,$E117,0)</f>
        <v>12.618209787162034</v>
      </c>
      <c r="S117" s="24">
        <f ca="1">OFFSET(COM!V$247,$E117,0)</f>
        <v>12.488439073183789</v>
      </c>
      <c r="T117" s="208">
        <f ca="1">OFFSET(COM!W$247,$E117,0)</f>
        <v>12.359198965347979</v>
      </c>
      <c r="U117" s="24">
        <f ca="1">OFFSET(COM!X$247,$E117,0)</f>
        <v>12.231742701799174</v>
      </c>
      <c r="V117" s="24">
        <f ca="1">OFFSET(COM!Y$247,$E117,0)</f>
        <v>12.104020596689699</v>
      </c>
      <c r="W117" s="24">
        <f ca="1">OFFSET(COM!Z$247,$E117,0)</f>
        <v>11.976022070361761</v>
      </c>
      <c r="X117" s="24">
        <f ca="1">OFFSET(COM!AA$247,$E117,0)</f>
        <v>11.84999147465625</v>
      </c>
      <c r="Y117" s="220">
        <f ca="1">OFFSET(COM!AB$247,$E117,0)</f>
        <v>11.7221678159787</v>
      </c>
      <c r="Z117" s="24">
        <f ca="1">OFFSET(COM!AC$247,$E117,0)</f>
        <v>11.674967638989616</v>
      </c>
      <c r="AA117" s="24">
        <f ca="1">OFFSET(COM!AD$247,$E117,0)</f>
        <v>11.6300936896066</v>
      </c>
      <c r="AB117" s="24">
        <f ca="1">OFFSET(COM!AE$247,$E117,0)</f>
        <v>11.586971202785616</v>
      </c>
      <c r="AC117" s="24">
        <f ca="1">OFFSET(COM!AF$247,$E117,0)</f>
        <v>11.545805656775467</v>
      </c>
      <c r="AD117" s="24">
        <f ca="1">OFFSET(COM!AG$247,$E117,0)</f>
        <v>11.502628715897398</v>
      </c>
      <c r="AE117" s="24">
        <f ca="1">OFFSET(COM!AH$247,$E117,0)</f>
        <v>11.46054733098441</v>
      </c>
      <c r="AF117" s="24">
        <f ca="1">OFFSET(COM!AI$247,$E117,0)</f>
        <v>11.423936061425822</v>
      </c>
      <c r="AG117" s="24">
        <f ca="1">OFFSET(COM!AJ$247,$E117,0)</f>
        <v>11.390322050299183</v>
      </c>
      <c r="AH117" s="24">
        <f ca="1">OFFSET(COM!AK$247,$E117,0)</f>
        <v>11.35901710695299</v>
      </c>
      <c r="AI117" s="24">
        <f ca="1">OFFSET(COM!AL$247,$E117,0)</f>
        <v>11.329161509655036</v>
      </c>
      <c r="AJ117" s="24">
        <f ca="1">OFFSET(COM!AM$247,$E117,0)</f>
        <v>11.208870575878223</v>
      </c>
      <c r="AK117" s="24">
        <f ca="1">OFFSET(COM!AN$247,$E117,0)</f>
        <v>11.134820124545282</v>
      </c>
      <c r="AL117" s="24">
        <f ca="1">OFFSET(COM!AO$247,$E117,0)</f>
        <v>11.134820124545282</v>
      </c>
      <c r="AM117" s="24">
        <f ca="1">OFFSET(COM!AP$247,$E117,0)</f>
        <v>11.134820124545282</v>
      </c>
    </row>
    <row r="118" spans="1:39">
      <c r="A118" s="36" t="s">
        <v>248</v>
      </c>
      <c r="B118" t="s">
        <v>386</v>
      </c>
      <c r="E118" s="140">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1.8563029696297695</v>
      </c>
      <c r="N118" s="24">
        <f ca="1">OFFSET(COM!Q$247,$E118,0)</f>
        <v>3.902496716975357</v>
      </c>
      <c r="O118" s="208">
        <f ca="1">OFFSET(COM!R$247,$E118,0)</f>
        <v>4.864763439567338</v>
      </c>
      <c r="P118" s="24">
        <f ca="1">OFFSET(COM!S$247,$E118,0)</f>
        <v>7.6278262705618154</v>
      </c>
      <c r="Q118" s="24">
        <f ca="1">OFFSET(COM!T$247,$E118,0)</f>
        <v>10.189731743711409</v>
      </c>
      <c r="R118" s="24">
        <f ca="1">OFFSET(COM!U$247,$E118,0)</f>
        <v>12.850571977682341</v>
      </c>
      <c r="S118" s="24">
        <f ca="1">OFFSET(COM!V$247,$E118,0)</f>
        <v>15.732728700910927</v>
      </c>
      <c r="T118" s="208">
        <f ca="1">OFFSET(COM!W$247,$E118,0)</f>
        <v>18.746573662780566</v>
      </c>
      <c r="U118" s="24">
        <f ca="1">OFFSET(COM!X$247,$E118,0)</f>
        <v>21.957168433317648</v>
      </c>
      <c r="V118" s="24">
        <f ca="1">OFFSET(COM!Y$247,$E118,0)</f>
        <v>25.292345663921555</v>
      </c>
      <c r="W118" s="24">
        <f ca="1">OFFSET(COM!Z$247,$E118,0)</f>
        <v>28.763305613441954</v>
      </c>
      <c r="X118" s="24">
        <f ca="1">OFFSET(COM!AA$247,$E118,0)</f>
        <v>32.488156665483764</v>
      </c>
      <c r="Y118" s="220">
        <f ca="1">OFFSET(COM!AB$247,$E118,0)</f>
        <v>36.310523243368543</v>
      </c>
      <c r="Z118" s="24">
        <f ca="1">OFFSET(COM!AC$247,$E118,0)</f>
        <v>40.085614241903507</v>
      </c>
      <c r="AA118" s="24">
        <f ca="1">OFFSET(COM!AD$247,$E118,0)</f>
        <v>43.972005023782216</v>
      </c>
      <c r="AB118" s="24">
        <f ca="1">OFFSET(COM!AE$247,$E118,0)</f>
        <v>47.942195603746171</v>
      </c>
      <c r="AC118" s="24">
        <f ca="1">OFFSET(COM!AF$247,$E118,0)</f>
        <v>52.006017214351175</v>
      </c>
      <c r="AD118" s="24">
        <f ca="1">OFFSET(COM!AG$247,$E118,0)</f>
        <v>55.973602406630619</v>
      </c>
      <c r="AE118" s="24">
        <f ca="1">OFFSET(COM!AH$247,$E118,0)</f>
        <v>59.993605144483453</v>
      </c>
      <c r="AF118" s="24">
        <f ca="1">OFFSET(COM!AI$247,$E118,0)</f>
        <v>64.275328898895623</v>
      </c>
      <c r="AG118" s="24">
        <f ca="1">OFFSET(COM!AJ$247,$E118,0)</f>
        <v>68.700458317152155</v>
      </c>
      <c r="AH118" s="24">
        <f ca="1">OFFSET(COM!AK$247,$E118,0)</f>
        <v>73.236066496394457</v>
      </c>
      <c r="AI118" s="24">
        <f ca="1">OFFSET(COM!AL$247,$E118,0)</f>
        <v>77.841019524239854</v>
      </c>
      <c r="AJ118" s="24">
        <f ca="1">OFFSET(COM!AM$247,$E118,0)</f>
        <v>101.76445457080226</v>
      </c>
      <c r="AK118" s="24">
        <f ca="1">OFFSET(COM!AN$247,$E118,0)</f>
        <v>127.85604571309578</v>
      </c>
      <c r="AL118" s="24">
        <f ca="1">OFFSET(COM!AO$247,$E118,0)</f>
        <v>127.85604571309578</v>
      </c>
      <c r="AM118" s="24">
        <f ca="1">OFFSET(COM!AP$247,$E118,0)</f>
        <v>127.85604571309578</v>
      </c>
    </row>
    <row r="119" spans="1:39">
      <c r="A119" s="36" t="s">
        <v>254</v>
      </c>
      <c r="B119" t="s">
        <v>386</v>
      </c>
      <c r="E119" s="140">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208">
        <f ca="1">OFFSET(COM!R$247,$E119,0)</f>
        <v>0</v>
      </c>
      <c r="P119" s="24">
        <f ca="1">OFFSET(COM!S$247,$E119,0)</f>
        <v>0</v>
      </c>
      <c r="Q119" s="24">
        <f ca="1">OFFSET(COM!T$247,$E119,0)</f>
        <v>0</v>
      </c>
      <c r="R119" s="24">
        <f ca="1">OFFSET(COM!U$247,$E119,0)</f>
        <v>0</v>
      </c>
      <c r="S119" s="24">
        <f ca="1">OFFSET(COM!V$247,$E119,0)</f>
        <v>0</v>
      </c>
      <c r="T119" s="208">
        <f ca="1">OFFSET(COM!W$247,$E119,0)</f>
        <v>0</v>
      </c>
      <c r="U119" s="24">
        <f ca="1">OFFSET(COM!X$247,$E119,0)</f>
        <v>0</v>
      </c>
      <c r="V119" s="24">
        <f ca="1">OFFSET(COM!Y$247,$E119,0)</f>
        <v>0</v>
      </c>
      <c r="W119" s="24">
        <f ca="1">OFFSET(COM!Z$247,$E119,0)</f>
        <v>0</v>
      </c>
      <c r="X119" s="24">
        <f ca="1">OFFSET(COM!AA$247,$E119,0)</f>
        <v>0</v>
      </c>
      <c r="Y119" s="220">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6" t="s">
        <v>249</v>
      </c>
      <c r="B120" t="s">
        <v>386</v>
      </c>
      <c r="E120" s="140">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0.17702881677566448</v>
      </c>
      <c r="N120" s="24">
        <f ca="1">OFFSET(COM!Q$247,$E120,0)</f>
        <v>0.37216682167720194</v>
      </c>
      <c r="O120" s="208">
        <f ca="1">OFFSET(COM!R$247,$E120,0)</f>
        <v>0.46393467536814875</v>
      </c>
      <c r="P120" s="24">
        <f ca="1">OFFSET(COM!S$247,$E120,0)</f>
        <v>0.72743785973536834</v>
      </c>
      <c r="Q120" s="24">
        <f ca="1">OFFSET(COM!T$247,$E120,0)</f>
        <v>0.9717574034859372</v>
      </c>
      <c r="R120" s="24">
        <f ca="1">OFFSET(COM!U$247,$E120,0)</f>
        <v>1.2255119930952529</v>
      </c>
      <c r="S120" s="24">
        <f ca="1">OFFSET(COM!V$247,$E120,0)</f>
        <v>1.500372725865047</v>
      </c>
      <c r="T120" s="208">
        <f ca="1">OFFSET(COM!W$247,$E120,0)</f>
        <v>1.7877920837360803</v>
      </c>
      <c r="U120" s="24">
        <f ca="1">OFFSET(COM!X$247,$E120,0)</f>
        <v>2.0939747503983401</v>
      </c>
      <c r="V120" s="24">
        <f ca="1">OFFSET(COM!Y$247,$E120,0)</f>
        <v>2.4120383900792617</v>
      </c>
      <c r="W120" s="24">
        <f ca="1">OFFSET(COM!Z$247,$E120,0)</f>
        <v>2.7430511304520615</v>
      </c>
      <c r="X120" s="24">
        <f ca="1">OFFSET(COM!AA$247,$E120,0)</f>
        <v>3.0982765355700987</v>
      </c>
      <c r="Y120" s="220">
        <f ca="1">OFFSET(COM!AB$247,$E120,0)</f>
        <v>3.4628016393039727</v>
      </c>
      <c r="Z120" s="24">
        <f ca="1">OFFSET(COM!AC$247,$E120,0)</f>
        <v>3.8228182441496763</v>
      </c>
      <c r="AA120" s="24">
        <f ca="1">OFFSET(COM!AD$247,$E120,0)</f>
        <v>4.1934491017736644</v>
      </c>
      <c r="AB120" s="24">
        <f ca="1">OFFSET(COM!AE$247,$E120,0)</f>
        <v>4.57207163928169</v>
      </c>
      <c r="AC120" s="24">
        <f ca="1">OFFSET(COM!AF$247,$E120,0)</f>
        <v>4.959623425322448</v>
      </c>
      <c r="AD120" s="24">
        <f ca="1">OFFSET(COM!AG$247,$E120,0)</f>
        <v>5.3379974965474499</v>
      </c>
      <c r="AE120" s="24">
        <f ca="1">OFFSET(COM!AH$247,$E120,0)</f>
        <v>5.7213704371504353</v>
      </c>
      <c r="AF120" s="24">
        <f ca="1">OFFSET(COM!AI$247,$E120,0)</f>
        <v>6.1297027527287593</v>
      </c>
      <c r="AG120" s="24">
        <f ca="1">OFFSET(COM!AJ$247,$E120,0)</f>
        <v>6.5517111413429188</v>
      </c>
      <c r="AH120" s="24">
        <f ca="1">OFFSET(COM!AK$247,$E120,0)</f>
        <v>6.9842554848395153</v>
      </c>
      <c r="AI120" s="24">
        <f ca="1">OFFSET(COM!AL$247,$E120,0)</f>
        <v>7.4234129926193866</v>
      </c>
      <c r="AJ120" s="24">
        <f ca="1">OFFSET(COM!AM$247,$E120,0)</f>
        <v>9.7049033898184405</v>
      </c>
      <c r="AK120" s="24">
        <f ca="1">OFFSET(COM!AN$247,$E120,0)</f>
        <v>12.193162894481013</v>
      </c>
      <c r="AL120" s="24">
        <f ca="1">OFFSET(COM!AO$247,$E120,0)</f>
        <v>12.193162894481013</v>
      </c>
      <c r="AM120" s="24">
        <f ca="1">OFFSET(COM!AP$247,$E120,0)</f>
        <v>12.193162894481013</v>
      </c>
    </row>
    <row r="121" spans="1:39">
      <c r="A121" s="36" t="s">
        <v>250</v>
      </c>
      <c r="B121" t="s">
        <v>386</v>
      </c>
      <c r="E121" s="140">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0.13240848743086706</v>
      </c>
      <c r="N121" s="24">
        <f ca="1">OFFSET(COM!Q$247,$E121,0)</f>
        <v>0.27836172001690523</v>
      </c>
      <c r="O121" s="208">
        <f ca="1">OFFSET(COM!R$247,$E121,0)</f>
        <v>0.34699937417573767</v>
      </c>
      <c r="P121" s="24">
        <f ca="1">OFFSET(COM!S$247,$E121,0)</f>
        <v>0.54408625929848031</v>
      </c>
      <c r="Q121" s="24">
        <f ca="1">OFFSET(COM!T$247,$E121,0)</f>
        <v>0.72682476383702166</v>
      </c>
      <c r="R121" s="24">
        <f ca="1">OFFSET(COM!U$247,$E121,0)</f>
        <v>0.91662019940945594</v>
      </c>
      <c r="S121" s="24">
        <f ca="1">OFFSET(COM!V$247,$E121,0)</f>
        <v>1.1222019489971937</v>
      </c>
      <c r="T121" s="208">
        <f ca="1">OFFSET(COM!W$247,$E121,0)</f>
        <v>1.337176906900692</v>
      </c>
      <c r="U121" s="24">
        <f ca="1">OFFSET(COM!X$247,$E121,0)</f>
        <v>1.5661858587126112</v>
      </c>
      <c r="V121" s="24">
        <f ca="1">OFFSET(COM!Y$247,$E121,0)</f>
        <v>1.8040811697922501</v>
      </c>
      <c r="W121" s="24">
        <f ca="1">OFFSET(COM!Z$247,$E121,0)</f>
        <v>2.0516617449290644</v>
      </c>
      <c r="X121" s="24">
        <f ca="1">OFFSET(COM!AA$247,$E121,0)</f>
        <v>2.317352153108768</v>
      </c>
      <c r="Y121" s="220">
        <f ca="1">OFFSET(COM!AB$247,$E121,0)</f>
        <v>2.5899982595172308</v>
      </c>
      <c r="Z121" s="24">
        <f ca="1">OFFSET(COM!AC$247,$E121,0)</f>
        <v>2.8592722396852364</v>
      </c>
      <c r="AA121" s="24">
        <f ca="1">OFFSET(COM!AD$247,$E121,0)</f>
        <v>3.1364851372632954</v>
      </c>
      <c r="AB121" s="24">
        <f ca="1">OFFSET(COM!AE$247,$E121,0)</f>
        <v>3.419675402056197</v>
      </c>
      <c r="AC121" s="24">
        <f ca="1">OFFSET(COM!AF$247,$E121,0)</f>
        <v>3.7095442873903606</v>
      </c>
      <c r="AD121" s="24">
        <f ca="1">OFFSET(COM!AG$247,$E121,0)</f>
        <v>3.9925487121301453</v>
      </c>
      <c r="AE121" s="24">
        <f ca="1">OFFSET(COM!AH$247,$E121,0)</f>
        <v>4.2792920351197106</v>
      </c>
      <c r="AF121" s="24">
        <f ca="1">OFFSET(COM!AI$247,$E121,0)</f>
        <v>4.5847036921573556</v>
      </c>
      <c r="AG121" s="24">
        <f ca="1">OFFSET(COM!AJ$247,$E121,0)</f>
        <v>4.9003443513295162</v>
      </c>
      <c r="AH121" s="24">
        <f ca="1">OFFSET(COM!AK$247,$E121,0)</f>
        <v>5.2238653650960991</v>
      </c>
      <c r="AI121" s="24">
        <f ca="1">OFFSET(COM!AL$247,$E121,0)</f>
        <v>5.5523326870165128</v>
      </c>
      <c r="AJ121" s="24">
        <f ca="1">OFFSET(COM!AM$247,$E121,0)</f>
        <v>7.2587706448772922</v>
      </c>
      <c r="AK121" s="24">
        <f ca="1">OFFSET(COM!AN$247,$E121,0)</f>
        <v>9.1198613042887384</v>
      </c>
      <c r="AL121" s="24">
        <f ca="1">OFFSET(COM!AO$247,$E121,0)</f>
        <v>9.1198613042887384</v>
      </c>
      <c r="AM121" s="24">
        <f ca="1">OFFSET(COM!AP$247,$E121,0)</f>
        <v>9.1198613042887384</v>
      </c>
    </row>
    <row r="122" spans="1:39">
      <c r="A122" s="36" t="s">
        <v>251</v>
      </c>
      <c r="B122" t="s">
        <v>386</v>
      </c>
      <c r="E122" s="140">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1.6154122080425941</v>
      </c>
      <c r="N122" s="24">
        <f ca="1">OFFSET(COM!Q$247,$E122,0)</f>
        <v>3.3960732388988562</v>
      </c>
      <c r="O122" s="208">
        <f ca="1">OFFSET(COM!R$247,$E122,0)</f>
        <v>4.2334674770701453</v>
      </c>
      <c r="P122" s="24">
        <f ca="1">OFFSET(COM!S$247,$E122,0)</f>
        <v>6.6379701373591766</v>
      </c>
      <c r="Q122" s="24">
        <f ca="1">OFFSET(COM!T$247,$E122,0)</f>
        <v>8.8674194486439628</v>
      </c>
      <c r="R122" s="24">
        <f ca="1">OFFSET(COM!U$247,$E122,0)</f>
        <v>11.182964846098583</v>
      </c>
      <c r="S122" s="24">
        <f ca="1">OFFSET(COM!V$247,$E122,0)</f>
        <v>13.691106691674626</v>
      </c>
      <c r="T122" s="208">
        <f ca="1">OFFSET(COM!W$247,$E122,0)</f>
        <v>16.313847711974187</v>
      </c>
      <c r="U122" s="24">
        <f ca="1">OFFSET(COM!X$247,$E122,0)</f>
        <v>19.107806495780753</v>
      </c>
      <c r="V122" s="24">
        <f ca="1">OFFSET(COM!Y$247,$E122,0)</f>
        <v>22.010180786211258</v>
      </c>
      <c r="W122" s="24">
        <f ca="1">OFFSET(COM!Z$247,$E122,0)</f>
        <v>25.03071739462947</v>
      </c>
      <c r="X122" s="24">
        <f ca="1">OFFSET(COM!AA$247,$E122,0)</f>
        <v>28.272197886258876</v>
      </c>
      <c r="Y122" s="220">
        <f ca="1">OFFSET(COM!AB$247,$E122,0)</f>
        <v>31.598539401922448</v>
      </c>
      <c r="Z122" s="24">
        <f ca="1">OFFSET(COM!AC$247,$E122,0)</f>
        <v>34.88374024751576</v>
      </c>
      <c r="AA122" s="24">
        <f ca="1">OFFSET(COM!AD$247,$E122,0)</f>
        <v>38.26579760398446</v>
      </c>
      <c r="AB122" s="24">
        <f ca="1">OFFSET(COM!AE$247,$E122,0)</f>
        <v>41.720780134346207</v>
      </c>
      <c r="AC122" s="24">
        <f ca="1">OFFSET(COM!AF$247,$E122,0)</f>
        <v>45.257243280977889</v>
      </c>
      <c r="AD122" s="24">
        <f ca="1">OFFSET(COM!AG$247,$E122,0)</f>
        <v>48.709958522464326</v>
      </c>
      <c r="AE122" s="24">
        <f ca="1">OFFSET(COM!AH$247,$E122,0)</f>
        <v>52.208289131926918</v>
      </c>
      <c r="AF122" s="24">
        <f ca="1">OFFSET(COM!AI$247,$E122,0)</f>
        <v>55.934377457758181</v>
      </c>
      <c r="AG122" s="24">
        <f ca="1">OFFSET(COM!AJ$247,$E122,0)</f>
        <v>59.785261823819255</v>
      </c>
      <c r="AH122" s="24">
        <f ca="1">OFFSET(COM!AK$247,$E122,0)</f>
        <v>63.73228822172841</v>
      </c>
      <c r="AI122" s="24">
        <f ca="1">OFFSET(COM!AL$247,$E122,0)</f>
        <v>67.739660649801294</v>
      </c>
      <c r="AJ122" s="24">
        <f ca="1">OFFSET(COM!AM$247,$E122,0)</f>
        <v>88.558573114418408</v>
      </c>
      <c r="AK122" s="24">
        <f ca="1">OFFSET(COM!AN$247,$E122,0)</f>
        <v>111.26428201436339</v>
      </c>
      <c r="AL122" s="24">
        <f ca="1">OFFSET(COM!AO$247,$E122,0)</f>
        <v>111.26428201436339</v>
      </c>
      <c r="AM122" s="24">
        <f ca="1">OFFSET(COM!AP$247,$E122,0)</f>
        <v>111.26428201436339</v>
      </c>
    </row>
    <row r="123" spans="1:39">
      <c r="A123" s="36" t="s">
        <v>256</v>
      </c>
      <c r="B123" t="s">
        <v>386</v>
      </c>
      <c r="E123" s="140">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0.26234508327730677</v>
      </c>
      <c r="N123" s="24">
        <f ca="1">OFFSET(COM!Q$247,$E123,0)</f>
        <v>0.55152679436186447</v>
      </c>
      <c r="O123" s="208">
        <f ca="1">OFFSET(COM!R$247,$E123,0)</f>
        <v>0.68752072832821642</v>
      </c>
      <c r="P123" s="24">
        <f ca="1">OFFSET(COM!S$247,$E123,0)</f>
        <v>1.0780151467270893</v>
      </c>
      <c r="Q123" s="24">
        <f ca="1">OFFSET(COM!T$247,$E123,0)</f>
        <v>1.440080669272725</v>
      </c>
      <c r="R123" s="24">
        <f ca="1">OFFSET(COM!U$247,$E123,0)</f>
        <v>1.8161283103040471</v>
      </c>
      <c r="S123" s="24">
        <f ca="1">OFFSET(COM!V$247,$E123,0)</f>
        <v>2.2234538697327739</v>
      </c>
      <c r="T123" s="208">
        <f ca="1">OFFSET(COM!W$247,$E123,0)</f>
        <v>2.6493904869996618</v>
      </c>
      <c r="U123" s="24">
        <f ca="1">OFFSET(COM!X$247,$E123,0)</f>
        <v>3.1031330959522432</v>
      </c>
      <c r="V123" s="24">
        <f ca="1">OFFSET(COM!Y$247,$E123,0)</f>
        <v>3.5744825268492195</v>
      </c>
      <c r="W123" s="24">
        <f ca="1">OFFSET(COM!Z$247,$E123,0)</f>
        <v>4.0650216747722219</v>
      </c>
      <c r="X123" s="24">
        <f ca="1">OFFSET(COM!AA$247,$E123,0)</f>
        <v>4.5914424021162974</v>
      </c>
      <c r="Y123" s="220">
        <f ca="1">OFFSET(COM!AB$247,$E123,0)</f>
        <v>5.1316446722185631</v>
      </c>
      <c r="Z123" s="24">
        <f ca="1">OFFSET(COM!AC$247,$E123,0)</f>
        <v>5.6651656429831538</v>
      </c>
      <c r="AA123" s="24">
        <f ca="1">OFFSET(COM!AD$247,$E123,0)</f>
        <v>6.214416239464974</v>
      </c>
      <c r="AB123" s="24">
        <f ca="1">OFFSET(COM!AE$247,$E123,0)</f>
        <v>6.7755099808250696</v>
      </c>
      <c r="AC123" s="24">
        <f ca="1">OFFSET(COM!AF$247,$E123,0)</f>
        <v>7.3498362822428396</v>
      </c>
      <c r="AD123" s="24">
        <f ca="1">OFFSET(COM!AG$247,$E123,0)</f>
        <v>7.9105618128850477</v>
      </c>
      <c r="AE123" s="24">
        <f ca="1">OFFSET(COM!AH$247,$E123,0)</f>
        <v>8.4786953397345712</v>
      </c>
      <c r="AF123" s="24">
        <f ca="1">OFFSET(COM!AI$247,$E123,0)</f>
        <v>9.0838170215394101</v>
      </c>
      <c r="AG123" s="24">
        <f ca="1">OFFSET(COM!AJ$247,$E123,0)</f>
        <v>9.7092057456531826</v>
      </c>
      <c r="AH123" s="24">
        <f ca="1">OFFSET(COM!AK$247,$E123,0)</f>
        <v>10.350208063143347</v>
      </c>
      <c r="AI123" s="24">
        <f ca="1">OFFSET(COM!AL$247,$E123,0)</f>
        <v>11.001010655900679</v>
      </c>
      <c r="AJ123" s="24">
        <f ca="1">OFFSET(COM!AM$247,$E123,0)</f>
        <v>14.382029628693363</v>
      </c>
      <c r="AK123" s="24">
        <f ca="1">OFFSET(COM!AN$247,$E123,0)</f>
        <v>18.06946684290395</v>
      </c>
      <c r="AL123" s="24">
        <f ca="1">OFFSET(COM!AO$247,$E123,0)</f>
        <v>18.06946684290395</v>
      </c>
      <c r="AM123" s="24">
        <f ca="1">OFFSET(COM!AP$247,$E123,0)</f>
        <v>18.06946684290395</v>
      </c>
    </row>
    <row r="124" spans="1:39">
      <c r="A124" s="36" t="s">
        <v>252</v>
      </c>
      <c r="B124" t="s">
        <v>386</v>
      </c>
      <c r="E124" s="140">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0.39297187021735175</v>
      </c>
      <c r="N124" s="24">
        <f ca="1">OFFSET(COM!Q$247,$E124,0)</f>
        <v>0.82614285409064703</v>
      </c>
      <c r="O124" s="208">
        <f ca="1">OFFSET(COM!R$247,$E124,0)</f>
        <v>1.0298508477810902</v>
      </c>
      <c r="P124" s="24">
        <f ca="1">OFFSET(COM!S$247,$E124,0)</f>
        <v>1.6147801324875135</v>
      </c>
      <c r="Q124" s="24">
        <f ca="1">OFFSET(COM!T$247,$E124,0)</f>
        <v>2.1571252138534383</v>
      </c>
      <c r="R124" s="24">
        <f ca="1">OFFSET(COM!U$247,$E124,0)</f>
        <v>2.720414386041575</v>
      </c>
      <c r="S124" s="24">
        <f ca="1">OFFSET(COM!V$247,$E124,0)</f>
        <v>3.3305553685841742</v>
      </c>
      <c r="T124" s="208">
        <f ca="1">OFFSET(COM!W$247,$E124,0)</f>
        <v>3.9685742214265365</v>
      </c>
      <c r="U124" s="24">
        <f ca="1">OFFSET(COM!X$247,$E124,0)</f>
        <v>4.6482442171814</v>
      </c>
      <c r="V124" s="24">
        <f ca="1">OFFSET(COM!Y$247,$E124,0)</f>
        <v>5.3542878185005014</v>
      </c>
      <c r="W124" s="24">
        <f ca="1">OFFSET(COM!Z$247,$E124,0)</f>
        <v>6.089076075120377</v>
      </c>
      <c r="X124" s="24">
        <f ca="1">OFFSET(COM!AA$247,$E124,0)</f>
        <v>6.8776120566653933</v>
      </c>
      <c r="Y124" s="220">
        <f ca="1">OFFSET(COM!AB$247,$E124,0)</f>
        <v>7.6867916826977032</v>
      </c>
      <c r="Z124" s="24">
        <f ca="1">OFFSET(COM!AC$247,$E124,0)</f>
        <v>8.4859632587852278</v>
      </c>
      <c r="AA124" s="24">
        <f ca="1">OFFSET(COM!AD$247,$E124,0)</f>
        <v>9.3086965512148314</v>
      </c>
      <c r="AB124" s="24">
        <f ca="1">OFFSET(COM!AE$247,$E124,0)</f>
        <v>10.149169923747827</v>
      </c>
      <c r="AC124" s="24">
        <f ca="1">OFFSET(COM!AF$247,$E124,0)</f>
        <v>11.009464608762336</v>
      </c>
      <c r="AD124" s="24">
        <f ca="1">OFFSET(COM!AG$247,$E124,0)</f>
        <v>11.849386431204762</v>
      </c>
      <c r="AE124" s="24">
        <f ca="1">OFFSET(COM!AH$247,$E124,0)</f>
        <v>12.70040483715386</v>
      </c>
      <c r="AF124" s="24">
        <f ca="1">OFFSET(COM!AI$247,$E124,0)</f>
        <v>13.606828529327881</v>
      </c>
      <c r="AG124" s="24">
        <f ca="1">OFFSET(COM!AJ$247,$E124,0)</f>
        <v>14.543610623574551</v>
      </c>
      <c r="AH124" s="24">
        <f ca="1">OFFSET(COM!AK$247,$E124,0)</f>
        <v>15.503780627033333</v>
      </c>
      <c r="AI124" s="24">
        <f ca="1">OFFSET(COM!AL$247,$E124,0)</f>
        <v>16.478630655946652</v>
      </c>
      <c r="AJ124" s="24">
        <f ca="1">OFFSET(COM!AM$247,$E124,0)</f>
        <v>21.54312560428259</v>
      </c>
      <c r="AK124" s="24">
        <f ca="1">OFFSET(COM!AN$247,$E124,0)</f>
        <v>27.066610474954611</v>
      </c>
      <c r="AL124" s="24">
        <f ca="1">OFFSET(COM!AO$247,$E124,0)</f>
        <v>27.066610474954611</v>
      </c>
      <c r="AM124" s="24">
        <f ca="1">OFFSET(COM!AP$247,$E124,0)</f>
        <v>27.066610474954611</v>
      </c>
    </row>
    <row r="125" spans="1:39">
      <c r="A125" s="36" t="s">
        <v>255</v>
      </c>
      <c r="B125" t="s">
        <v>386</v>
      </c>
      <c r="E125" s="140">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208">
        <f ca="1">OFFSET(COM!R$247,$E125,0)</f>
        <v>0</v>
      </c>
      <c r="P125" s="24">
        <f ca="1">OFFSET(COM!S$247,$E125,0)</f>
        <v>0</v>
      </c>
      <c r="Q125" s="24">
        <f ca="1">OFFSET(COM!T$247,$E125,0)</f>
        <v>0</v>
      </c>
      <c r="R125" s="24">
        <f ca="1">OFFSET(COM!U$247,$E125,0)</f>
        <v>0</v>
      </c>
      <c r="S125" s="24">
        <f ca="1">OFFSET(COM!V$247,$E125,0)</f>
        <v>0</v>
      </c>
      <c r="T125" s="208">
        <f ca="1">OFFSET(COM!W$247,$E125,0)</f>
        <v>0</v>
      </c>
      <c r="U125" s="24">
        <f ca="1">OFFSET(COM!X$247,$E125,0)</f>
        <v>0</v>
      </c>
      <c r="V125" s="24">
        <f ca="1">OFFSET(COM!Y$247,$E125,0)</f>
        <v>0</v>
      </c>
      <c r="W125" s="24">
        <f ca="1">OFFSET(COM!Z$247,$E125,0)</f>
        <v>0</v>
      </c>
      <c r="X125" s="24">
        <f ca="1">OFFSET(COM!AA$247,$E125,0)</f>
        <v>0</v>
      </c>
      <c r="Y125" s="220">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6" t="s">
        <v>253</v>
      </c>
      <c r="B126" t="s">
        <v>386</v>
      </c>
      <c r="E126" s="140">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0.20485221696423084</v>
      </c>
      <c r="N126" s="24">
        <f ca="1">OFFSET(COM!Q$247,$E126,0)</f>
        <v>0.43065982075516357</v>
      </c>
      <c r="O126" s="208">
        <f ca="1">OFFSET(COM!R$247,$E126,0)</f>
        <v>0.53685071451491806</v>
      </c>
      <c r="P126" s="24">
        <f ca="1">OFFSET(COM!S$247,$E126,0)</f>
        <v>0.84176836847609915</v>
      </c>
      <c r="Q126" s="24">
        <f ca="1">OFFSET(COM!T$247,$E126,0)</f>
        <v>1.1244873127506763</v>
      </c>
      <c r="R126" s="24">
        <f ca="1">OFFSET(COM!U$247,$E126,0)</f>
        <v>1.4181241973726308</v>
      </c>
      <c r="S126" s="24">
        <f ca="1">OFFSET(COM!V$247,$E126,0)</f>
        <v>1.736184451572135</v>
      </c>
      <c r="T126" s="208">
        <f ca="1">OFFSET(COM!W$247,$E126,0)</f>
        <v>2.0687771544478997</v>
      </c>
      <c r="U126" s="24">
        <f ca="1">OFFSET(COM!X$247,$E126,0)</f>
        <v>2.4230821721516973</v>
      </c>
      <c r="V126" s="24">
        <f ca="1">OFFSET(COM!Y$247,$E126,0)</f>
        <v>2.7911354807094582</v>
      </c>
      <c r="W126" s="24">
        <f ca="1">OFFSET(COM!Z$247,$E126,0)</f>
        <v>3.1741730840997717</v>
      </c>
      <c r="X126" s="24">
        <f ca="1">OFFSET(COM!AA$247,$E126,0)</f>
        <v>3.585228826807815</v>
      </c>
      <c r="Y126" s="220">
        <f ca="1">OFFSET(COM!AB$247,$E126,0)</f>
        <v>4.0070458902615513</v>
      </c>
      <c r="Z126" s="24">
        <f ca="1">OFFSET(COM!AC$247,$E126,0)</f>
        <v>4.4236458596328427</v>
      </c>
      <c r="AA126" s="24">
        <f ca="1">OFFSET(COM!AD$247,$E126,0)</f>
        <v>4.8525283107641837</v>
      </c>
      <c r="AB126" s="24">
        <f ca="1">OFFSET(COM!AE$247,$E126,0)</f>
        <v>5.2906584842230622</v>
      </c>
      <c r="AC126" s="24">
        <f ca="1">OFFSET(COM!AF$247,$E126,0)</f>
        <v>5.7391213051631276</v>
      </c>
      <c r="AD126" s="24">
        <f ca="1">OFFSET(COM!AG$247,$E126,0)</f>
        <v>6.176963961200574</v>
      </c>
      <c r="AE126" s="24">
        <f ca="1">OFFSET(COM!AH$247,$E126,0)</f>
        <v>6.6205911527336863</v>
      </c>
      <c r="AF126" s="24">
        <f ca="1">OFFSET(COM!AI$247,$E126,0)</f>
        <v>7.0931005533379867</v>
      </c>
      <c r="AG126" s="24">
        <f ca="1">OFFSET(COM!AJ$247,$E126,0)</f>
        <v>7.5814354784629963</v>
      </c>
      <c r="AH126" s="24">
        <f ca="1">OFFSET(COM!AK$247,$E126,0)</f>
        <v>8.0819622814687548</v>
      </c>
      <c r="AI126" s="24">
        <f ca="1">OFFSET(COM!AL$247,$E126,0)</f>
        <v>8.590141631609221</v>
      </c>
      <c r="AJ126" s="24">
        <f ca="1">OFFSET(COM!AM$247,$E126,0)</f>
        <v>11.230211052855431</v>
      </c>
      <c r="AK126" s="24">
        <f ca="1">OFFSET(COM!AN$247,$E126,0)</f>
        <v>14.109547226459211</v>
      </c>
      <c r="AL126" s="24">
        <f ca="1">OFFSET(COM!AO$247,$E126,0)</f>
        <v>14.109547226459211</v>
      </c>
      <c r="AM126" s="24">
        <f ca="1">OFFSET(COM!AP$247,$E126,0)</f>
        <v>14.109547226459211</v>
      </c>
    </row>
    <row r="127" spans="1:39">
      <c r="A127" s="36" t="s">
        <v>292</v>
      </c>
      <c r="B127">
        <v>9</v>
      </c>
      <c r="E127" s="141">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18">
        <f ca="1">OFFSET(IND!R$25,$E127,0)</f>
        <v>5.0030232389251985</v>
      </c>
      <c r="P127" s="10">
        <f ca="1">OFFSET(IND!S$25,$E127,0)</f>
        <v>5.214749927719839</v>
      </c>
      <c r="Q127" s="10">
        <f ca="1">OFFSET(IND!T$25,$E127,0)</f>
        <v>5.3715845120121646</v>
      </c>
      <c r="R127" s="10">
        <f ca="1">OFFSET(IND!U$25,$E127,0)</f>
        <v>5.5323399609117985</v>
      </c>
      <c r="S127" s="10">
        <f ca="1">OFFSET(IND!V$25,$E127,0)</f>
        <v>5.7205414620625898</v>
      </c>
      <c r="T127" s="218">
        <f ca="1">OFFSET(IND!W$25,$E127,0)</f>
        <v>5.9244264216426137</v>
      </c>
      <c r="U127" s="10">
        <f ca="1">OFFSET(IND!X$25,$E127,0)</f>
        <v>6.14399483965187</v>
      </c>
      <c r="V127" s="10">
        <f ca="1">OFFSET(IND!Y$25,$E127,0)</f>
        <v>6.3792467160903588</v>
      </c>
      <c r="W127" s="10">
        <f ca="1">OFFSET(IND!Z$25,$E127,0)</f>
        <v>6.6262611863507717</v>
      </c>
      <c r="X127" s="10">
        <f ca="1">OFFSET(IND!AA$25,$E127,0)</f>
        <v>6.9046425734696513</v>
      </c>
      <c r="Y127" s="221">
        <f ca="1">OFFSET(IND!AB$25,$E127,0)</f>
        <v>7.1908656898031467</v>
      </c>
      <c r="Z127" s="10">
        <f ca="1">OFFSET(IND!AC$25,$E127,0)</f>
        <v>7.4574844831001004</v>
      </c>
      <c r="AA127" s="10">
        <f ca="1">OFFSET(IND!AD$25,$E127,0)</f>
        <v>7.7319450056116708</v>
      </c>
      <c r="AB127" s="10">
        <f ca="1">OFFSET(IND!AE$25,$E127,0)</f>
        <v>8.0181681219451661</v>
      </c>
      <c r="AC127" s="10">
        <f ca="1">OFFSET(IND!AF$25,$E127,0)</f>
        <v>8.3083121028859708</v>
      </c>
      <c r="AD127" s="10">
        <f ca="1">OFFSET(IND!AG$25,$E127,0)</f>
        <v>8.5827726253975403</v>
      </c>
      <c r="AE127" s="10">
        <f ca="1">OFFSET(IND!AH$25,$E127,0)</f>
        <v>8.8533122833018005</v>
      </c>
      <c r="AF127" s="10">
        <f ca="1">OFFSET(IND!AI$25,$E127,0)</f>
        <v>9.1199310765987569</v>
      </c>
      <c r="AG127" s="10">
        <f ca="1">OFFSET(IND!AJ$25,$E127,0)</f>
        <v>9.4414419743980247</v>
      </c>
      <c r="AH127" s="10">
        <f ca="1">OFFSET(IND!AK$25,$E127,0)</f>
        <v>9.7786363306265276</v>
      </c>
      <c r="AI127" s="10">
        <f ca="1">OFFSET(IND!AL$25,$E127,0)</f>
        <v>10.127593280676951</v>
      </c>
      <c r="AJ127" s="10">
        <f ca="1">OFFSET(IND!AM$25,$E127,0)</f>
        <v>12.597737983281085</v>
      </c>
      <c r="AK127" s="10">
        <f ca="1">OFFSET(IND!AN$25,$E127,0)</f>
        <v>15.989285868602636</v>
      </c>
      <c r="AL127" s="10">
        <f ca="1">OFFSET(IND!AO$25,$E127,0)</f>
        <v>21.697411259408852</v>
      </c>
      <c r="AM127" s="10">
        <f ca="1">OFFSET(IND!AP$25,$E127,0)</f>
        <v>27.559103847334466</v>
      </c>
    </row>
    <row r="128" spans="1:39">
      <c r="A128" s="36" t="s">
        <v>299</v>
      </c>
      <c r="B128">
        <v>3.4</v>
      </c>
      <c r="E128" s="141">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9.7671028113835181</v>
      </c>
      <c r="N128" s="10">
        <f ca="1">OFFSET(IND!Q$25,$E128,0)</f>
        <v>9.8606574360136285</v>
      </c>
      <c r="O128" s="218">
        <f ca="1">OFFSET(IND!R$25,$E128,0)</f>
        <v>9.0935095140467244</v>
      </c>
      <c r="P128" s="10">
        <f ca="1">OFFSET(IND!S$25,$E128,0)</f>
        <v>9.4864389374931886</v>
      </c>
      <c r="Q128" s="10">
        <f ca="1">OFFSET(IND!T$25,$E128,0)</f>
        <v>9.8357095361122671</v>
      </c>
      <c r="R128" s="10">
        <f ca="1">OFFSET(IND!U$25,$E128,0)</f>
        <v>10.21616500960805</v>
      </c>
      <c r="S128" s="10">
        <f ca="1">OFFSET(IND!V$25,$E128,0)</f>
        <v>10.646516282906559</v>
      </c>
      <c r="T128" s="218">
        <f ca="1">OFFSET(IND!W$25,$E128,0)</f>
        <v>11.10805243108177</v>
      </c>
      <c r="U128" s="10">
        <f ca="1">OFFSET(IND!X$25,$E128,0)</f>
        <v>11.625721354035049</v>
      </c>
      <c r="V128" s="10">
        <f ca="1">OFFSET(IND!Y$25,$E128,0)</f>
        <v>12.180812126840371</v>
      </c>
      <c r="W128" s="10">
        <f ca="1">OFFSET(IND!Z$25,$E128,0)</f>
        <v>12.773324749497736</v>
      </c>
      <c r="X128" s="10">
        <f ca="1">OFFSET(IND!AA$25,$E128,0)</f>
        <v>13.446918046834529</v>
      </c>
      <c r="Y128" s="221">
        <f ca="1">OFFSET(IND!AB$25,$E128,0)</f>
        <v>14.15793319402337</v>
      </c>
      <c r="Z128" s="10">
        <f ca="1">OFFSET(IND!AC$25,$E128,0)</f>
        <v>14.88142229116289</v>
      </c>
      <c r="AA128" s="10">
        <f ca="1">OFFSET(IND!AD$25,$E128,0)</f>
        <v>15.642333238154453</v>
      </c>
      <c r="AB128" s="10">
        <f ca="1">OFFSET(IND!AE$25,$E128,0)</f>
        <v>16.453139984948745</v>
      </c>
      <c r="AC128" s="10">
        <f ca="1">OFFSET(IND!AF$25,$E128,0)</f>
        <v>17.307605556570422</v>
      </c>
      <c r="AD128" s="10">
        <f ca="1">OFFSET(IND!AG$25,$E128,0)</f>
        <v>18.1620711281921</v>
      </c>
      <c r="AE128" s="10">
        <f ca="1">OFFSET(IND!AH$25,$E128,0)</f>
        <v>19.047721574690474</v>
      </c>
      <c r="AF128" s="10">
        <f ca="1">OFFSET(IND!AI$25,$E128,0)</f>
        <v>20.045637570744983</v>
      </c>
      <c r="AG128" s="10">
        <f ca="1">OFFSET(IND!AJ$25,$E128,0)</f>
        <v>21.087212391626881</v>
      </c>
      <c r="AH128" s="10">
        <f ca="1">OFFSET(IND!AK$25,$E128,0)</f>
        <v>22.178683012311502</v>
      </c>
      <c r="AI128" s="10">
        <f ca="1">OFFSET(IND!AL$25,$E128,0)</f>
        <v>23.313812457823506</v>
      </c>
      <c r="AJ128" s="10">
        <f ca="1">OFFSET(IND!AM$25,$E128,0)</f>
        <v>30.062219381142135</v>
      </c>
      <c r="AK128" s="10">
        <f ca="1">OFFSET(IND!AN$25,$E128,0)</f>
        <v>38.475898622876727</v>
      </c>
      <c r="AL128" s="10">
        <f ca="1">OFFSET(IND!AO$25,$E128,0)</f>
        <v>53.360439401526904</v>
      </c>
      <c r="AM128" s="10">
        <f ca="1">OFFSET(IND!AP$25,$E128,0)</f>
        <v>68.52252556658037</v>
      </c>
    </row>
    <row r="129" spans="1:39">
      <c r="A129" s="36" t="s">
        <v>293</v>
      </c>
      <c r="B129">
        <v>10</v>
      </c>
      <c r="E129" s="141">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14.999415145068363</v>
      </c>
      <c r="N129" s="10">
        <f ca="1">OFFSET(IND!Q$25,$E129,0)</f>
        <v>15.143087703929172</v>
      </c>
      <c r="O129" s="218">
        <f ca="1">OFFSET(IND!R$25,$E129,0)</f>
        <v>13.964972721270545</v>
      </c>
      <c r="P129" s="10">
        <f ca="1">OFFSET(IND!S$25,$E129,0)</f>
        <v>14.568397468485941</v>
      </c>
      <c r="Q129" s="10">
        <f ca="1">OFFSET(IND!T$25,$E129,0)</f>
        <v>15.10477502156629</v>
      </c>
      <c r="R129" s="10">
        <f ca="1">OFFSET(IND!U$25,$E129,0)</f>
        <v>15.689043427600241</v>
      </c>
      <c r="S129" s="10">
        <f ca="1">OFFSET(IND!V$25,$E129,0)</f>
        <v>16.34993719835996</v>
      </c>
      <c r="T129" s="218">
        <f ca="1">OFFSET(IND!W$25,$E129,0)</f>
        <v>17.058721822073277</v>
      </c>
      <c r="U129" s="10">
        <f ca="1">OFFSET(IND!X$25,$E129,0)</f>
        <v>17.853709981103083</v>
      </c>
      <c r="V129" s="10">
        <f ca="1">OFFSET(IND!Y$25,$E129,0)</f>
        <v>18.706167163677211</v>
      </c>
      <c r="W129" s="10">
        <f ca="1">OFFSET(IND!Z$25,$E129,0)</f>
        <v>19.616093369795664</v>
      </c>
      <c r="X129" s="10">
        <f ca="1">OFFSET(IND!AA$25,$E129,0)</f>
        <v>20.65053579359348</v>
      </c>
      <c r="Y129" s="221">
        <f ca="1">OFFSET(IND!AB$25,$E129,0)</f>
        <v>21.742447240935622</v>
      </c>
      <c r="Z129" s="10">
        <f ca="1">OFFSET(IND!AC$25,$E129,0)</f>
        <v>22.853515029459206</v>
      </c>
      <c r="AA129" s="10">
        <f ca="1">OFFSET(IND!AD$25,$E129,0)</f>
        <v>24.022051841527109</v>
      </c>
      <c r="AB129" s="10">
        <f ca="1">OFFSET(IND!AE$25,$E129,0)</f>
        <v>25.267214018320779</v>
      </c>
      <c r="AC129" s="10">
        <f ca="1">OFFSET(IND!AF$25,$E129,0)</f>
        <v>26.579423389249495</v>
      </c>
      <c r="AD129" s="10">
        <f ca="1">OFFSET(IND!AG$25,$E129,0)</f>
        <v>27.891632760178208</v>
      </c>
      <c r="AE129" s="10">
        <f ca="1">OFFSET(IND!AH$25,$E129,0)</f>
        <v>29.251732984060521</v>
      </c>
      <c r="AF129" s="10">
        <f ca="1">OFFSET(IND!AI$25,$E129,0)</f>
        <v>30.784240278575808</v>
      </c>
      <c r="AG129" s="10">
        <f ca="1">OFFSET(IND!AJ$25,$E129,0)</f>
        <v>32.383794767226142</v>
      </c>
      <c r="AH129" s="10">
        <f ca="1">OFFSET(IND!AK$25,$E129,0)</f>
        <v>34.05997462060224</v>
      </c>
      <c r="AI129" s="10">
        <f ca="1">OFFSET(IND!AL$25,$E129,0)</f>
        <v>35.803201668113374</v>
      </c>
      <c r="AJ129" s="10">
        <f ca="1">OFFSET(IND!AM$25,$E129,0)</f>
        <v>46.166782247272998</v>
      </c>
      <c r="AK129" s="10">
        <f ca="1">OFFSET(IND!AN$25,$E129,0)</f>
        <v>59.087734374155005</v>
      </c>
      <c r="AL129" s="10">
        <f ca="1">OFFSET(IND!AO$25,$E129,0)</f>
        <v>81.946038488908982</v>
      </c>
      <c r="AM129" s="10">
        <f ca="1">OFFSET(IND!AP$25,$E129,0)</f>
        <v>105.230571194951</v>
      </c>
    </row>
    <row r="130" spans="1:39">
      <c r="A130" s="36" t="s">
        <v>298</v>
      </c>
      <c r="B130">
        <v>0.63500000000000001</v>
      </c>
      <c r="E130" s="141">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1.1812940620376378</v>
      </c>
      <c r="N130" s="10">
        <f ca="1">OFFSET(IND!Q$25,$E130,0)</f>
        <v>1.1926091392602205</v>
      </c>
      <c r="O130" s="218">
        <f ca="1">OFFSET(IND!R$25,$E130,0)</f>
        <v>1.0998255060350421</v>
      </c>
      <c r="P130" s="10">
        <f ca="1">OFFSET(IND!S$25,$E130,0)</f>
        <v>1.1473488303698898</v>
      </c>
      <c r="Q130" s="10">
        <f ca="1">OFFSET(IND!T$25,$E130,0)</f>
        <v>1.1895917853341984</v>
      </c>
      <c r="R130" s="10">
        <f ca="1">OFFSET(IND!U$25,$E130,0)</f>
        <v>1.235606432706035</v>
      </c>
      <c r="S130" s="10">
        <f ca="1">OFFSET(IND!V$25,$E130,0)</f>
        <v>1.2876557879299158</v>
      </c>
      <c r="T130" s="218">
        <f ca="1">OFFSET(IND!W$25,$E130,0)</f>
        <v>1.3434768355613238</v>
      </c>
      <c r="U130" s="10">
        <f ca="1">OFFSET(IND!X$25,$E130,0)</f>
        <v>1.4060869295262817</v>
      </c>
      <c r="V130" s="10">
        <f ca="1">OFFSET(IND!Y$25,$E130,0)</f>
        <v>1.4732230543802727</v>
      </c>
      <c r="W130" s="10">
        <f ca="1">OFFSET(IND!Z$25,$E130,0)</f>
        <v>1.5448852101232966</v>
      </c>
      <c r="X130" s="10">
        <f ca="1">OFFSET(IND!AA$25,$E130,0)</f>
        <v>1.626353766125892</v>
      </c>
      <c r="Y130" s="221">
        <f ca="1">OFFSET(IND!AB$25,$E130,0)</f>
        <v>1.712348353017521</v>
      </c>
      <c r="Z130" s="10">
        <f ca="1">OFFSET(IND!AC$25,$E130,0)</f>
        <v>1.799851616872161</v>
      </c>
      <c r="AA130" s="10">
        <f ca="1">OFFSET(IND!AD$25,$E130,0)</f>
        <v>1.8918809116158337</v>
      </c>
      <c r="AB130" s="10">
        <f ca="1">OFFSET(IND!AE$25,$E130,0)</f>
        <v>1.9899449142115508</v>
      </c>
      <c r="AC130" s="10">
        <f ca="1">OFFSET(IND!AF$25,$E130,0)</f>
        <v>2.0932892861778067</v>
      </c>
      <c r="AD130" s="10">
        <f ca="1">OFFSET(IND!AG$25,$E130,0)</f>
        <v>2.1966336581440626</v>
      </c>
      <c r="AE130" s="10">
        <f ca="1">OFFSET(IND!AH$25,$E130,0)</f>
        <v>2.3037497225178458</v>
      </c>
      <c r="AF130" s="10">
        <f ca="1">OFFSET(IND!AI$25,$E130,0)</f>
        <v>2.4244438795587282</v>
      </c>
      <c r="AG130" s="10">
        <f ca="1">OFFSET(IND!AJ$25,$E130,0)</f>
        <v>2.5504184059701496</v>
      </c>
      <c r="AH130" s="10">
        <f ca="1">OFFSET(IND!AK$25,$E130,0)</f>
        <v>2.6824276402336147</v>
      </c>
      <c r="AI130" s="10">
        <f ca="1">OFFSET(IND!AL$25,$E130,0)</f>
        <v>2.8197172438676188</v>
      </c>
      <c r="AJ130" s="10">
        <f ca="1">OFFSET(IND!AM$25,$E130,0)</f>
        <v>3.6359114808565871</v>
      </c>
      <c r="AK130" s="10">
        <f ca="1">OFFSET(IND!AN$25,$E130,0)</f>
        <v>4.6535140924075282</v>
      </c>
      <c r="AL130" s="10">
        <f ca="1">OFFSET(IND!AO$25,$E130,0)</f>
        <v>6.4537428785203961</v>
      </c>
      <c r="AM130" s="10">
        <f ca="1">OFFSET(IND!AP$25,$E130,0)</f>
        <v>8.2875397270603361</v>
      </c>
    </row>
    <row r="131" spans="1:39">
      <c r="A131" s="36" t="s">
        <v>297</v>
      </c>
      <c r="B131">
        <v>1.53</v>
      </c>
      <c r="E131" s="141">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1.3812218037124941</v>
      </c>
      <c r="N131" s="10">
        <f ca="1">OFFSET(IND!Q$25,$E131,0)</f>
        <v>1.3944518976177864</v>
      </c>
      <c r="O131" s="218">
        <f ca="1">OFFSET(IND!R$25,$E131,0)</f>
        <v>1.2859651275943913</v>
      </c>
      <c r="P131" s="10">
        <f ca="1">OFFSET(IND!S$25,$E131,0)</f>
        <v>1.3415315219966182</v>
      </c>
      <c r="Q131" s="10">
        <f ca="1">OFFSET(IND!T$25,$E131,0)</f>
        <v>1.3909238725763753</v>
      </c>
      <c r="R131" s="10">
        <f ca="1">OFFSET(IND!U$25,$E131,0)</f>
        <v>1.4447262544578963</v>
      </c>
      <c r="S131" s="10">
        <f ca="1">OFFSET(IND!V$25,$E131,0)</f>
        <v>1.50558468642224</v>
      </c>
      <c r="T131" s="218">
        <f ca="1">OFFSET(IND!W$25,$E131,0)</f>
        <v>1.5708531496883473</v>
      </c>
      <c r="U131" s="10">
        <f ca="1">OFFSET(IND!X$25,$E131,0)</f>
        <v>1.6440596692976304</v>
      </c>
      <c r="V131" s="10">
        <f ca="1">OFFSET(IND!Y$25,$E131,0)</f>
        <v>1.7225582264690302</v>
      </c>
      <c r="W131" s="10">
        <f ca="1">OFFSET(IND!Z$25,$E131,0)</f>
        <v>1.8063488212025469</v>
      </c>
      <c r="X131" s="10">
        <f ca="1">OFFSET(IND!AA$25,$E131,0)</f>
        <v>1.9016054973206498</v>
      </c>
      <c r="Y131" s="221">
        <f ca="1">OFFSET(IND!AB$25,$E131,0)</f>
        <v>2.0021542110008697</v>
      </c>
      <c r="Z131" s="10">
        <f ca="1">OFFSET(IND!AC$25,$E131,0)</f>
        <v>2.1044669372017952</v>
      </c>
      <c r="AA131" s="10">
        <f ca="1">OFFSET(IND!AD$25,$E131,0)</f>
        <v>2.2120717009648372</v>
      </c>
      <c r="AB131" s="10">
        <f ca="1">OFFSET(IND!AE$25,$E131,0)</f>
        <v>2.3267325148107019</v>
      </c>
      <c r="AC131" s="10">
        <f ca="1">OFFSET(IND!AF$25,$E131,0)</f>
        <v>2.4475673724790363</v>
      </c>
      <c r="AD131" s="10">
        <f ca="1">OFFSET(IND!AG$25,$E131,0)</f>
        <v>2.5684022301473708</v>
      </c>
      <c r="AE131" s="10">
        <f ca="1">OFFSET(IND!AH$25,$E131,0)</f>
        <v>2.6936471191174691</v>
      </c>
      <c r="AF131" s="10">
        <f ca="1">OFFSET(IND!AI$25,$E131,0)</f>
        <v>2.8347681207739179</v>
      </c>
      <c r="AG131" s="10">
        <f ca="1">OFFSET(IND!AJ$25,$E131,0)</f>
        <v>2.982063166252837</v>
      </c>
      <c r="AH131" s="10">
        <f ca="1">OFFSET(IND!AK$25,$E131,0)</f>
        <v>3.1364142618145778</v>
      </c>
      <c r="AI131" s="10">
        <f ca="1">OFFSET(IND!AL$25,$E131,0)</f>
        <v>3.2969394011987885</v>
      </c>
      <c r="AJ131" s="10">
        <f ca="1">OFFSET(IND!AM$25,$E131,0)</f>
        <v>4.2512701749005242</v>
      </c>
      <c r="AK131" s="10">
        <f ca="1">OFFSET(IND!AN$25,$E131,0)</f>
        <v>5.4410966201164594</v>
      </c>
      <c r="AL131" s="10">
        <f ca="1">OFFSET(IND!AO$25,$E131,0)</f>
        <v>7.5460045604483765</v>
      </c>
      <c r="AM131" s="10">
        <f ca="1">OFFSET(IND!AP$25,$E131,0)</f>
        <v>9.6901617793660826</v>
      </c>
    </row>
    <row r="132" spans="1:39">
      <c r="A132" s="36" t="s">
        <v>385</v>
      </c>
      <c r="B132">
        <v>7.8658203618</v>
      </c>
      <c r="E132" s="141">
        <f ca="1">MATCH(F132,IND!$D$26:$D$255,0)</f>
        <v>228</v>
      </c>
      <c r="F132" s="4" t="str">
        <f>A132</f>
        <v>IOTR</v>
      </c>
      <c r="G132" s="10">
        <f ca="1">OFFSET(IND!J$25,$E132,0)</f>
        <v>9.4685659246785185</v>
      </c>
      <c r="H132" s="10">
        <f ca="1">OFFSET(IND!K$25,$E132,0)</f>
        <v>9.7395558793805712</v>
      </c>
      <c r="I132" s="10">
        <f ca="1">OFFSET(IND!L$25,$E132,0)</f>
        <v>9.9257106998954825</v>
      </c>
      <c r="J132" s="10">
        <f ca="1">OFFSET(IND!M$25,$E132,0)</f>
        <v>37.630000000000003</v>
      </c>
      <c r="K132" s="10">
        <f ca="1">OFFSET(IND!N$25,$E132,0)</f>
        <v>37.630000000000003</v>
      </c>
      <c r="L132" s="10">
        <f ca="1">OFFSET(IND!O$25,$E132,0)</f>
        <v>37.630000000000003</v>
      </c>
      <c r="M132" s="10">
        <f ca="1">OFFSET(IND!P$25,$E132,0)</f>
        <v>38.19847794606865</v>
      </c>
      <c r="N132" s="10">
        <f ca="1">OFFSET(IND!Q$25,$E132,0)</f>
        <v>38.487135141481737</v>
      </c>
      <c r="O132" s="218">
        <f ca="1">OFFSET(IND!R$25,$E132,0)</f>
        <v>35.040921686039681</v>
      </c>
      <c r="P132" s="10">
        <f ca="1">OFFSET(IND!S$25,$E132,0)</f>
        <v>36.616754334468311</v>
      </c>
      <c r="Q132" s="10">
        <f ca="1">OFFSET(IND!T$25,$E132,0)</f>
        <v>38.017330828538988</v>
      </c>
      <c r="R132" s="10">
        <f ca="1">OFFSET(IND!U$25,$E132,0)</f>
        <v>39.503326288599261</v>
      </c>
      <c r="S132" s="10">
        <f ca="1">OFFSET(IND!V$25,$E132,0)</f>
        <v>41.195505459668894</v>
      </c>
      <c r="T132" s="218">
        <f ca="1">OFFSET(IND!W$25,$E132,0)</f>
        <v>43.021704042894598</v>
      </c>
      <c r="U132" s="10">
        <f ca="1">OFFSET(IND!X$25,$E132,0)</f>
        <v>45.045249892372112</v>
      </c>
      <c r="V132" s="10">
        <f ca="1">OFFSET(IND!Y$25,$E132,0)</f>
        <v>47.20723337638448</v>
      </c>
      <c r="W132" s="10">
        <f ca="1">OFFSET(IND!Z$25,$E132,0)</f>
        <v>49.541527533168953</v>
      </c>
      <c r="X132" s="10">
        <f ca="1">OFFSET(IND!AA$25,$E132,0)</f>
        <v>52.183624515674538</v>
      </c>
      <c r="Y132" s="221">
        <f ca="1">OFFSET(IND!AB$25,$E132,0)</f>
        <v>54.9538499471645</v>
      </c>
      <c r="Z132" s="10">
        <f ca="1">OFFSET(IND!AC$25,$E132,0)</f>
        <v>57.800657899886517</v>
      </c>
      <c r="AA132" s="10">
        <f ca="1">OFFSET(IND!AD$25,$E132,0)</f>
        <v>60.810940080623077</v>
      </c>
      <c r="AB132" s="10">
        <f ca="1">OFFSET(IND!AE$25,$E132,0)</f>
        <v>63.961132636687424</v>
      </c>
      <c r="AC132" s="10">
        <f ca="1">OFFSET(IND!AF$25,$E132,0)</f>
        <v>67.321927126139883</v>
      </c>
      <c r="AD132" s="10">
        <f ca="1">OFFSET(IND!AG$25,$E132,0)</f>
        <v>70.665048726077273</v>
      </c>
      <c r="AE132" s="10">
        <f ca="1">OFFSET(IND!AH$25,$E132,0)</f>
        <v>74.161335368478746</v>
      </c>
      <c r="AF132" s="10">
        <f ca="1">OFFSET(IND!AI$25,$E132,0)</f>
        <v>78.090607803999859</v>
      </c>
      <c r="AG132" s="10">
        <f ca="1">OFFSET(IND!AJ$25,$E132,0)</f>
        <v>82.221645728151543</v>
      </c>
      <c r="AH132" s="10">
        <f ca="1">OFFSET(IND!AK$25,$E132,0)</f>
        <v>86.566231067277215</v>
      </c>
      <c r="AI132" s="10">
        <f ca="1">OFFSET(IND!AL$25,$E132,0)</f>
        <v>91.072817893624531</v>
      </c>
      <c r="AJ132" s="10">
        <f ca="1">OFFSET(IND!AM$25,$E132,0)</f>
        <v>117.77066298775</v>
      </c>
      <c r="AK132" s="10">
        <f ca="1">OFFSET(IND!AN$25,$E132,0)</f>
        <v>151.40953543892607</v>
      </c>
      <c r="AL132" s="10">
        <f ca="1">OFFSET(IND!AO$25,$E132,0)</f>
        <v>210.58941509138708</v>
      </c>
      <c r="AM132" s="10">
        <f ca="1">OFFSET(IND!AP$25,$E132,0)</f>
        <v>270.92613263668898</v>
      </c>
    </row>
    <row r="133" spans="1:39">
      <c r="A133" s="36" t="s">
        <v>300</v>
      </c>
      <c r="E133" s="141">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2.2318589462809921</v>
      </c>
      <c r="N133" s="10">
        <f ca="1">OFFSET(IND!Q$25,$E133,0)</f>
        <v>2.2476238429752069</v>
      </c>
      <c r="O133" s="218">
        <f ca="1">OFFSET(IND!R$25,$E133,0)</f>
        <v>2.0922270041322313</v>
      </c>
      <c r="P133" s="10">
        <f ca="1">OFFSET(IND!S$25,$E133,0)</f>
        <v>2.1823121280991735</v>
      </c>
      <c r="Q133" s="10">
        <f ca="1">OFFSET(IND!T$25,$E133,0)</f>
        <v>2.2611366115702478</v>
      </c>
      <c r="R133" s="10">
        <f ca="1">OFFSET(IND!U$25,$E133,0)</f>
        <v>2.3455914152892561</v>
      </c>
      <c r="S133" s="10">
        <f ca="1">OFFSET(IND!V$25,$E133,0)</f>
        <v>2.442432923553719</v>
      </c>
      <c r="T133" s="218">
        <f ca="1">OFFSET(IND!W$25,$E133,0)</f>
        <v>2.5561653925619834</v>
      </c>
      <c r="U133" s="10">
        <f ca="1">OFFSET(IND!X$25,$E133,0)</f>
        <v>2.6710239256198345</v>
      </c>
      <c r="V133" s="10">
        <f ca="1">OFFSET(IND!Y$25,$E133,0)</f>
        <v>2.7948909710743801</v>
      </c>
      <c r="W133" s="10">
        <f ca="1">OFFSET(IND!Z$25,$E133,0)</f>
        <v>2.9277665289256198</v>
      </c>
      <c r="X133" s="10">
        <f ca="1">OFFSET(IND!AA$25,$E133,0)</f>
        <v>3.0741548553719009</v>
      </c>
      <c r="Y133" s="221">
        <f ca="1">OFFSET(IND!AB$25,$E133,0)</f>
        <v>3.2272995661157027</v>
      </c>
      <c r="Z133" s="10">
        <f ca="1">OFFSET(IND!AC$25,$E133,0)</f>
        <v>3.3770660847107439</v>
      </c>
      <c r="AA133" s="10">
        <f ca="1">OFFSET(IND!AD$25,$E133,0)</f>
        <v>3.5358411157024792</v>
      </c>
      <c r="AB133" s="10">
        <f ca="1">OFFSET(IND!AE$25,$E133,0)</f>
        <v>3.7013725309917351</v>
      </c>
      <c r="AC133" s="10">
        <f ca="1">OFFSET(IND!AF$25,$E133,0)</f>
        <v>3.8736603305785122</v>
      </c>
      <c r="AD133" s="10">
        <f ca="1">OFFSET(IND!AG$25,$E133,0)</f>
        <v>4.026805041322314</v>
      </c>
      <c r="AE133" s="10">
        <f ca="1">OFFSET(IND!AH$25,$E133,0)</f>
        <v>4.1979667768595039</v>
      </c>
      <c r="AF133" s="10">
        <f ca="1">OFFSET(IND!AI$25,$E133,0)</f>
        <v>4.387145537190082</v>
      </c>
      <c r="AG133" s="10">
        <f ca="1">OFFSET(IND!AJ$25,$E133,0)</f>
        <v>4.5909631301652887</v>
      </c>
      <c r="AH133" s="10">
        <f ca="1">OFFSET(IND!AK$25,$E133,0)</f>
        <v>4.8071674276859495</v>
      </c>
      <c r="AI133" s="10">
        <f ca="1">OFFSET(IND!AL$25,$E133,0)</f>
        <v>5.0357584297520654</v>
      </c>
      <c r="AJ133" s="10">
        <f ca="1">OFFSET(IND!AM$25,$E133,0)</f>
        <v>6.4388342355371897</v>
      </c>
      <c r="AK133" s="10">
        <f ca="1">OFFSET(IND!AN$25,$E133,0)</f>
        <v>8.1954941528925609</v>
      </c>
      <c r="AL133" s="10">
        <f ca="1">OFFSET(IND!AO$25,$E133,0)</f>
        <v>11.29629919077124</v>
      </c>
      <c r="AM133" s="10">
        <f ca="1">OFFSET(IND!AP$25,$E133,0)</f>
        <v>14.456034913911781</v>
      </c>
    </row>
    <row r="134" spans="1:39">
      <c r="A134" s="36" t="s">
        <v>301</v>
      </c>
      <c r="E134" s="141">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0.67476780297937966</v>
      </c>
      <c r="N134" s="10">
        <f ca="1">OFFSET(IND!Q$25,$E134,0)</f>
        <v>0.67953407403977895</v>
      </c>
      <c r="O134" s="218">
        <f ca="1">OFFSET(IND!R$25,$E134,0)</f>
        <v>0.63255225930155767</v>
      </c>
      <c r="P134" s="10">
        <f ca="1">OFFSET(IND!S$25,$E134,0)</f>
        <v>0.65978809393241056</v>
      </c>
      <c r="Q134" s="10">
        <f ca="1">OFFSET(IND!T$25,$E134,0)</f>
        <v>0.68361944923440676</v>
      </c>
      <c r="R134" s="10">
        <f ca="1">OFFSET(IND!U$25,$E134,0)</f>
        <v>0.70915304420083136</v>
      </c>
      <c r="S134" s="10">
        <f ca="1">OFFSET(IND!V$25,$E134,0)</f>
        <v>0.73843156642899832</v>
      </c>
      <c r="T134" s="218">
        <f ca="1">OFFSET(IND!W$25,$E134,0)</f>
        <v>0.77281680765044991</v>
      </c>
      <c r="U134" s="10">
        <f ca="1">OFFSET(IND!X$25,$E134,0)</f>
        <v>0.8075424968047874</v>
      </c>
      <c r="V134" s="10">
        <f ca="1">OFFSET(IND!Y$25,$E134,0)</f>
        <v>0.84499176942221021</v>
      </c>
      <c r="W134" s="10">
        <f ca="1">OFFSET(IND!Z$25,$E134,0)</f>
        <v>0.88516462550271813</v>
      </c>
      <c r="X134" s="10">
        <f ca="1">OFFSET(IND!AA$25,$E134,0)</f>
        <v>0.92942285677785408</v>
      </c>
      <c r="Y134" s="221">
        <f ca="1">OFFSET(IND!AB$25,$E134,0)</f>
        <v>0.97572377565030388</v>
      </c>
      <c r="Z134" s="10">
        <f ca="1">OFFSET(IND!AC$25,$E134,0)</f>
        <v>1.0210033507240968</v>
      </c>
      <c r="AA134" s="10">
        <f ca="1">OFFSET(IND!AD$25,$E134,0)</f>
        <v>1.0690065092609751</v>
      </c>
      <c r="AB134" s="10">
        <f ca="1">OFFSET(IND!AE$25,$E134,0)</f>
        <v>1.1190523553951672</v>
      </c>
      <c r="AC134" s="10">
        <f ca="1">OFFSET(IND!AF$25,$E134,0)</f>
        <v>1.1711408891266735</v>
      </c>
      <c r="AD134" s="10">
        <f ca="1">OFFSET(IND!AG$25,$E134,0)</f>
        <v>1.2174418079991234</v>
      </c>
      <c r="AE134" s="10">
        <f ca="1">OFFSET(IND!AH$25,$E134,0)</f>
        <v>1.2691898937977439</v>
      </c>
      <c r="AF134" s="10">
        <f ca="1">OFFSET(IND!AI$25,$E134,0)</f>
        <v>1.3263851465225351</v>
      </c>
      <c r="AG134" s="10">
        <f ca="1">OFFSET(IND!AJ$25,$E134,0)</f>
        <v>1.3880062223748397</v>
      </c>
      <c r="AH134" s="10">
        <f ca="1">OFFSET(IND!AK$25,$E134,0)</f>
        <v>1.4533722254888866</v>
      </c>
      <c r="AI134" s="10">
        <f ca="1">OFFSET(IND!AL$25,$E134,0)</f>
        <v>1.5224831558646759</v>
      </c>
      <c r="AJ134" s="10">
        <f ca="1">OFFSET(IND!AM$25,$E134,0)</f>
        <v>1.9466812802402094</v>
      </c>
      <c r="AK134" s="10">
        <f ca="1">OFFSET(IND!AN$25,$E134,0)</f>
        <v>2.4777800555418406</v>
      </c>
      <c r="AL134" s="10">
        <f ca="1">OFFSET(IND!AO$25,$E134,0)</f>
        <v>3.4152601800646227</v>
      </c>
      <c r="AM134" s="10">
        <f ca="1">OFFSET(IND!AP$25,$E134,0)</f>
        <v>4.3705570797418014</v>
      </c>
    </row>
    <row r="135" spans="1:39" s="4" customFormat="1">
      <c r="A135" s="36" t="s">
        <v>616</v>
      </c>
      <c r="E135" s="141">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4.349559597911389</v>
      </c>
      <c r="N135" s="10">
        <f ca="1">OFFSET(IND!Q$25,$E135,0)</f>
        <v>4.3051362216854319</v>
      </c>
      <c r="O135" s="218">
        <f ca="1">OFFSET(IND!R$25,$E135,0)</f>
        <v>3.9737299724953288</v>
      </c>
      <c r="P135" s="10">
        <f ca="1">OFFSET(IND!S$25,$E135,0)</f>
        <v>4.0812502680510736</v>
      </c>
      <c r="Q135" s="10">
        <f ca="1">OFFSET(IND!T$25,$E135,0)</f>
        <v>4.170883274949464</v>
      </c>
      <c r="R135" s="10">
        <f ca="1">OFFSET(IND!U$25,$E135,0)</f>
        <v>4.2656269357499559</v>
      </c>
      <c r="S135" s="10">
        <f ca="1">OFFSET(IND!V$25,$E135,0)</f>
        <v>4.3786510124310407</v>
      </c>
      <c r="T135" s="218">
        <f ca="1">OFFSET(IND!W$25,$E135,0)</f>
        <v>4.5013067060814702</v>
      </c>
      <c r="U135" s="10">
        <f ca="1">OFFSET(IND!X$25,$E135,0)</f>
        <v>4.6465672150681163</v>
      </c>
      <c r="V135" s="10">
        <f ca="1">OFFSET(IND!Y$25,$E135,0)</f>
        <v>4.8089287582656404</v>
      </c>
      <c r="W135" s="10">
        <f ca="1">OFFSET(IND!Z$25,$E135,0)</f>
        <v>4.9883913356740415</v>
      </c>
      <c r="X135" s="10">
        <f ca="1">OFFSET(IND!AA$25,$E135,0)</f>
        <v>5.185937765351416</v>
      </c>
      <c r="Y135" s="221">
        <f ca="1">OFFSET(IND!AB$25,$E135,0)</f>
        <v>5.3915433031051814</v>
      </c>
      <c r="Z135" s="10">
        <f ca="1">OFFSET(IND!AC$25,$E135,0)</f>
        <v>5.5908588052871293</v>
      </c>
      <c r="AA135" s="10">
        <f ca="1">OFFSET(IND!AD$25,$E135,0)</f>
        <v>5.8053097055637615</v>
      </c>
      <c r="AB135" s="10">
        <f ca="1">OFFSET(IND!AE$25,$E135,0)</f>
        <v>6.0262472050238305</v>
      </c>
      <c r="AC135" s="10">
        <f ca="1">OFFSET(IND!AF$25,$E135,0)</f>
        <v>6.2548506853370505</v>
      </c>
      <c r="AD135" s="10">
        <f ca="1">OFFSET(IND!AG$25,$E135,0)</f>
        <v>6.4810954023108405</v>
      </c>
      <c r="AE135" s="10">
        <f ca="1">OFFSET(IND!AH$25,$E135,0)</f>
        <v>6.7014432109360511</v>
      </c>
      <c r="AF135" s="10">
        <f ca="1">OFFSET(IND!AI$25,$E135,0)</f>
        <v>6.9284741823563181</v>
      </c>
      <c r="AG135" s="10">
        <f ca="1">OFFSET(IND!AJ$25,$E135,0)</f>
        <v>7.1879381496937649</v>
      </c>
      <c r="AH135" s="10">
        <f ca="1">OFFSET(IND!AK$25,$E135,0)</f>
        <v>7.4658790965234232</v>
      </c>
      <c r="AI135" s="10">
        <f ca="1">OFFSET(IND!AL$25,$E135,0)</f>
        <v>7.7571863689431932</v>
      </c>
      <c r="AJ135" s="10">
        <f ca="1">OFFSET(IND!AM$25,$E135,0)</f>
        <v>9.643607349653406</v>
      </c>
      <c r="AK135" s="10">
        <f ca="1">OFFSET(IND!AN$25,$E135,0)</f>
        <v>12.331811302158654</v>
      </c>
      <c r="AL135" s="10">
        <f ca="1">OFFSET(IND!AO$25,$E135,0)</f>
        <v>16.772805740074933</v>
      </c>
      <c r="AM135" s="10">
        <f ca="1">OFFSET(IND!AP$25,$E135,0)</f>
        <v>21.347430673290454</v>
      </c>
    </row>
    <row r="136" spans="1:39">
      <c r="B136" s="4"/>
      <c r="C136" s="4"/>
      <c r="E136" s="141"/>
      <c r="F136" s="4"/>
      <c r="G136" s="10"/>
      <c r="H136" s="10"/>
      <c r="I136" s="10"/>
      <c r="J136" s="10"/>
      <c r="K136" s="10"/>
      <c r="L136" s="10"/>
      <c r="M136" s="10"/>
      <c r="N136" s="10"/>
      <c r="O136" s="218"/>
      <c r="P136" s="10"/>
      <c r="Q136" s="10"/>
      <c r="R136" s="10"/>
      <c r="S136" s="10"/>
      <c r="T136" s="218"/>
      <c r="U136" s="10"/>
      <c r="V136" s="10"/>
      <c r="W136" s="10"/>
      <c r="X136" s="10"/>
      <c r="Y136" s="221"/>
      <c r="Z136" s="10"/>
      <c r="AA136" s="10"/>
      <c r="AB136" s="10"/>
      <c r="AC136" s="10"/>
      <c r="AD136" s="10"/>
      <c r="AE136" s="10"/>
      <c r="AF136" s="10"/>
      <c r="AG136" s="10"/>
      <c r="AH136" s="10"/>
      <c r="AI136" s="10"/>
      <c r="AJ136" s="10"/>
      <c r="AK136" s="10"/>
      <c r="AL136" s="10"/>
      <c r="AM136" s="10"/>
    </row>
    <row r="137" spans="1:39">
      <c r="B137" s="4"/>
      <c r="C137" s="4"/>
      <c r="E137" s="141"/>
      <c r="F137" s="4"/>
      <c r="G137" s="10"/>
      <c r="H137" s="10"/>
      <c r="I137" s="10"/>
      <c r="J137" s="10"/>
      <c r="K137" s="10"/>
      <c r="L137" s="10"/>
      <c r="M137" s="10"/>
      <c r="N137" s="10"/>
      <c r="O137" s="218"/>
      <c r="P137" s="10"/>
      <c r="Q137" s="10"/>
      <c r="R137" s="10"/>
      <c r="S137" s="10"/>
      <c r="T137" s="218"/>
      <c r="U137" s="10"/>
      <c r="V137" s="10"/>
      <c r="W137" s="10"/>
      <c r="X137" s="10"/>
      <c r="Y137" s="221"/>
      <c r="Z137" s="10"/>
      <c r="AA137" s="10"/>
      <c r="AB137" s="10"/>
      <c r="AC137" s="10"/>
      <c r="AD137" s="10"/>
      <c r="AE137" s="10"/>
      <c r="AF137" s="10"/>
      <c r="AG137" s="10"/>
      <c r="AH137" s="10"/>
      <c r="AI137" s="10"/>
      <c r="AJ137" s="10"/>
      <c r="AK137" s="10"/>
      <c r="AL137" s="10"/>
      <c r="AM137" s="10"/>
    </row>
    <row r="138" spans="1:39">
      <c r="B138" s="4"/>
      <c r="C138" s="4"/>
      <c r="E138" s="141"/>
      <c r="F138" s="4"/>
      <c r="G138" s="10"/>
      <c r="H138" s="10"/>
      <c r="I138" s="10"/>
      <c r="J138" s="10"/>
      <c r="K138" s="10"/>
      <c r="L138" s="10"/>
      <c r="M138" s="10"/>
      <c r="N138" s="10"/>
      <c r="O138" s="218"/>
      <c r="P138" s="10"/>
      <c r="Q138" s="10"/>
      <c r="R138" s="10"/>
      <c r="S138" s="10"/>
      <c r="T138" s="218"/>
      <c r="U138" s="10"/>
      <c r="V138" s="10"/>
      <c r="W138" s="10"/>
      <c r="X138" s="10"/>
      <c r="Y138" s="221"/>
      <c r="Z138" s="10"/>
      <c r="AA138" s="10"/>
      <c r="AB138" s="10"/>
      <c r="AC138" s="10"/>
      <c r="AD138" s="10"/>
      <c r="AE138" s="10"/>
      <c r="AF138" s="10"/>
      <c r="AG138" s="10"/>
      <c r="AH138" s="10"/>
      <c r="AI138" s="10"/>
      <c r="AJ138" s="10"/>
      <c r="AK138" s="10"/>
      <c r="AL138" s="10"/>
      <c r="AM138" s="10"/>
    </row>
    <row r="139" spans="1:39">
      <c r="B139" s="4"/>
      <c r="C139" s="4"/>
      <c r="E139" s="141"/>
      <c r="F139" s="4"/>
      <c r="G139" s="10"/>
      <c r="H139" s="10"/>
      <c r="I139" s="10"/>
      <c r="J139" s="10"/>
      <c r="K139" s="10"/>
      <c r="L139" s="10"/>
      <c r="M139" s="10"/>
      <c r="N139" s="10"/>
      <c r="O139" s="218"/>
      <c r="P139" s="10"/>
      <c r="Q139" s="10"/>
      <c r="R139" s="10"/>
      <c r="S139" s="10"/>
      <c r="T139" s="218"/>
      <c r="U139" s="10"/>
      <c r="V139" s="10"/>
      <c r="W139" s="10"/>
      <c r="X139" s="10"/>
      <c r="Y139" s="221"/>
      <c r="Z139" s="10"/>
      <c r="AA139" s="10"/>
      <c r="AB139" s="10"/>
      <c r="AC139" s="10"/>
      <c r="AD139" s="10"/>
      <c r="AE139" s="10"/>
      <c r="AF139" s="10"/>
      <c r="AG139" s="10"/>
      <c r="AH139" s="10"/>
      <c r="AI139" s="10"/>
      <c r="AJ139" s="10"/>
      <c r="AK139" s="10"/>
      <c r="AL139" s="10"/>
      <c r="AM139" s="10"/>
    </row>
    <row r="140" spans="1:39">
      <c r="B140" s="4"/>
      <c r="C140" s="4"/>
      <c r="E140" s="141"/>
      <c r="F140" s="4"/>
      <c r="G140" s="10"/>
      <c r="H140" s="10"/>
      <c r="I140" s="10"/>
      <c r="J140" s="10"/>
      <c r="K140" s="10"/>
      <c r="L140" s="10"/>
      <c r="M140" s="10"/>
      <c r="N140" s="10"/>
      <c r="O140" s="218"/>
      <c r="P140" s="10"/>
      <c r="Q140" s="10"/>
      <c r="R140" s="10"/>
      <c r="S140" s="10"/>
      <c r="T140" s="218"/>
      <c r="U140" s="10"/>
      <c r="V140" s="10"/>
      <c r="W140" s="10"/>
      <c r="X140" s="10"/>
      <c r="Y140" s="221"/>
      <c r="Z140" s="10"/>
      <c r="AA140" s="10"/>
      <c r="AB140" s="10"/>
      <c r="AC140" s="10"/>
      <c r="AD140" s="10"/>
      <c r="AE140" s="10"/>
      <c r="AF140" s="10"/>
      <c r="AG140" s="10"/>
      <c r="AH140" s="10"/>
      <c r="AI140" s="10"/>
      <c r="AJ140" s="10"/>
      <c r="AK140" s="10"/>
      <c r="AL140" s="10"/>
      <c r="AM140" s="10"/>
    </row>
    <row r="141" spans="1:39">
      <c r="B141" s="4"/>
      <c r="C141" s="4"/>
      <c r="E141" s="141"/>
      <c r="F141" s="4"/>
      <c r="G141" s="10"/>
      <c r="H141" s="10"/>
      <c r="I141" s="10"/>
      <c r="J141" s="10"/>
      <c r="K141" s="10"/>
      <c r="L141" s="10"/>
      <c r="M141" s="10"/>
      <c r="N141" s="10"/>
      <c r="O141" s="218"/>
      <c r="P141" s="10"/>
      <c r="Q141" s="10"/>
      <c r="R141" s="10"/>
      <c r="S141" s="10"/>
      <c r="T141" s="218"/>
      <c r="U141" s="10"/>
      <c r="V141" s="10"/>
      <c r="W141" s="10"/>
      <c r="X141" s="10"/>
      <c r="Y141" s="221"/>
      <c r="Z141" s="10"/>
      <c r="AA141" s="10"/>
      <c r="AB141" s="10"/>
      <c r="AC141" s="10"/>
      <c r="AD141" s="10"/>
      <c r="AE141" s="10"/>
      <c r="AF141" s="10"/>
      <c r="AG141" s="10"/>
      <c r="AH141" s="10"/>
      <c r="AI141" s="10"/>
      <c r="AJ141" s="10"/>
      <c r="AK141" s="10"/>
      <c r="AL141" s="10"/>
      <c r="AM141" s="10"/>
    </row>
    <row r="142" spans="1:39">
      <c r="B142" s="4"/>
      <c r="C142" s="4"/>
      <c r="E142" s="141"/>
      <c r="F142" s="4"/>
      <c r="G142" s="10"/>
      <c r="H142" s="10"/>
      <c r="I142" s="10"/>
      <c r="J142" s="10"/>
      <c r="K142" s="10"/>
      <c r="L142" s="10"/>
      <c r="M142" s="10"/>
      <c r="N142" s="10"/>
      <c r="O142" s="218"/>
      <c r="P142" s="10"/>
      <c r="Q142" s="10"/>
      <c r="R142" s="10"/>
      <c r="S142" s="10"/>
      <c r="T142" s="218"/>
      <c r="U142" s="10"/>
      <c r="V142" s="10"/>
      <c r="W142" s="10"/>
      <c r="X142" s="10"/>
      <c r="Y142" s="221"/>
      <c r="Z142" s="10"/>
      <c r="AA142" s="10"/>
      <c r="AB142" s="10"/>
      <c r="AC142" s="10"/>
      <c r="AD142" s="10"/>
      <c r="AE142" s="10"/>
      <c r="AF142" s="10"/>
      <c r="AG142" s="10"/>
      <c r="AH142" s="10"/>
      <c r="AI142" s="10"/>
      <c r="AJ142" s="10"/>
      <c r="AK142" s="10"/>
      <c r="AL142" s="10"/>
      <c r="AM142" s="10"/>
    </row>
    <row r="143" spans="1:39">
      <c r="B143" s="4"/>
      <c r="C143" s="4"/>
      <c r="E143" s="141"/>
      <c r="F143" s="4"/>
      <c r="G143" s="10"/>
      <c r="H143" s="10"/>
      <c r="I143" s="10"/>
      <c r="J143" s="10"/>
      <c r="K143" s="10"/>
      <c r="L143" s="10"/>
      <c r="M143" s="10"/>
      <c r="N143" s="10"/>
      <c r="O143" s="218"/>
      <c r="P143" s="10"/>
      <c r="Q143" s="10"/>
      <c r="R143" s="10"/>
      <c r="S143" s="10"/>
      <c r="T143" s="218"/>
      <c r="U143" s="10"/>
      <c r="V143" s="10"/>
      <c r="W143" s="10"/>
      <c r="X143" s="10"/>
      <c r="Y143" s="221"/>
      <c r="Z143" s="10"/>
      <c r="AA143" s="10"/>
      <c r="AB143" s="10"/>
      <c r="AC143" s="10"/>
      <c r="AD143" s="10"/>
      <c r="AE143" s="10"/>
      <c r="AF143" s="10"/>
      <c r="AG143" s="10"/>
      <c r="AH143" s="10"/>
      <c r="AI143" s="10"/>
      <c r="AJ143" s="10"/>
      <c r="AK143" s="10"/>
      <c r="AL143" s="10"/>
      <c r="AM143" s="10"/>
    </row>
    <row r="144" spans="1:39">
      <c r="B144" s="4"/>
      <c r="C144" s="4"/>
      <c r="E144" s="141"/>
      <c r="F144" s="4"/>
      <c r="G144" s="10"/>
      <c r="H144" s="10"/>
      <c r="I144" s="10"/>
      <c r="J144" s="10"/>
      <c r="K144" s="10"/>
      <c r="L144" s="10"/>
      <c r="M144" s="10"/>
      <c r="N144" s="10"/>
      <c r="O144" s="218"/>
      <c r="P144" s="10"/>
      <c r="Q144" s="10"/>
      <c r="R144" s="10"/>
      <c r="S144" s="10"/>
      <c r="T144" s="218"/>
      <c r="U144" s="10"/>
      <c r="V144" s="10"/>
      <c r="W144" s="10"/>
      <c r="X144" s="10"/>
      <c r="Y144" s="221"/>
      <c r="Z144" s="10"/>
      <c r="AA144" s="10"/>
      <c r="AB144" s="10"/>
      <c r="AC144" s="10"/>
      <c r="AD144" s="10"/>
      <c r="AE144" s="10"/>
      <c r="AF144" s="10"/>
      <c r="AG144" s="10"/>
      <c r="AH144" s="10"/>
      <c r="AI144" s="10"/>
      <c r="AJ144" s="10"/>
      <c r="AK144" s="10"/>
      <c r="AL144" s="10"/>
      <c r="AM144" s="10"/>
    </row>
    <row r="145" spans="2:39">
      <c r="B145" s="4"/>
      <c r="C145" s="4"/>
      <c r="E145" s="141"/>
      <c r="F145" s="4"/>
      <c r="G145" s="10"/>
      <c r="H145" s="10"/>
      <c r="I145" s="10"/>
      <c r="J145" s="10"/>
      <c r="K145" s="10"/>
      <c r="L145" s="10"/>
      <c r="M145" s="10"/>
      <c r="N145" s="10"/>
      <c r="O145" s="218"/>
      <c r="P145" s="10"/>
      <c r="Q145" s="10"/>
      <c r="R145" s="10"/>
      <c r="S145" s="10"/>
      <c r="T145" s="218"/>
      <c r="U145" s="10"/>
      <c r="V145" s="10"/>
      <c r="W145" s="10"/>
      <c r="X145" s="10"/>
      <c r="Y145" s="221"/>
      <c r="Z145" s="10"/>
      <c r="AA145" s="10"/>
      <c r="AB145" s="10"/>
      <c r="AC145" s="10"/>
      <c r="AD145" s="10"/>
      <c r="AE145" s="10"/>
      <c r="AF145" s="10"/>
      <c r="AG145" s="10"/>
      <c r="AH145" s="10"/>
      <c r="AI145" s="10"/>
      <c r="AJ145" s="10"/>
      <c r="AK145" s="10"/>
      <c r="AL145" s="10"/>
      <c r="AM145" s="10"/>
    </row>
    <row r="146" spans="2:39">
      <c r="B146" s="4"/>
      <c r="C146" s="4"/>
      <c r="E146" s="141"/>
      <c r="F146" s="4"/>
      <c r="G146" s="10"/>
      <c r="H146" s="10"/>
      <c r="I146" s="10"/>
      <c r="J146" s="10"/>
      <c r="K146" s="10"/>
      <c r="L146" s="10"/>
      <c r="M146" s="10"/>
      <c r="N146" s="10"/>
      <c r="O146" s="218"/>
      <c r="P146" s="10"/>
      <c r="Q146" s="10"/>
      <c r="R146" s="10"/>
      <c r="S146" s="10"/>
      <c r="T146" s="218"/>
      <c r="U146" s="10"/>
      <c r="V146" s="10"/>
      <c r="W146" s="10"/>
      <c r="X146" s="10"/>
      <c r="Y146" s="221"/>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K4" sqref="K4:AO4"/>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01" t="s">
        <v>197</v>
      </c>
      <c r="C2" s="301"/>
    </row>
    <row r="3" spans="1:48">
      <c r="A3" s="4" t="s">
        <v>16</v>
      </c>
    </row>
    <row r="4" spans="1:48" ht="15.75" thickBot="1">
      <c r="A4" s="4" t="s">
        <v>16</v>
      </c>
      <c r="B4" s="301" t="s">
        <v>11</v>
      </c>
      <c r="C4" s="301"/>
      <c r="D4" s="60"/>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38">
        <f>INDEX(Drivers!$C$7:$AG$22,$D$6,MATCH(K$4,Drivers!$C$5:$AG$5,0))</f>
        <v>69.819999999999993</v>
      </c>
      <c r="L6" s="138">
        <f>INDEX(Drivers!$C$7:$AG$22,$D$6,MATCH(L$4,Drivers!$C$5:$AG$5,0))</f>
        <v>73.13</v>
      </c>
      <c r="M6" s="138">
        <f>INDEX(Drivers!$C$7:$AG$22,$D$6,MATCH(M$4,Drivers!$C$5:$AG$5,0))</f>
        <v>76.08</v>
      </c>
      <c r="N6" s="138">
        <f>INDEX(Drivers!$C$7:$AG$22,$D$6,MATCH(N$4,Drivers!$C$5:$AG$5,0))</f>
        <v>75.09</v>
      </c>
      <c r="O6" s="138">
        <f>INDEX(Drivers!$C$7:$AG$22,$D$6,MATCH(O$4,Drivers!$C$5:$AG$5,0))</f>
        <v>74.27</v>
      </c>
      <c r="P6" s="138">
        <f>INDEX(Drivers!$C$7:$AG$22,$D$6,MATCH(P$4,Drivers!$C$5:$AG$5,0))</f>
        <v>76.78</v>
      </c>
      <c r="Q6" s="138">
        <f>INDEX(Drivers!$C$7:$AG$22,$D$6,MATCH(Q$4,Drivers!$C$5:$AG$5,0))</f>
        <v>75.78</v>
      </c>
      <c r="R6" s="138">
        <f>INDEX(Drivers!$C$7:$AG$22,$D$6,MATCH(R$4,Drivers!$C$5:$AG$5,0))</f>
        <v>74.900000000000006</v>
      </c>
      <c r="S6" s="138">
        <f>INDEX(Drivers!$C$7:$AG$22,$D$6,MATCH(S$4,Drivers!$C$5:$AG$5,0))</f>
        <v>72.39</v>
      </c>
      <c r="T6" s="138">
        <f>INDEX(Drivers!$C$7:$AG$22,$D$6,MATCH(T$4,Drivers!$C$5:$AG$5,0))</f>
        <v>75.459999999999994</v>
      </c>
      <c r="U6" s="138">
        <f>INDEX(Drivers!$C$7:$AG$22,$D$6,MATCH(U$4,Drivers!$C$5:$AG$5,0))</f>
        <v>78.09</v>
      </c>
      <c r="V6" s="138">
        <f>INDEX(Drivers!$C$7:$AG$22,$D$6,MATCH(V$4,Drivers!$C$5:$AG$5,0))</f>
        <v>80.540000000000006</v>
      </c>
      <c r="W6" s="138">
        <f>INDEX(Drivers!$C$7:$AG$22,$D$6,MATCH(W$4,Drivers!$C$5:$AG$5,0))</f>
        <v>83.29</v>
      </c>
      <c r="X6" s="138">
        <f>INDEX(Drivers!$C$7:$AG$22,$D$6,MATCH(X$4,Drivers!$C$5:$AG$5,0))</f>
        <v>86.31</v>
      </c>
      <c r="Y6" s="138">
        <f>INDEX(Drivers!$C$7:$AG$22,$D$6,MATCH(Y$4,Drivers!$C$5:$AG$5,0))</f>
        <v>89.52</v>
      </c>
      <c r="Z6" s="138">
        <f>INDEX(Drivers!$C$7:$AG$22,$D$6,MATCH(Z$4,Drivers!$C$5:$AG$5,0))</f>
        <v>92.83</v>
      </c>
      <c r="AA6" s="138">
        <f>INDEX(Drivers!$C$7:$AG$22,$D$6,MATCH(AA$4,Drivers!$C$5:$AG$5,0))</f>
        <v>96.13</v>
      </c>
      <c r="AB6" s="138">
        <f>INDEX(Drivers!$C$7:$AG$22,$D$6,MATCH(AB$4,Drivers!$C$5:$AG$5,0))</f>
        <v>99.86</v>
      </c>
      <c r="AC6" s="138">
        <f>INDEX(Drivers!$C$7:$AG$22,$D$6,MATCH(AC$4,Drivers!$C$5:$AG$5,0))</f>
        <v>103.6</v>
      </c>
      <c r="AD6" s="138">
        <f>INDEX(Drivers!$C$7:$AG$22,$D$6,MATCH(AD$4,Drivers!$C$5:$AG$5,0))</f>
        <v>107.31</v>
      </c>
      <c r="AE6" s="138">
        <f>INDEX(Drivers!$C$7:$AG$22,$D$6,MATCH(AE$4,Drivers!$C$5:$AG$5,0))</f>
        <v>111.1</v>
      </c>
      <c r="AF6" s="138">
        <f>INDEX(Drivers!$C$7:$AG$22,$D$6,MATCH(AF$4,Drivers!$C$5:$AG$5,0))</f>
        <v>114.89</v>
      </c>
      <c r="AG6" s="138">
        <f>INDEX(Drivers!$C$7:$AG$22,$D$6,MATCH(AG$4,Drivers!$C$5:$AG$5,0))</f>
        <v>118.93</v>
      </c>
      <c r="AH6" s="138">
        <f>INDEX(Drivers!$C$7:$AG$22,$D$6,MATCH(AH$4,Drivers!$C$5:$AG$5,0))</f>
        <v>122.67</v>
      </c>
      <c r="AI6" s="138">
        <f>INDEX(Drivers!$C$7:$AG$22,$D$6,MATCH(AI$4,Drivers!$C$5:$AG$5,0))</f>
        <v>126.57</v>
      </c>
      <c r="AJ6" s="138">
        <f>INDEX(Drivers!$C$7:$AG$22,$D$6,MATCH(AJ$4,Drivers!$C$5:$AG$5,0))</f>
        <v>131.19999999999999</v>
      </c>
      <c r="AK6" s="138">
        <f>INDEX(Drivers!$C$7:$AG$22,$D$6,MATCH(AK$4,Drivers!$C$5:$AG$5,0))</f>
        <v>136.22999999999999</v>
      </c>
      <c r="AL6" s="138">
        <f>INDEX(Drivers!$C$7:$AG$22,$D$6,MATCH(AL$4,Drivers!$C$5:$AG$5,0))</f>
        <v>141.56</v>
      </c>
      <c r="AM6" s="138">
        <f>INDEX(Drivers!$C$7:$AG$22,$D$6,MATCH(AM$4,Drivers!$C$5:$AG$5,0))</f>
        <v>147.22999999999999</v>
      </c>
      <c r="AN6" s="138">
        <f>INDEX(Drivers!$C$7:$AG$22,$D$6,MATCH(AN$4,Drivers!$C$5:$AG$5,0))</f>
        <v>181.25</v>
      </c>
      <c r="AO6" s="138">
        <f>INDEX(Drivers!$C$7:$AG$22,$D$6,MATCH(AO$4,Drivers!$C$5:$AG$5,0))</f>
        <v>224.71</v>
      </c>
      <c r="AP6" s="138">
        <f>AO6</f>
        <v>224.71</v>
      </c>
      <c r="AQ6" s="138"/>
      <c r="AR6" s="138"/>
      <c r="AS6" s="24"/>
      <c r="AT6" s="24"/>
      <c r="AU6" s="24"/>
      <c r="AV6" s="24"/>
    </row>
    <row r="7" spans="1:48">
      <c r="A7" s="4" t="s">
        <v>16</v>
      </c>
      <c r="B7" s="25"/>
    </row>
    <row r="8" spans="1:48" ht="15.75" thickBot="1">
      <c r="A8" s="4" t="s">
        <v>16</v>
      </c>
      <c r="B8" s="301" t="s">
        <v>285</v>
      </c>
      <c r="C8" s="301"/>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01" t="s">
        <v>12</v>
      </c>
      <c r="C16" s="301"/>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2.6231245177131952</v>
      </c>
      <c r="L22" s="6">
        <f t="shared" ref="L22:AP22" si="2">L$6/K$6*K22*L$17</f>
        <v>2.7474806069946429</v>
      </c>
      <c r="M22" s="6">
        <f t="shared" si="2"/>
        <v>2.8583115626986526</v>
      </c>
      <c r="N22" s="6">
        <f t="shared" si="2"/>
        <v>2.8211174453606973</v>
      </c>
      <c r="O22" s="6">
        <f t="shared" si="2"/>
        <v>2.7903101966565318</v>
      </c>
      <c r="P22" s="6">
        <f t="shared" si="2"/>
        <v>2.8846104335436724</v>
      </c>
      <c r="Q22" s="6">
        <f t="shared" si="2"/>
        <v>2.8470406180507881</v>
      </c>
      <c r="R22" s="6">
        <f t="shared" si="2"/>
        <v>2.81397918041705</v>
      </c>
      <c r="S22" s="6">
        <f t="shared" si="2"/>
        <v>2.7196789435299098</v>
      </c>
      <c r="T22" s="6">
        <f t="shared" si="2"/>
        <v>2.8350182770930648</v>
      </c>
      <c r="U22" s="6">
        <f t="shared" si="2"/>
        <v>2.9338268918393515</v>
      </c>
      <c r="V22" s="6">
        <f t="shared" si="2"/>
        <v>3.0258729397969186</v>
      </c>
      <c r="W22" s="6">
        <f t="shared" si="2"/>
        <v>3.1291899324023511</v>
      </c>
      <c r="X22" s="6">
        <f t="shared" si="2"/>
        <v>3.2426507751908624</v>
      </c>
      <c r="Y22" s="6">
        <f t="shared" si="2"/>
        <v>3.3632498829230211</v>
      </c>
      <c r="Z22" s="6">
        <f t="shared" si="2"/>
        <v>3.4876059722044692</v>
      </c>
      <c r="AA22" s="6">
        <f t="shared" si="2"/>
        <v>3.6115863633309879</v>
      </c>
      <c r="AB22" s="6">
        <f t="shared" si="2"/>
        <v>3.7517217751194472</v>
      </c>
      <c r="AC22" s="6">
        <f t="shared" si="2"/>
        <v>3.8922328850628349</v>
      </c>
      <c r="AD22" s="6">
        <f t="shared" si="2"/>
        <v>4.0316169005414366</v>
      </c>
      <c r="AE22" s="6">
        <f t="shared" si="2"/>
        <v>4.1740065012594689</v>
      </c>
      <c r="AF22" s="6">
        <f t="shared" si="2"/>
        <v>4.3163961019775012</v>
      </c>
      <c r="AG22" s="6">
        <f t="shared" si="2"/>
        <v>4.4681781565687553</v>
      </c>
      <c r="AH22" s="6">
        <f t="shared" si="2"/>
        <v>4.6086892665121431</v>
      </c>
      <c r="AI22" s="6">
        <f t="shared" si="2"/>
        <v>4.7552115469343921</v>
      </c>
      <c r="AJ22" s="6">
        <f t="shared" si="2"/>
        <v>4.9291597926664465</v>
      </c>
      <c r="AK22" s="6">
        <f t="shared" si="2"/>
        <v>5.1181359645956555</v>
      </c>
      <c r="AL22" s="6">
        <f t="shared" si="2"/>
        <v>5.3183830811727306</v>
      </c>
      <c r="AM22" s="6">
        <f t="shared" si="2"/>
        <v>5.5314039350173854</v>
      </c>
      <c r="AN22" s="6">
        <f t="shared" si="2"/>
        <v>6.8095290580853165</v>
      </c>
      <c r="AO22" s="6">
        <f t="shared" si="2"/>
        <v>8.4423132394060776</v>
      </c>
      <c r="AP22" s="6">
        <f t="shared" si="2"/>
        <v>8.4423132394060776</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4.0167750394123596</v>
      </c>
      <c r="L23" s="6">
        <f t="shared" ref="L23:AP23" si="3">L$6/K$6*K23*L$17</f>
        <v>4.2072007824724418</v>
      </c>
      <c r="M23" s="6">
        <f t="shared" si="3"/>
        <v>4.3769155685833914</v>
      </c>
      <c r="N23" s="6">
        <f t="shared" si="3"/>
        <v>4.3199604369732763</v>
      </c>
      <c r="O23" s="6">
        <f t="shared" si="3"/>
        <v>4.2727854794780296</v>
      </c>
      <c r="P23" s="6">
        <f t="shared" si="3"/>
        <v>4.4171868737622617</v>
      </c>
      <c r="Q23" s="6">
        <f t="shared" si="3"/>
        <v>4.3596564377924487</v>
      </c>
      <c r="R23" s="6">
        <f t="shared" si="3"/>
        <v>4.309029654139013</v>
      </c>
      <c r="S23" s="6">
        <f t="shared" si="3"/>
        <v>4.1646282598547817</v>
      </c>
      <c r="T23" s="6">
        <f t="shared" si="3"/>
        <v>4.3412466982821076</v>
      </c>
      <c r="U23" s="6">
        <f t="shared" si="3"/>
        <v>4.492551744882717</v>
      </c>
      <c r="V23" s="6">
        <f t="shared" si="3"/>
        <v>4.6335013130087592</v>
      </c>
      <c r="W23" s="6">
        <f t="shared" si="3"/>
        <v>4.7917100119257459</v>
      </c>
      <c r="X23" s="6">
        <f t="shared" si="3"/>
        <v>4.9654519285545815</v>
      </c>
      <c r="Y23" s="6">
        <f t="shared" si="3"/>
        <v>5.1501246280176813</v>
      </c>
      <c r="Z23" s="6">
        <f t="shared" si="3"/>
        <v>5.3405503710777635</v>
      </c>
      <c r="AA23" s="6">
        <f t="shared" si="3"/>
        <v>5.530400809778147</v>
      </c>
      <c r="AB23" s="6">
        <f t="shared" si="3"/>
        <v>5.7449893359455508</v>
      </c>
      <c r="AC23" s="6">
        <f t="shared" si="3"/>
        <v>5.9601531664726517</v>
      </c>
      <c r="AD23" s="6">
        <f t="shared" si="3"/>
        <v>6.1735910839206589</v>
      </c>
      <c r="AE23" s="6">
        <f t="shared" si="3"/>
        <v>6.391631436246251</v>
      </c>
      <c r="AF23" s="6">
        <f t="shared" si="3"/>
        <v>6.609671788571843</v>
      </c>
      <c r="AG23" s="6">
        <f t="shared" si="3"/>
        <v>6.8420947498898892</v>
      </c>
      <c r="AH23" s="6">
        <f t="shared" si="3"/>
        <v>7.0572585804169901</v>
      </c>
      <c r="AI23" s="6">
        <f t="shared" si="3"/>
        <v>7.2816272806992615</v>
      </c>
      <c r="AJ23" s="6">
        <f t="shared" si="3"/>
        <v>7.547993199239496</v>
      </c>
      <c r="AK23" s="6">
        <f t="shared" si="3"/>
        <v>7.8373712921676564</v>
      </c>
      <c r="AL23" s="6">
        <f t="shared" si="3"/>
        <v>8.1440085158867621</v>
      </c>
      <c r="AM23" s="6">
        <f t="shared" si="3"/>
        <v>8.4702060878356029</v>
      </c>
      <c r="AN23" s="6">
        <f t="shared" si="3"/>
        <v>10.42739151952865</v>
      </c>
      <c r="AO23" s="6">
        <f t="shared" si="3"/>
        <v>12.927664266776732</v>
      </c>
      <c r="AP23" s="6">
        <f t="shared" si="3"/>
        <v>12.927664266776732</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15.261137874044685</v>
      </c>
      <c r="L24" s="6">
        <f t="shared" ref="L24:AP24" si="4">L$6/K$6*K24*L$17</f>
        <v>15.98463209293738</v>
      </c>
      <c r="M24" s="6">
        <f t="shared" si="4"/>
        <v>16.629438118838724</v>
      </c>
      <c r="N24" s="6">
        <f t="shared" si="4"/>
        <v>16.41304558811251</v>
      </c>
      <c r="O24" s="6">
        <f t="shared" si="4"/>
        <v>16.233811370743322</v>
      </c>
      <c r="P24" s="6">
        <f t="shared" si="4"/>
        <v>16.782442938544129</v>
      </c>
      <c r="Q24" s="6">
        <f t="shared" si="4"/>
        <v>16.563864624679265</v>
      </c>
      <c r="R24" s="6">
        <f t="shared" si="4"/>
        <v>16.371515708478185</v>
      </c>
      <c r="S24" s="6">
        <f t="shared" si="4"/>
        <v>15.822884140677379</v>
      </c>
      <c r="T24" s="6">
        <f t="shared" si="4"/>
        <v>16.493919564242503</v>
      </c>
      <c r="U24" s="6">
        <f t="shared" si="4"/>
        <v>17.068780529707094</v>
      </c>
      <c r="V24" s="6">
        <f t="shared" si="4"/>
        <v>17.604297398676007</v>
      </c>
      <c r="W24" s="6">
        <f t="shared" si="4"/>
        <v>18.205387761804378</v>
      </c>
      <c r="X24" s="6">
        <f t="shared" si="4"/>
        <v>18.865494269676262</v>
      </c>
      <c r="Y24" s="6">
        <f t="shared" si="4"/>
        <v>19.567130657182467</v>
      </c>
      <c r="Z24" s="6">
        <f t="shared" si="4"/>
        <v>20.290624876075164</v>
      </c>
      <c r="AA24" s="6">
        <f t="shared" si="4"/>
        <v>21.01193331182921</v>
      </c>
      <c r="AB24" s="6">
        <f t="shared" si="4"/>
        <v>21.827230422545146</v>
      </c>
      <c r="AC24" s="6">
        <f t="shared" si="4"/>
        <v>22.644713316399727</v>
      </c>
      <c r="AD24" s="6">
        <f t="shared" si="4"/>
        <v>23.455638860838366</v>
      </c>
      <c r="AE24" s="6">
        <f t="shared" si="4"/>
        <v>24.284050670386193</v>
      </c>
      <c r="AF24" s="6">
        <f t="shared" si="4"/>
        <v>25.11246247993402</v>
      </c>
      <c r="AG24" s="6">
        <f t="shared" si="4"/>
        <v>25.995518867948064</v>
      </c>
      <c r="AH24" s="6">
        <f t="shared" si="4"/>
        <v>26.813001761802646</v>
      </c>
      <c r="AI24" s="6">
        <f t="shared" si="4"/>
        <v>27.665457185875606</v>
      </c>
      <c r="AJ24" s="6">
        <f t="shared" si="4"/>
        <v>28.677474779069914</v>
      </c>
      <c r="AK24" s="6">
        <f t="shared" si="4"/>
        <v>29.776923697810172</v>
      </c>
      <c r="AL24" s="6">
        <f t="shared" si="4"/>
        <v>30.941946110709893</v>
      </c>
      <c r="AM24" s="6">
        <f t="shared" si="4"/>
        <v>32.18128515032366</v>
      </c>
      <c r="AN24" s="6">
        <f t="shared" si="4"/>
        <v>39.617319388006273</v>
      </c>
      <c r="AO24" s="6">
        <f t="shared" si="4"/>
        <v>49.116732908573184</v>
      </c>
      <c r="AP24" s="6">
        <f t="shared" si="4"/>
        <v>49.116732908573184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5.2583089477718303</v>
      </c>
      <c r="L25" s="6">
        <f t="shared" ref="L25:AP25" si="5">L$6/K$6*K25*L$17</f>
        <v>5.5075928580715265</v>
      </c>
      <c r="M25" s="6">
        <f t="shared" si="5"/>
        <v>5.7297643189126459</v>
      </c>
      <c r="N25" s="6">
        <f t="shared" si="5"/>
        <v>5.655205082901559</v>
      </c>
      <c r="O25" s="6">
        <f t="shared" si="5"/>
        <v>5.5934489480236884</v>
      </c>
      <c r="P25" s="6">
        <f t="shared" si="5"/>
        <v>5.7824829706376581</v>
      </c>
      <c r="Q25" s="6">
        <f t="shared" si="5"/>
        <v>5.7071706110304996</v>
      </c>
      <c r="R25" s="6">
        <f t="shared" si="5"/>
        <v>5.6408957345761994</v>
      </c>
      <c r="S25" s="6">
        <f t="shared" si="5"/>
        <v>5.4518617119622306</v>
      </c>
      <c r="T25" s="6">
        <f t="shared" si="5"/>
        <v>5.6830706559562074</v>
      </c>
      <c r="U25" s="6">
        <f t="shared" si="5"/>
        <v>5.8811421617230364</v>
      </c>
      <c r="V25" s="6">
        <f t="shared" si="5"/>
        <v>6.0656574427605756</v>
      </c>
      <c r="W25" s="6">
        <f t="shared" si="5"/>
        <v>6.272766431680262</v>
      </c>
      <c r="X25" s="6">
        <f t="shared" si="5"/>
        <v>6.5002097576938818</v>
      </c>
      <c r="Y25" s="6">
        <f t="shared" si="5"/>
        <v>6.7419624320328611</v>
      </c>
      <c r="Z25" s="6">
        <f t="shared" si="5"/>
        <v>6.9912463423325582</v>
      </c>
      <c r="AA25" s="6">
        <f t="shared" si="5"/>
        <v>7.2397771290361828</v>
      </c>
      <c r="AB25" s="6">
        <f t="shared" si="5"/>
        <v>7.5206922303708854</v>
      </c>
      <c r="AC25" s="6">
        <f t="shared" si="5"/>
        <v>7.8023604553016588</v>
      </c>
      <c r="AD25" s="6">
        <f t="shared" si="5"/>
        <v>8.0817693094442191</v>
      </c>
      <c r="AE25" s="6">
        <f t="shared" si="5"/>
        <v>8.3672031523553514</v>
      </c>
      <c r="AF25" s="6">
        <f t="shared" si="5"/>
        <v>8.6526369952664837</v>
      </c>
      <c r="AG25" s="6">
        <f t="shared" si="5"/>
        <v>8.956898928079406</v>
      </c>
      <c r="AH25" s="6">
        <f t="shared" si="5"/>
        <v>9.2385671530101803</v>
      </c>
      <c r="AI25" s="6">
        <f t="shared" si="5"/>
        <v>9.5322853554780984</v>
      </c>
      <c r="AJ25" s="6">
        <f t="shared" si="5"/>
        <v>9.8809815804592436</v>
      </c>
      <c r="AK25" s="6">
        <f t="shared" si="5"/>
        <v>10.259802749283253</v>
      </c>
      <c r="AL25" s="6">
        <f t="shared" si="5"/>
        <v>10.661217625989412</v>
      </c>
      <c r="AM25" s="6">
        <f t="shared" si="5"/>
        <v>11.088238704962002</v>
      </c>
      <c r="AN25" s="6">
        <f t="shared" si="5"/>
        <v>13.650365178797548</v>
      </c>
      <c r="AO25" s="6">
        <f t="shared" si="5"/>
        <v>16.923440327324673</v>
      </c>
      <c r="AP25" s="6">
        <f t="shared" si="5"/>
        <v>16.923440327324673</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8.8307550106622177</v>
      </c>
      <c r="L26" s="6">
        <f t="shared" ref="L26:AP26" si="6">L$6/K$6*K26*L$17</f>
        <v>9.249400084928789</v>
      </c>
      <c r="M26" s="6">
        <f t="shared" si="6"/>
        <v>9.6225127644110806</v>
      </c>
      <c r="N26" s="6">
        <f t="shared" si="6"/>
        <v>9.4972986787543121</v>
      </c>
      <c r="O26" s="6">
        <f t="shared" si="6"/>
        <v>9.3935860017456747</v>
      </c>
      <c r="P26" s="6">
        <f t="shared" si="6"/>
        <v>9.711047976491626</v>
      </c>
      <c r="Q26" s="6">
        <f t="shared" si="6"/>
        <v>9.5845691020908497</v>
      </c>
      <c r="R26" s="6">
        <f t="shared" si="6"/>
        <v>9.4732676926181671</v>
      </c>
      <c r="S26" s="6">
        <f t="shared" si="6"/>
        <v>9.1558057178722176</v>
      </c>
      <c r="T26" s="6">
        <f t="shared" si="6"/>
        <v>9.5440958622826013</v>
      </c>
      <c r="U26" s="6">
        <f t="shared" si="6"/>
        <v>9.8767353019566464</v>
      </c>
      <c r="V26" s="6">
        <f t="shared" si="6"/>
        <v>10.186608544238549</v>
      </c>
      <c r="W26" s="6">
        <f t="shared" si="6"/>
        <v>10.534425448840684</v>
      </c>
      <c r="X26" s="6">
        <f t="shared" si="6"/>
        <v>10.916391649531029</v>
      </c>
      <c r="Y26" s="6">
        <f t="shared" si="6"/>
        <v>11.32238883635752</v>
      </c>
      <c r="Z26" s="6">
        <f t="shared" si="6"/>
        <v>11.741033910624092</v>
      </c>
      <c r="AA26" s="6">
        <f t="shared" si="6"/>
        <v>12.158414196146655</v>
      </c>
      <c r="AB26" s="6">
        <f t="shared" si="6"/>
        <v>12.630180397661553</v>
      </c>
      <c r="AC26" s="6">
        <f t="shared" si="6"/>
        <v>13.103211387920457</v>
      </c>
      <c r="AD26" s="6">
        <f t="shared" si="6"/>
        <v>13.572448011947339</v>
      </c>
      <c r="AE26" s="6">
        <f t="shared" si="6"/>
        <v>14.051802945926282</v>
      </c>
      <c r="AF26" s="6">
        <f t="shared" si="6"/>
        <v>14.531157879905225</v>
      </c>
      <c r="AG26" s="6">
        <f t="shared" si="6"/>
        <v>15.042132532484363</v>
      </c>
      <c r="AH26" s="6">
        <f t="shared" si="6"/>
        <v>15.515163522743267</v>
      </c>
      <c r="AI26" s="6">
        <f t="shared" si="6"/>
        <v>16.008431132906296</v>
      </c>
      <c r="AJ26" s="6">
        <f t="shared" si="6"/>
        <v>16.594028321381888</v>
      </c>
      <c r="AK26" s="6">
        <f t="shared" si="6"/>
        <v>17.230217059617793</v>
      </c>
      <c r="AL26" s="6">
        <f t="shared" si="6"/>
        <v>17.904349460173936</v>
      </c>
      <c r="AM26" s="6">
        <f t="shared" si="6"/>
        <v>18.621484678026338</v>
      </c>
      <c r="AN26" s="6">
        <f t="shared" si="6"/>
        <v>22.924295985140759</v>
      </c>
      <c r="AO26" s="6">
        <f t="shared" si="6"/>
        <v>28.421067866598509</v>
      </c>
      <c r="AP26" s="6">
        <f t="shared" si="6"/>
        <v>28.421067866598509</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topLeftCell="A121"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election activeCell="J3" sqref="J3:AN3"/>
    </sheetView>
  </sheetViews>
  <sheetFormatPr defaultColWidth="8.85546875" defaultRowHeight="15"/>
  <cols>
    <col min="1" max="1" width="8.85546875" style="199"/>
    <col min="2" max="2" width="11.85546875" style="199" customWidth="1"/>
    <col min="3" max="3" width="34.85546875" style="199" customWidth="1"/>
    <col min="4" max="4" width="8.85546875" style="199"/>
    <col min="5" max="5" width="6.42578125" style="199" customWidth="1"/>
    <col min="6" max="6" width="9.7109375" style="199" customWidth="1"/>
    <col min="7" max="8" width="6.42578125" style="199" customWidth="1"/>
    <col min="9" max="9" width="9.140625" style="199" customWidth="1"/>
    <col min="10" max="10" width="8.85546875" style="5" customWidth="1"/>
    <col min="11" max="11" width="8.42578125" style="199" customWidth="1"/>
    <col min="12" max="29" width="6.42578125" style="199" customWidth="1"/>
    <col min="30" max="46" width="6.140625" style="199" customWidth="1"/>
    <col min="47" max="47" width="10.42578125" style="199" customWidth="1"/>
    <col min="48" max="48" width="6.140625" style="199" customWidth="1"/>
    <col min="49" max="16384" width="8.85546875" style="199"/>
  </cols>
  <sheetData>
    <row r="1" spans="1:48">
      <c r="A1" s="199" t="s">
        <v>611</v>
      </c>
      <c r="B1" s="199" t="s">
        <v>17</v>
      </c>
      <c r="G1" s="199" t="s">
        <v>283</v>
      </c>
    </row>
    <row r="2" spans="1:48" ht="15.75" thickBot="1">
      <c r="A2" s="199" t="s">
        <v>16</v>
      </c>
      <c r="B2" s="301" t="s">
        <v>197</v>
      </c>
      <c r="C2" s="301"/>
      <c r="G2" s="199" t="s">
        <v>282</v>
      </c>
      <c r="H2" s="199">
        <v>1</v>
      </c>
    </row>
    <row r="3" spans="1:48">
      <c r="A3" s="199" t="s">
        <v>16</v>
      </c>
      <c r="G3" s="199" t="s">
        <v>284</v>
      </c>
      <c r="H3" s="199">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99" t="s">
        <v>16</v>
      </c>
      <c r="D4" s="199">
        <v>2012</v>
      </c>
      <c r="E4" s="199">
        <v>2020</v>
      </c>
      <c r="F4" s="199">
        <v>2030</v>
      </c>
      <c r="G4" s="199">
        <v>2050</v>
      </c>
      <c r="H4" s="199">
        <v>1</v>
      </c>
      <c r="I4" s="199" t="s">
        <v>392</v>
      </c>
      <c r="J4" s="199">
        <f>MATCH(J$3,$D$4:$G$4,$H4)</f>
        <v>1</v>
      </c>
      <c r="K4" s="199">
        <f t="shared" ref="K4:AP5" si="0">MATCH(K$3,$D$4:$G$4,$H4)</f>
        <v>1</v>
      </c>
      <c r="L4" s="199">
        <f t="shared" si="0"/>
        <v>1</v>
      </c>
      <c r="M4" s="199">
        <f t="shared" si="0"/>
        <v>1</v>
      </c>
      <c r="N4" s="199">
        <f t="shared" si="0"/>
        <v>1</v>
      </c>
      <c r="O4" s="199">
        <f t="shared" si="0"/>
        <v>1</v>
      </c>
      <c r="P4" s="199">
        <f t="shared" si="0"/>
        <v>1</v>
      </c>
      <c r="Q4" s="199">
        <f t="shared" si="0"/>
        <v>1</v>
      </c>
      <c r="R4" s="199">
        <f t="shared" si="0"/>
        <v>2</v>
      </c>
      <c r="S4" s="199">
        <f t="shared" si="0"/>
        <v>2</v>
      </c>
      <c r="T4" s="199">
        <f t="shared" si="0"/>
        <v>2</v>
      </c>
      <c r="U4" s="199">
        <f t="shared" si="0"/>
        <v>2</v>
      </c>
      <c r="V4" s="199">
        <f t="shared" si="0"/>
        <v>2</v>
      </c>
      <c r="W4" s="199">
        <f t="shared" si="0"/>
        <v>2</v>
      </c>
      <c r="X4" s="199">
        <f t="shared" si="0"/>
        <v>2</v>
      </c>
      <c r="Y4" s="199">
        <f t="shared" si="0"/>
        <v>2</v>
      </c>
      <c r="Z4" s="199">
        <f t="shared" si="0"/>
        <v>2</v>
      </c>
      <c r="AA4" s="199">
        <f t="shared" si="0"/>
        <v>2</v>
      </c>
      <c r="AB4" s="199">
        <f t="shared" si="0"/>
        <v>3</v>
      </c>
      <c r="AC4" s="199">
        <f t="shared" si="0"/>
        <v>3</v>
      </c>
      <c r="AD4" s="199">
        <f t="shared" si="0"/>
        <v>3</v>
      </c>
      <c r="AE4" s="199">
        <f t="shared" si="0"/>
        <v>3</v>
      </c>
      <c r="AF4" s="199">
        <f t="shared" si="0"/>
        <v>3</v>
      </c>
      <c r="AG4" s="199">
        <f t="shared" si="0"/>
        <v>3</v>
      </c>
      <c r="AH4" s="199">
        <f t="shared" si="0"/>
        <v>3</v>
      </c>
      <c r="AI4" s="199">
        <f t="shared" si="0"/>
        <v>3</v>
      </c>
      <c r="AJ4" s="199">
        <f t="shared" si="0"/>
        <v>3</v>
      </c>
      <c r="AK4" s="199">
        <f t="shared" si="0"/>
        <v>3</v>
      </c>
      <c r="AL4" s="199">
        <f t="shared" si="0"/>
        <v>3</v>
      </c>
      <c r="AM4" s="199">
        <f t="shared" si="0"/>
        <v>3</v>
      </c>
      <c r="AN4" s="199">
        <f t="shared" si="0"/>
        <v>4</v>
      </c>
      <c r="AO4" s="199">
        <f t="shared" si="0"/>
        <v>4</v>
      </c>
      <c r="AP4" s="199">
        <f t="shared" si="0"/>
        <v>4</v>
      </c>
    </row>
    <row r="5" spans="1:48">
      <c r="A5" s="199" t="s">
        <v>16</v>
      </c>
      <c r="D5" s="199">
        <f>INDEX($D4:$G4,0,COUNT($D4:$G4)-D6)</f>
        <v>2050</v>
      </c>
      <c r="E5" s="199">
        <f>INDEX($D4:$G4,0,COUNT($D4:$G4)-E6)</f>
        <v>2030</v>
      </c>
      <c r="F5" s="199">
        <f>INDEX($D4:$G4,0,COUNT($D4:$G4)-F6)</f>
        <v>2020</v>
      </c>
      <c r="G5" s="199">
        <f>INDEX($D4:$G4,0,COUNT($D4:$G4)-G6)</f>
        <v>2012</v>
      </c>
      <c r="H5" s="199">
        <v>0</v>
      </c>
      <c r="I5" s="199" t="s">
        <v>393</v>
      </c>
      <c r="J5" s="199">
        <f t="shared" ref="J5:Y5" si="1">MATCH(J$3,$D$4:$G$4,$H5)</f>
        <v>1</v>
      </c>
      <c r="K5" s="199" t="e">
        <f t="shared" si="1"/>
        <v>#N/A</v>
      </c>
      <c r="L5" s="199" t="e">
        <f t="shared" si="1"/>
        <v>#N/A</v>
      </c>
      <c r="M5" s="199" t="e">
        <f t="shared" si="1"/>
        <v>#N/A</v>
      </c>
      <c r="N5" s="199" t="e">
        <f t="shared" si="1"/>
        <v>#N/A</v>
      </c>
      <c r="O5" s="199" t="e">
        <f t="shared" si="1"/>
        <v>#N/A</v>
      </c>
      <c r="P5" s="199" t="e">
        <f t="shared" si="1"/>
        <v>#N/A</v>
      </c>
      <c r="Q5" s="199" t="e">
        <f t="shared" si="1"/>
        <v>#N/A</v>
      </c>
      <c r="R5" s="199">
        <f t="shared" si="1"/>
        <v>2</v>
      </c>
      <c r="S5" s="199" t="e">
        <f t="shared" si="1"/>
        <v>#N/A</v>
      </c>
      <c r="T5" s="199" t="e">
        <f t="shared" si="1"/>
        <v>#N/A</v>
      </c>
      <c r="U5" s="199" t="e">
        <f t="shared" si="1"/>
        <v>#N/A</v>
      </c>
      <c r="V5" s="199" t="e">
        <f t="shared" si="1"/>
        <v>#N/A</v>
      </c>
      <c r="W5" s="199" t="e">
        <f t="shared" si="1"/>
        <v>#N/A</v>
      </c>
      <c r="X5" s="199" t="e">
        <f t="shared" si="1"/>
        <v>#N/A</v>
      </c>
      <c r="Y5" s="199" t="e">
        <f t="shared" si="1"/>
        <v>#N/A</v>
      </c>
      <c r="Z5" s="199" t="e">
        <f t="shared" si="0"/>
        <v>#N/A</v>
      </c>
      <c r="AA5" s="199" t="e">
        <f t="shared" si="0"/>
        <v>#N/A</v>
      </c>
      <c r="AB5" s="199">
        <f t="shared" si="0"/>
        <v>3</v>
      </c>
      <c r="AC5" s="199" t="e">
        <f t="shared" si="0"/>
        <v>#N/A</v>
      </c>
      <c r="AD5" s="199" t="e">
        <f t="shared" si="0"/>
        <v>#N/A</v>
      </c>
      <c r="AE5" s="199" t="e">
        <f t="shared" si="0"/>
        <v>#N/A</v>
      </c>
      <c r="AF5" s="199" t="e">
        <f t="shared" si="0"/>
        <v>#N/A</v>
      </c>
      <c r="AG5" s="199" t="e">
        <f t="shared" si="0"/>
        <v>#N/A</v>
      </c>
      <c r="AH5" s="199" t="e">
        <f t="shared" si="0"/>
        <v>#N/A</v>
      </c>
      <c r="AI5" s="199" t="e">
        <f t="shared" si="0"/>
        <v>#N/A</v>
      </c>
      <c r="AJ5" s="199" t="e">
        <f t="shared" si="0"/>
        <v>#N/A</v>
      </c>
      <c r="AK5" s="199" t="e">
        <f t="shared" si="0"/>
        <v>#N/A</v>
      </c>
      <c r="AL5" s="199" t="e">
        <f t="shared" si="0"/>
        <v>#N/A</v>
      </c>
      <c r="AM5" s="199" t="e">
        <f t="shared" si="0"/>
        <v>#N/A</v>
      </c>
      <c r="AN5" s="199">
        <f t="shared" si="0"/>
        <v>4</v>
      </c>
      <c r="AO5" s="199" t="e">
        <f t="shared" si="0"/>
        <v>#N/A</v>
      </c>
      <c r="AP5" s="199" t="e">
        <f t="shared" si="0"/>
        <v>#N/A</v>
      </c>
    </row>
    <row r="6" spans="1:48">
      <c r="A6" s="199" t="s">
        <v>16</v>
      </c>
      <c r="D6" s="199">
        <v>0</v>
      </c>
      <c r="E6" s="199">
        <v>1</v>
      </c>
      <c r="F6" s="199">
        <v>2</v>
      </c>
      <c r="G6" s="199">
        <v>3</v>
      </c>
      <c r="H6" s="199">
        <v>-1</v>
      </c>
      <c r="I6" s="199" t="s">
        <v>391</v>
      </c>
      <c r="J6" s="199">
        <f>MATCH(J$3,$D$5:$G$5,$H6)</f>
        <v>4</v>
      </c>
      <c r="K6" s="199">
        <f t="shared" ref="K6:AP6" si="2">MATCH(K$3,$D$5:$G$5,$H6)</f>
        <v>3</v>
      </c>
      <c r="L6" s="199">
        <f t="shared" si="2"/>
        <v>3</v>
      </c>
      <c r="M6" s="199">
        <f t="shared" si="2"/>
        <v>3</v>
      </c>
      <c r="N6" s="199">
        <f t="shared" si="2"/>
        <v>3</v>
      </c>
      <c r="O6" s="199">
        <f t="shared" si="2"/>
        <v>3</v>
      </c>
      <c r="P6" s="199">
        <f t="shared" si="2"/>
        <v>3</v>
      </c>
      <c r="Q6" s="199">
        <f t="shared" si="2"/>
        <v>3</v>
      </c>
      <c r="R6" s="199">
        <f t="shared" si="2"/>
        <v>3</v>
      </c>
      <c r="S6" s="199">
        <f t="shared" si="2"/>
        <v>2</v>
      </c>
      <c r="T6" s="199">
        <f t="shared" si="2"/>
        <v>2</v>
      </c>
      <c r="U6" s="199">
        <f t="shared" si="2"/>
        <v>2</v>
      </c>
      <c r="V6" s="199">
        <f t="shared" si="2"/>
        <v>2</v>
      </c>
      <c r="W6" s="199">
        <f t="shared" si="2"/>
        <v>2</v>
      </c>
      <c r="X6" s="199">
        <f t="shared" si="2"/>
        <v>2</v>
      </c>
      <c r="Y6" s="199">
        <f t="shared" si="2"/>
        <v>2</v>
      </c>
      <c r="Z6" s="199">
        <f t="shared" si="2"/>
        <v>2</v>
      </c>
      <c r="AA6" s="199">
        <f t="shared" si="2"/>
        <v>2</v>
      </c>
      <c r="AB6" s="199">
        <f t="shared" si="2"/>
        <v>2</v>
      </c>
      <c r="AC6" s="199">
        <f t="shared" si="2"/>
        <v>1</v>
      </c>
      <c r="AD6" s="199">
        <f t="shared" si="2"/>
        <v>1</v>
      </c>
      <c r="AE6" s="199">
        <f t="shared" si="2"/>
        <v>1</v>
      </c>
      <c r="AF6" s="199">
        <f t="shared" si="2"/>
        <v>1</v>
      </c>
      <c r="AG6" s="199">
        <f t="shared" si="2"/>
        <v>1</v>
      </c>
      <c r="AH6" s="199">
        <f t="shared" si="2"/>
        <v>1</v>
      </c>
      <c r="AI6" s="199">
        <f t="shared" si="2"/>
        <v>1</v>
      </c>
      <c r="AJ6" s="199">
        <f t="shared" si="2"/>
        <v>1</v>
      </c>
      <c r="AK6" s="199">
        <f t="shared" si="2"/>
        <v>1</v>
      </c>
      <c r="AL6" s="199">
        <f t="shared" si="2"/>
        <v>1</v>
      </c>
      <c r="AM6" s="199">
        <f t="shared" si="2"/>
        <v>1</v>
      </c>
      <c r="AN6" s="199">
        <f>MATCH(AN$3,$D$5:$G$5,$H6)</f>
        <v>1</v>
      </c>
      <c r="AO6" s="199" t="e">
        <f t="shared" si="2"/>
        <v>#N/A</v>
      </c>
      <c r="AP6" s="199" t="e">
        <f t="shared" si="2"/>
        <v>#N/A</v>
      </c>
    </row>
    <row r="7" spans="1:48">
      <c r="A7" s="199" t="s">
        <v>16</v>
      </c>
      <c r="I7" s="199"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99" t="s">
        <v>16</v>
      </c>
      <c r="B8" s="14" t="s">
        <v>11</v>
      </c>
      <c r="C8" s="14"/>
      <c r="D8" s="14"/>
      <c r="E8" s="14"/>
      <c r="F8" s="14"/>
    </row>
    <row r="9" spans="1:48">
      <c r="A9" s="199" t="s">
        <v>16</v>
      </c>
      <c r="B9" s="199" t="s">
        <v>9</v>
      </c>
      <c r="C9" s="199" t="s">
        <v>10</v>
      </c>
      <c r="D9" s="199" t="s">
        <v>281</v>
      </c>
      <c r="E9" s="199"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99">
        <f>AN9+1</f>
        <v>32</v>
      </c>
      <c r="AP9" s="199">
        <f>AO9+1</f>
        <v>33</v>
      </c>
    </row>
    <row r="10" spans="1:48">
      <c r="A10" s="199" t="s">
        <v>16</v>
      </c>
      <c r="B10" s="200" t="str">
        <f>[4]IND!B10</f>
        <v>MI</v>
      </c>
      <c r="C10" s="200" t="str">
        <f>[4]IND!A10</f>
        <v>Mining</v>
      </c>
      <c r="D10" s="199">
        <f>[4]IND!M10</f>
        <v>1</v>
      </c>
      <c r="F10" s="200"/>
      <c r="G10" s="199">
        <f>MATCH(B10,Drivers!$A$7:$A$22,0)</f>
        <v>7</v>
      </c>
      <c r="H10" s="200"/>
      <c r="I10" s="200"/>
      <c r="J10" s="199">
        <f>INDEX(Drivers!$C$7:$AG$22,$G10,J$9)</f>
        <v>205.45</v>
      </c>
      <c r="K10" s="199">
        <f>INDEX(Drivers!$C$7:$AG$22,$G10,K$9)</f>
        <v>210.75</v>
      </c>
      <c r="L10" s="199">
        <f>INDEX(Drivers!$C$7:$AG$22,$G10,L$9)</f>
        <v>211.85</v>
      </c>
      <c r="M10" s="199">
        <f>INDEX(Drivers!$C$7:$AG$22,$G10,M$9)</f>
        <v>218.73</v>
      </c>
      <c r="N10" s="199">
        <f>INDEX(Drivers!$C$7:$AG$22,$G10,N$9)</f>
        <v>215.69</v>
      </c>
      <c r="O10" s="199">
        <f>INDEX(Drivers!$C$7:$AG$22,$G10,O$9)</f>
        <v>222.46</v>
      </c>
      <c r="P10" s="199">
        <f>INDEX(Drivers!$C$7:$AG$22,$G10,P$9)</f>
        <v>221.28</v>
      </c>
      <c r="Q10" s="199">
        <f>INDEX(Drivers!$C$7:$AG$22,$G10,Q$9)</f>
        <v>219.02</v>
      </c>
      <c r="R10" s="199">
        <f>INDEX(Drivers!$C$7:$AG$22,$G10,R$9)</f>
        <v>202.16</v>
      </c>
      <c r="S10" s="199">
        <f>INDEX(Drivers!$C$7:$AG$22,$G10,S$9)</f>
        <v>207.63</v>
      </c>
      <c r="T10" s="199">
        <f>INDEX(Drivers!$C$7:$AG$22,$G10,T$9)</f>
        <v>212.19</v>
      </c>
      <c r="U10" s="199">
        <f>INDEX(Drivers!$C$7:$AG$22,$G10,U$9)</f>
        <v>217.01</v>
      </c>
      <c r="V10" s="199">
        <f>INDEX(Drivers!$C$7:$AG$22,$G10,V$9)</f>
        <v>222.76</v>
      </c>
      <c r="W10" s="199">
        <f>INDEX(Drivers!$C$7:$AG$22,$G10,W$9)</f>
        <v>229</v>
      </c>
      <c r="X10" s="199">
        <f>INDEX(Drivers!$C$7:$AG$22,$G10,X$9)</f>
        <v>236.39</v>
      </c>
      <c r="Y10" s="199">
        <f>INDEX(Drivers!$C$7:$AG$22,$G10,Y$9)</f>
        <v>244.65</v>
      </c>
      <c r="Z10" s="199">
        <f>INDEX(Drivers!$C$7:$AG$22,$G10,Z$9)</f>
        <v>253.78</v>
      </c>
      <c r="AA10" s="199">
        <f>INDEX(Drivers!$C$7:$AG$22,$G10,AA$9)</f>
        <v>263.83</v>
      </c>
      <c r="AB10" s="199">
        <f>INDEX(Drivers!$C$7:$AG$22,$G10,AB$9)</f>
        <v>274.29000000000002</v>
      </c>
      <c r="AC10" s="199">
        <f>INDEX(Drivers!$C$7:$AG$22,$G10,AC$9)</f>
        <v>284.43</v>
      </c>
      <c r="AD10" s="199">
        <f>INDEX(Drivers!$C$7:$AG$22,$G10,AD$9)</f>
        <v>295.33999999999997</v>
      </c>
      <c r="AE10" s="199">
        <f>INDEX(Drivers!$C$7:$AG$22,$G10,AE$9)</f>
        <v>306.58</v>
      </c>
      <c r="AF10" s="199">
        <f>INDEX(Drivers!$C$7:$AG$22,$G10,AF$9)</f>
        <v>318.20999999999998</v>
      </c>
      <c r="AG10" s="199">
        <f>INDEX(Drivers!$C$7:$AG$22,$G10,AG$9)</f>
        <v>329.72</v>
      </c>
      <c r="AH10" s="199">
        <f>INDEX(Drivers!$C$7:$AG$22,$G10,AH$9)</f>
        <v>340.93</v>
      </c>
      <c r="AI10" s="199">
        <f>INDEX(Drivers!$C$7:$AG$22,$G10,AI$9)</f>
        <v>352.48</v>
      </c>
      <c r="AJ10" s="199">
        <f>INDEX(Drivers!$C$7:$AG$22,$G10,AJ$9)</f>
        <v>365.68</v>
      </c>
      <c r="AK10" s="199">
        <f>INDEX(Drivers!$C$7:$AG$22,$G10,AK$9)</f>
        <v>379.82</v>
      </c>
      <c r="AL10" s="199">
        <f>INDEX(Drivers!$C$7:$AG$22,$G10,AL$9)</f>
        <v>394.64</v>
      </c>
      <c r="AM10" s="199">
        <f>INDEX(Drivers!$C$7:$AG$22,$G10,AM$9)</f>
        <v>490.61</v>
      </c>
      <c r="AN10" s="199">
        <f>INDEX(Drivers!$C$7:$AG$22,$G10,AN$9)</f>
        <v>627.37</v>
      </c>
      <c r="AO10" s="199">
        <f>FORECAST(AO$3,$AL10:$AN10,$AL$3:$AN$3)</f>
        <v>853.30166666666628</v>
      </c>
      <c r="AP10" s="199">
        <f>FORECAST(AP$3,$AL10:$AN10,$AL$3:$AN$3)</f>
        <v>1086.0316666666695</v>
      </c>
    </row>
    <row r="11" spans="1:48">
      <c r="A11" s="199" t="s">
        <v>16</v>
      </c>
      <c r="B11" s="200" t="str">
        <f>[4]IND!B11</f>
        <v>FA</v>
      </c>
      <c r="C11" s="200" t="str">
        <f>[4]IND!A11</f>
        <v>Ferro Alloys</v>
      </c>
      <c r="D11" s="199">
        <f>[4]IND!M11</f>
        <v>0</v>
      </c>
      <c r="F11" s="200" t="s">
        <v>616</v>
      </c>
      <c r="G11" s="199">
        <f>G10</f>
        <v>7</v>
      </c>
      <c r="H11" s="200"/>
      <c r="I11" s="200"/>
      <c r="J11" s="199">
        <f>INDEX(Drivers!$C$7:$AG$22,$G11,J$9)</f>
        <v>205.45</v>
      </c>
      <c r="K11" s="199">
        <f>INDEX(Drivers!$C$7:$AG$22,$G11,K$9)</f>
        <v>210.75</v>
      </c>
      <c r="L11" s="199">
        <f>INDEX(Drivers!$C$7:$AG$22,$G11,L$9)</f>
        <v>211.85</v>
      </c>
      <c r="M11" s="199">
        <f>INDEX(Drivers!$C$7:$AG$22,$G11,M$9)</f>
        <v>218.73</v>
      </c>
      <c r="N11" s="199">
        <f>INDEX(Drivers!$C$7:$AG$22,$G11,N$9)</f>
        <v>215.69</v>
      </c>
      <c r="O11" s="199">
        <f>INDEX(Drivers!$C$7:$AG$22,$G11,O$9)</f>
        <v>222.46</v>
      </c>
      <c r="P11" s="199">
        <f>INDEX(Drivers!$C$7:$AG$22,$G11,P$9)</f>
        <v>221.28</v>
      </c>
      <c r="Q11" s="199">
        <f>INDEX(Drivers!$C$7:$AG$22,$G11,Q$9)</f>
        <v>219.02</v>
      </c>
      <c r="R11" s="199">
        <f>INDEX(Drivers!$C$7:$AG$22,$G11,R$9)</f>
        <v>202.16</v>
      </c>
      <c r="S11" s="199">
        <f>INDEX(Drivers!$C$7:$AG$22,$G11,S$9)</f>
        <v>207.63</v>
      </c>
      <c r="T11" s="199">
        <f>INDEX(Drivers!$C$7:$AG$22,$G11,T$9)</f>
        <v>212.19</v>
      </c>
      <c r="U11" s="199">
        <f>INDEX(Drivers!$C$7:$AG$22,$G11,U$9)</f>
        <v>217.01</v>
      </c>
      <c r="V11" s="199">
        <f>INDEX(Drivers!$C$7:$AG$22,$G11,V$9)</f>
        <v>222.76</v>
      </c>
      <c r="W11" s="199">
        <f>INDEX(Drivers!$C$7:$AG$22,$G11,W$9)</f>
        <v>229</v>
      </c>
      <c r="X11" s="199">
        <f>INDEX(Drivers!$C$7:$AG$22,$G11,X$9)</f>
        <v>236.39</v>
      </c>
      <c r="Y11" s="199">
        <f>INDEX(Drivers!$C$7:$AG$22,$G11,Y$9)</f>
        <v>244.65</v>
      </c>
      <c r="Z11" s="199">
        <f>INDEX(Drivers!$C$7:$AG$22,$G11,Z$9)</f>
        <v>253.78</v>
      </c>
      <c r="AA11" s="199">
        <f>INDEX(Drivers!$C$7:$AG$22,$G11,AA$9)</f>
        <v>263.83</v>
      </c>
      <c r="AB11" s="199">
        <f>INDEX(Drivers!$C$7:$AG$22,$G11,AB$9)</f>
        <v>274.29000000000002</v>
      </c>
      <c r="AC11" s="199">
        <f>INDEX(Drivers!$C$7:$AG$22,$G11,AC$9)</f>
        <v>284.43</v>
      </c>
      <c r="AD11" s="199">
        <f>INDEX(Drivers!$C$7:$AG$22,$G11,AD$9)</f>
        <v>295.33999999999997</v>
      </c>
      <c r="AE11" s="199">
        <f>INDEX(Drivers!$C$7:$AG$22,$G11,AE$9)</f>
        <v>306.58</v>
      </c>
      <c r="AF11" s="199">
        <f>INDEX(Drivers!$C$7:$AG$22,$G11,AF$9)</f>
        <v>318.20999999999998</v>
      </c>
      <c r="AG11" s="199">
        <f>INDEX(Drivers!$C$7:$AG$22,$G11,AG$9)</f>
        <v>329.72</v>
      </c>
      <c r="AH11" s="199">
        <f>INDEX(Drivers!$C$7:$AG$22,$G11,AH$9)</f>
        <v>340.93</v>
      </c>
      <c r="AI11" s="199">
        <f>INDEX(Drivers!$C$7:$AG$22,$G11,AI$9)</f>
        <v>352.48</v>
      </c>
      <c r="AJ11" s="199">
        <f>INDEX(Drivers!$C$7:$AG$22,$G11,AJ$9)</f>
        <v>365.68</v>
      </c>
      <c r="AK11" s="199">
        <f>INDEX(Drivers!$C$7:$AG$22,$G11,AK$9)</f>
        <v>379.82</v>
      </c>
      <c r="AL11" s="199">
        <f>INDEX(Drivers!$C$7:$AG$22,$G11,AL$9)</f>
        <v>394.64</v>
      </c>
      <c r="AM11" s="199">
        <f>INDEX(Drivers!$C$7:$AG$22,$G11,AM$9)</f>
        <v>490.61</v>
      </c>
      <c r="AN11" s="199">
        <f>INDEX(Drivers!$C$7:$AG$22,$G11,AN$9)</f>
        <v>627.37</v>
      </c>
      <c r="AO11" s="199">
        <f t="shared" ref="AO11:AP22" si="4">FORECAST(AO$3,$AL11:$AN11,$AL$3:$AN$3)</f>
        <v>853.30166666666628</v>
      </c>
      <c r="AP11" s="199">
        <f t="shared" si="4"/>
        <v>1086.0316666666695</v>
      </c>
    </row>
    <row r="12" spans="1:48">
      <c r="A12" s="199" t="s">
        <v>16</v>
      </c>
      <c r="B12" s="200" t="str">
        <f>[4]IND!B12</f>
        <v>IS</v>
      </c>
      <c r="C12" s="200" t="str">
        <f>[4]IND!A12</f>
        <v>Iron &amp; Steel</v>
      </c>
      <c r="D12" s="199">
        <f>[4]IND!M12</f>
        <v>0</v>
      </c>
      <c r="F12" s="200" t="s">
        <v>292</v>
      </c>
      <c r="G12" s="199">
        <f>MATCH(B12,Drivers!$A$7:$A$22,0)</f>
        <v>6</v>
      </c>
      <c r="H12" s="200"/>
      <c r="I12" s="200"/>
      <c r="J12" s="199">
        <f>INDEX(Drivers!$C$7:$AG$22,$G12,J$9)</f>
        <v>13.35</v>
      </c>
      <c r="K12" s="199">
        <f>INDEX(Drivers!$C$7:$AG$22,$G12,K$9)</f>
        <v>13.76</v>
      </c>
      <c r="L12" s="199">
        <f>INDEX(Drivers!$C$7:$AG$22,$G12,L$9)</f>
        <v>14.01</v>
      </c>
      <c r="M12" s="199">
        <f>INDEX(Drivers!$C$7:$AG$22,$G12,M$9)</f>
        <v>14.36</v>
      </c>
      <c r="N12" s="199">
        <f>INDEX(Drivers!$C$7:$AG$22,$G12,N$9)</f>
        <v>14.42</v>
      </c>
      <c r="O12" s="199">
        <f>INDEX(Drivers!$C$7:$AG$22,$G12,O$9)</f>
        <v>14.53</v>
      </c>
      <c r="P12" s="199">
        <f>INDEX(Drivers!$C$7:$AG$22,$G12,P$9)</f>
        <v>14.55</v>
      </c>
      <c r="Q12" s="199">
        <f>INDEX(Drivers!$C$7:$AG$22,$G12,Q$9)</f>
        <v>14.49</v>
      </c>
      <c r="R12" s="199">
        <f>INDEX(Drivers!$C$7:$AG$22,$G12,R$9)</f>
        <v>12.76</v>
      </c>
      <c r="S12" s="199">
        <f>INDEX(Drivers!$C$7:$AG$22,$G12,S$9)</f>
        <v>13.3</v>
      </c>
      <c r="T12" s="199">
        <f>INDEX(Drivers!$C$7:$AG$22,$G12,T$9)</f>
        <v>13.7</v>
      </c>
      <c r="U12" s="199">
        <f>INDEX(Drivers!$C$7:$AG$22,$G12,U$9)</f>
        <v>14.11</v>
      </c>
      <c r="V12" s="199">
        <f>INDEX(Drivers!$C$7:$AG$22,$G12,V$9)</f>
        <v>14.59</v>
      </c>
      <c r="W12" s="199">
        <f>INDEX(Drivers!$C$7:$AG$22,$G12,W$9)</f>
        <v>15.11</v>
      </c>
      <c r="X12" s="199">
        <f>INDEX(Drivers!$C$7:$AG$22,$G12,X$9)</f>
        <v>15.67</v>
      </c>
      <c r="Y12" s="199">
        <f>INDEX(Drivers!$C$7:$AG$22,$G12,Y$9)</f>
        <v>16.27</v>
      </c>
      <c r="Z12" s="199">
        <f>INDEX(Drivers!$C$7:$AG$22,$G12,Z$9)</f>
        <v>16.899999999999999</v>
      </c>
      <c r="AA12" s="199">
        <f>INDEX(Drivers!$C$7:$AG$22,$G12,AA$9)</f>
        <v>17.61</v>
      </c>
      <c r="AB12" s="199">
        <f>INDEX(Drivers!$C$7:$AG$22,$G12,AB$9)</f>
        <v>18.34</v>
      </c>
      <c r="AC12" s="199">
        <f>INDEX(Drivers!$C$7:$AG$22,$G12,AC$9)</f>
        <v>19.02</v>
      </c>
      <c r="AD12" s="199">
        <f>INDEX(Drivers!$C$7:$AG$22,$G12,AD$9)</f>
        <v>19.72</v>
      </c>
      <c r="AE12" s="199">
        <f>INDEX(Drivers!$C$7:$AG$22,$G12,AE$9)</f>
        <v>20.45</v>
      </c>
      <c r="AF12" s="199">
        <f>INDEX(Drivers!$C$7:$AG$22,$G12,AF$9)</f>
        <v>21.19</v>
      </c>
      <c r="AG12" s="199">
        <f>INDEX(Drivers!$C$7:$AG$22,$G12,AG$9)</f>
        <v>21.89</v>
      </c>
      <c r="AH12" s="199">
        <f>INDEX(Drivers!$C$7:$AG$22,$G12,AH$9)</f>
        <v>22.58</v>
      </c>
      <c r="AI12" s="199">
        <f>INDEX(Drivers!$C$7:$AG$22,$G12,AI$9)</f>
        <v>23.26</v>
      </c>
      <c r="AJ12" s="199">
        <f>INDEX(Drivers!$C$7:$AG$22,$G12,AJ$9)</f>
        <v>24.08</v>
      </c>
      <c r="AK12" s="199">
        <f>INDEX(Drivers!$C$7:$AG$22,$G12,AK$9)</f>
        <v>24.94</v>
      </c>
      <c r="AL12" s="199">
        <f>INDEX(Drivers!$C$7:$AG$22,$G12,AL$9)</f>
        <v>25.83</v>
      </c>
      <c r="AM12" s="199">
        <f>INDEX(Drivers!$C$7:$AG$22,$G12,AM$9)</f>
        <v>32.130000000000003</v>
      </c>
      <c r="AN12" s="199">
        <f>INDEX(Drivers!$C$7:$AG$22,$G12,AN$9)</f>
        <v>40.78</v>
      </c>
      <c r="AO12" s="199">
        <f t="shared" si="4"/>
        <v>55.338333333333594</v>
      </c>
      <c r="AP12" s="199">
        <f t="shared" si="4"/>
        <v>70.288333333333412</v>
      </c>
    </row>
    <row r="13" spans="1:48">
      <c r="A13" s="199" t="s">
        <v>16</v>
      </c>
      <c r="B13" s="200" t="str">
        <f>[4]IND!B14</f>
        <v>CP</v>
      </c>
      <c r="C13" s="200" t="str">
        <f>[4]IND!A14</f>
        <v>Chemicals</v>
      </c>
      <c r="D13" s="199">
        <f>[4]IND!M14</f>
        <v>1</v>
      </c>
      <c r="F13" s="200"/>
      <c r="G13" s="199">
        <f>MATCH(B13,Drivers!$A$7:$A$22,0)</f>
        <v>3</v>
      </c>
      <c r="H13" s="200"/>
      <c r="I13" s="200"/>
      <c r="J13" s="199">
        <f>INDEX(Drivers!$C$7:$AG$22,$G13,J$9)</f>
        <v>52.81</v>
      </c>
      <c r="K13" s="199">
        <f>INDEX(Drivers!$C$7:$AG$22,$G13,K$9)</f>
        <v>54.42</v>
      </c>
      <c r="L13" s="199">
        <f>INDEX(Drivers!$C$7:$AG$22,$G13,L$9)</f>
        <v>55.54</v>
      </c>
      <c r="M13" s="199">
        <f>INDEX(Drivers!$C$7:$AG$22,$G13,M$9)</f>
        <v>56.23</v>
      </c>
      <c r="N13" s="199">
        <f>INDEX(Drivers!$C$7:$AG$22,$G13,N$9)</f>
        <v>56.92</v>
      </c>
      <c r="O13" s="199">
        <f>INDEX(Drivers!$C$7:$AG$22,$G13,O$9)</f>
        <v>57.4</v>
      </c>
      <c r="P13" s="199">
        <f>INDEX(Drivers!$C$7:$AG$22,$G13,P$9)</f>
        <v>58.26</v>
      </c>
      <c r="Q13" s="199">
        <f>INDEX(Drivers!$C$7:$AG$22,$G13,Q$9)</f>
        <v>58.61</v>
      </c>
      <c r="R13" s="199">
        <f>INDEX(Drivers!$C$7:$AG$22,$G13,R$9)</f>
        <v>54.23</v>
      </c>
      <c r="S13" s="199">
        <f>INDEX(Drivers!$C$7:$AG$22,$G13,S$9)</f>
        <v>56.56</v>
      </c>
      <c r="T13" s="199">
        <f>INDEX(Drivers!$C$7:$AG$22,$G13,T$9)</f>
        <v>58.58</v>
      </c>
      <c r="U13" s="199">
        <f>INDEX(Drivers!$C$7:$AG$22,$G13,U$9)</f>
        <v>60.71</v>
      </c>
      <c r="V13" s="199">
        <f>INDEX(Drivers!$C$7:$AG$22,$G13,V$9)</f>
        <v>63.17</v>
      </c>
      <c r="W13" s="199">
        <f>INDEX(Drivers!$C$7:$AG$22,$G13,W$9)</f>
        <v>65.87</v>
      </c>
      <c r="X13" s="199">
        <f>INDEX(Drivers!$C$7:$AG$22,$G13,X$9)</f>
        <v>68.75</v>
      </c>
      <c r="Y13" s="199">
        <f>INDEX(Drivers!$C$7:$AG$22,$G13,Y$9)</f>
        <v>71.84</v>
      </c>
      <c r="Z13" s="199">
        <f>INDEX(Drivers!$C$7:$AG$22,$G13,Z$9)</f>
        <v>75.19</v>
      </c>
      <c r="AA13" s="199">
        <f>INDEX(Drivers!$C$7:$AG$22,$G13,AA$9)</f>
        <v>78.97</v>
      </c>
      <c r="AB13" s="199">
        <f>INDEX(Drivers!$C$7:$AG$22,$G13,AB$9)</f>
        <v>82.97</v>
      </c>
      <c r="AC13" s="199">
        <f>INDEX(Drivers!$C$7:$AG$22,$G13,AC$9)</f>
        <v>86.85</v>
      </c>
      <c r="AD13" s="199">
        <f>INDEX(Drivers!$C$7:$AG$22,$G13,AD$9)</f>
        <v>90.96</v>
      </c>
      <c r="AE13" s="199">
        <f>INDEX(Drivers!$C$7:$AG$22,$G13,AE$9)</f>
        <v>95.23</v>
      </c>
      <c r="AF13" s="199">
        <f>INDEX(Drivers!$C$7:$AG$22,$G13,AF$9)</f>
        <v>99.76</v>
      </c>
      <c r="AG13" s="199">
        <f>INDEX(Drivers!$C$7:$AG$22,$G13,AG$9)</f>
        <v>104.17</v>
      </c>
      <c r="AH13" s="199">
        <f>INDEX(Drivers!$C$7:$AG$22,$G13,AH$9)</f>
        <v>108.73</v>
      </c>
      <c r="AI13" s="199">
        <f>INDEX(Drivers!$C$7:$AG$22,$G13,AI$9)</f>
        <v>113.82</v>
      </c>
      <c r="AJ13" s="199">
        <f>INDEX(Drivers!$C$7:$AG$22,$G13,AJ$9)</f>
        <v>119.24</v>
      </c>
      <c r="AK13" s="199">
        <f>INDEX(Drivers!$C$7:$AG$22,$G13,AK$9)</f>
        <v>125</v>
      </c>
      <c r="AL13" s="199">
        <f>INDEX(Drivers!$C$7:$AG$22,$G13,AL$9)</f>
        <v>131.04</v>
      </c>
      <c r="AM13" s="199">
        <f>INDEX(Drivers!$C$7:$AG$22,$G13,AM$9)</f>
        <v>168.26</v>
      </c>
      <c r="AN13" s="199">
        <f>INDEX(Drivers!$C$7:$AG$22,$G13,AN$9)</f>
        <v>216.25</v>
      </c>
      <c r="AO13" s="199">
        <f t="shared" si="4"/>
        <v>299.66499999999724</v>
      </c>
      <c r="AP13" s="199">
        <f t="shared" si="4"/>
        <v>384.87499999999636</v>
      </c>
    </row>
    <row r="14" spans="1:48">
      <c r="A14" s="199" t="s">
        <v>16</v>
      </c>
      <c r="B14" s="200" t="str">
        <f>[4]IND!B15</f>
        <v>NF</v>
      </c>
      <c r="C14" s="200" t="str">
        <f>[4]IND!A15</f>
        <v>Precious &amp; Non-Ferrous metals</v>
      </c>
      <c r="D14" s="199">
        <f>[4]IND!M15</f>
        <v>1</v>
      </c>
      <c r="F14" s="200"/>
      <c r="G14" s="199">
        <f>MATCH(B14,Drivers!$A$7:$A$22,0)</f>
        <v>8</v>
      </c>
      <c r="H14" s="200"/>
      <c r="I14" s="200"/>
      <c r="J14" s="199">
        <f>INDEX(Drivers!$C$7:$AG$22,$G14,J$9)</f>
        <v>10.11</v>
      </c>
      <c r="K14" s="199">
        <f>INDEX(Drivers!$C$7:$AG$22,$G14,K$9)</f>
        <v>8.57</v>
      </c>
      <c r="L14" s="199">
        <f>INDEX(Drivers!$C$7:$AG$22,$G14,L$9)</f>
        <v>7.79</v>
      </c>
      <c r="M14" s="199">
        <f>INDEX(Drivers!$C$7:$AG$22,$G14,M$9)</f>
        <v>7.87</v>
      </c>
      <c r="N14" s="199">
        <f>INDEX(Drivers!$C$7:$AG$22,$G14,N$9)</f>
        <v>7.63</v>
      </c>
      <c r="O14" s="199">
        <f>INDEX(Drivers!$C$7:$AG$22,$G14,O$9)</f>
        <v>7.31</v>
      </c>
      <c r="P14" s="199">
        <f>INDEX(Drivers!$C$7:$AG$22,$G14,P$9)</f>
        <v>7.14</v>
      </c>
      <c r="Q14" s="199">
        <f>INDEX(Drivers!$C$7:$AG$22,$G14,Q$9)</f>
        <v>6.85</v>
      </c>
      <c r="R14" s="199">
        <f>INDEX(Drivers!$C$7:$AG$22,$G14,R$9)</f>
        <v>5.64</v>
      </c>
      <c r="S14" s="199">
        <f>INDEX(Drivers!$C$7:$AG$22,$G14,S$9)</f>
        <v>5.89</v>
      </c>
      <c r="T14" s="199">
        <f>INDEX(Drivers!$C$7:$AG$22,$G14,T$9)</f>
        <v>6</v>
      </c>
      <c r="U14" s="199">
        <f>INDEX(Drivers!$C$7:$AG$22,$G14,U$9)</f>
        <v>6.11</v>
      </c>
      <c r="V14" s="199">
        <f>INDEX(Drivers!$C$7:$AG$22,$G14,V$9)</f>
        <v>6.29</v>
      </c>
      <c r="W14" s="199">
        <f>INDEX(Drivers!$C$7:$AG$22,$G14,W$9)</f>
        <v>6.51</v>
      </c>
      <c r="X14" s="199">
        <f>INDEX(Drivers!$C$7:$AG$22,$G14,X$9)</f>
        <v>6.75</v>
      </c>
      <c r="Y14" s="199">
        <f>INDEX(Drivers!$C$7:$AG$22,$G14,Y$9)</f>
        <v>7.02</v>
      </c>
      <c r="Z14" s="199">
        <f>INDEX(Drivers!$C$7:$AG$22,$G14,Z$9)</f>
        <v>7.3</v>
      </c>
      <c r="AA14" s="199">
        <f>INDEX(Drivers!$C$7:$AG$22,$G14,AA$9)</f>
        <v>7.64</v>
      </c>
      <c r="AB14" s="199">
        <f>INDEX(Drivers!$C$7:$AG$22,$G14,AB$9)</f>
        <v>8.02</v>
      </c>
      <c r="AC14" s="199">
        <f>INDEX(Drivers!$C$7:$AG$22,$G14,AC$9)</f>
        <v>8.36</v>
      </c>
      <c r="AD14" s="199">
        <f>INDEX(Drivers!$C$7:$AG$22,$G14,AD$9)</f>
        <v>8.69</v>
      </c>
      <c r="AE14" s="199">
        <f>INDEX(Drivers!$C$7:$AG$22,$G14,AE$9)</f>
        <v>8.9700000000000006</v>
      </c>
      <c r="AF14" s="199">
        <f>INDEX(Drivers!$C$7:$AG$22,$G14,AF$9)</f>
        <v>9.2200000000000006</v>
      </c>
      <c r="AG14" s="199">
        <f>INDEX(Drivers!$C$7:$AG$22,$G14,AG$9)</f>
        <v>9.43</v>
      </c>
      <c r="AH14" s="199">
        <f>INDEX(Drivers!$C$7:$AG$22,$G14,AH$9)</f>
        <v>9.59</v>
      </c>
      <c r="AI14" s="199">
        <f>INDEX(Drivers!$C$7:$AG$22,$G14,AI$9)</f>
        <v>9.7200000000000006</v>
      </c>
      <c r="AJ14" s="199">
        <f>INDEX(Drivers!$C$7:$AG$22,$G14,AJ$9)</f>
        <v>9.82</v>
      </c>
      <c r="AK14" s="199">
        <f>INDEX(Drivers!$C$7:$AG$22,$G14,AK$9)</f>
        <v>9.93</v>
      </c>
      <c r="AL14" s="199">
        <f>INDEX(Drivers!$C$7:$AG$22,$G14,AL$9)</f>
        <v>10.039999999999999</v>
      </c>
      <c r="AM14" s="199">
        <f>INDEX(Drivers!$C$7:$AG$22,$G14,AM$9)</f>
        <v>11.66</v>
      </c>
      <c r="AN14" s="199">
        <f>INDEX(Drivers!$C$7:$AG$22,$G14,AN$9)</f>
        <v>14.85</v>
      </c>
      <c r="AO14" s="199">
        <f t="shared" si="4"/>
        <v>19.398333333333312</v>
      </c>
      <c r="AP14" s="199">
        <f t="shared" si="4"/>
        <v>24.208333333333258</v>
      </c>
    </row>
    <row r="15" spans="1:48">
      <c r="A15" s="199" t="s">
        <v>16</v>
      </c>
      <c r="B15" s="200" t="str">
        <f>[4]IND!B16</f>
        <v>NM</v>
      </c>
      <c r="C15" s="200" t="str">
        <f>[4]IND!A16</f>
        <v>N.M.M Products</v>
      </c>
      <c r="D15" s="199">
        <f>[4]IND!M16</f>
        <v>0</v>
      </c>
      <c r="F15" s="200" t="s">
        <v>293</v>
      </c>
      <c r="G15" s="199">
        <f>MATCH(B15,Drivers!$A$7:$A$22,0)</f>
        <v>9</v>
      </c>
      <c r="H15" s="200"/>
      <c r="I15" s="200"/>
      <c r="J15" s="199">
        <f>INDEX(Drivers!$C$7:$AG$22,$G15,J$9)</f>
        <v>14.11</v>
      </c>
      <c r="K15" s="199">
        <f>INDEX(Drivers!$C$7:$AG$22,$G15,K$9)</f>
        <v>14.52</v>
      </c>
      <c r="L15" s="199">
        <f>INDEX(Drivers!$C$7:$AG$22,$G15,L$9)</f>
        <v>14.78</v>
      </c>
      <c r="M15" s="199">
        <f>INDEX(Drivers!$C$7:$AG$22,$G15,M$9)</f>
        <v>15.04</v>
      </c>
      <c r="N15" s="199">
        <f>INDEX(Drivers!$C$7:$AG$22,$G15,N$9)</f>
        <v>15.24</v>
      </c>
      <c r="O15" s="199">
        <f>INDEX(Drivers!$C$7:$AG$22,$G15,O$9)</f>
        <v>15.41</v>
      </c>
      <c r="P15" s="199">
        <f>INDEX(Drivers!$C$7:$AG$22,$G15,P$9)</f>
        <v>15.66</v>
      </c>
      <c r="Q15" s="199">
        <f>INDEX(Drivers!$C$7:$AG$22,$G15,Q$9)</f>
        <v>15.81</v>
      </c>
      <c r="R15" s="199">
        <f>INDEX(Drivers!$C$7:$AG$22,$G15,R$9)</f>
        <v>14.58</v>
      </c>
      <c r="S15" s="199">
        <f>INDEX(Drivers!$C$7:$AG$22,$G15,S$9)</f>
        <v>15.21</v>
      </c>
      <c r="T15" s="199">
        <f>INDEX(Drivers!$C$7:$AG$22,$G15,T$9)</f>
        <v>15.77</v>
      </c>
      <c r="U15" s="199">
        <f>INDEX(Drivers!$C$7:$AG$22,$G15,U$9)</f>
        <v>16.38</v>
      </c>
      <c r="V15" s="199">
        <f>INDEX(Drivers!$C$7:$AG$22,$G15,V$9)</f>
        <v>17.07</v>
      </c>
      <c r="W15" s="199">
        <f>INDEX(Drivers!$C$7:$AG$22,$G15,W$9)</f>
        <v>17.809999999999999</v>
      </c>
      <c r="X15" s="199">
        <f>INDEX(Drivers!$C$7:$AG$22,$G15,X$9)</f>
        <v>18.64</v>
      </c>
      <c r="Y15" s="199">
        <f>INDEX(Drivers!$C$7:$AG$22,$G15,Y$9)</f>
        <v>19.53</v>
      </c>
      <c r="Z15" s="199">
        <f>INDEX(Drivers!$C$7:$AG$22,$G15,Z$9)</f>
        <v>20.48</v>
      </c>
      <c r="AA15" s="199">
        <f>INDEX(Drivers!$C$7:$AG$22,$G15,AA$9)</f>
        <v>21.56</v>
      </c>
      <c r="AB15" s="199">
        <f>INDEX(Drivers!$C$7:$AG$22,$G15,AB$9)</f>
        <v>22.7</v>
      </c>
      <c r="AC15" s="199">
        <f>INDEX(Drivers!$C$7:$AG$22,$G15,AC$9)</f>
        <v>23.86</v>
      </c>
      <c r="AD15" s="199">
        <f>INDEX(Drivers!$C$7:$AG$22,$G15,AD$9)</f>
        <v>25.08</v>
      </c>
      <c r="AE15" s="199">
        <f>INDEX(Drivers!$C$7:$AG$22,$G15,AE$9)</f>
        <v>26.38</v>
      </c>
      <c r="AF15" s="199">
        <f>INDEX(Drivers!$C$7:$AG$22,$G15,AF$9)</f>
        <v>27.75</v>
      </c>
      <c r="AG15" s="199">
        <f>INDEX(Drivers!$C$7:$AG$22,$G15,AG$9)</f>
        <v>29.12</v>
      </c>
      <c r="AH15" s="199">
        <f>INDEX(Drivers!$C$7:$AG$22,$G15,AH$9)</f>
        <v>30.54</v>
      </c>
      <c r="AI15" s="199">
        <f>INDEX(Drivers!$C$7:$AG$22,$G15,AI$9)</f>
        <v>32.14</v>
      </c>
      <c r="AJ15" s="199">
        <f>INDEX(Drivers!$C$7:$AG$22,$G15,AJ$9)</f>
        <v>33.81</v>
      </c>
      <c r="AK15" s="199">
        <f>INDEX(Drivers!$C$7:$AG$22,$G15,AK$9)</f>
        <v>35.56</v>
      </c>
      <c r="AL15" s="199">
        <f>INDEX(Drivers!$C$7:$AG$22,$G15,AL$9)</f>
        <v>37.380000000000003</v>
      </c>
      <c r="AM15" s="199">
        <f>INDEX(Drivers!$C$7:$AG$22,$G15,AM$9)</f>
        <v>48.2</v>
      </c>
      <c r="AN15" s="199">
        <f>INDEX(Drivers!$C$7:$AG$22,$G15,AN$9)</f>
        <v>61.69</v>
      </c>
      <c r="AO15" s="199">
        <f t="shared" si="4"/>
        <v>85.554999999999382</v>
      </c>
      <c r="AP15" s="199">
        <f t="shared" si="4"/>
        <v>109.86499999999978</v>
      </c>
    </row>
    <row r="16" spans="1:48">
      <c r="A16" s="199" t="s">
        <v>16</v>
      </c>
      <c r="B16" s="200" t="str">
        <f t="shared" ref="B16:D18" si="5">B15</f>
        <v>NM</v>
      </c>
      <c r="C16" s="200" t="str">
        <f t="shared" si="5"/>
        <v>N.M.M Products</v>
      </c>
      <c r="D16" s="199">
        <f t="shared" si="5"/>
        <v>0</v>
      </c>
      <c r="F16" s="200" t="s">
        <v>297</v>
      </c>
      <c r="G16" s="199">
        <f>MATCH(B16,Drivers!$A$7:$A$22,0)</f>
        <v>9</v>
      </c>
      <c r="H16" s="200"/>
      <c r="I16" s="200"/>
      <c r="J16" s="199">
        <f>INDEX(Drivers!$C$7:$AG$22,$G16,J$9)</f>
        <v>14.11</v>
      </c>
      <c r="K16" s="199">
        <f>INDEX(Drivers!$C$7:$AG$22,$G16,K$9)</f>
        <v>14.52</v>
      </c>
      <c r="L16" s="199">
        <f>INDEX(Drivers!$C$7:$AG$22,$G16,L$9)</f>
        <v>14.78</v>
      </c>
      <c r="M16" s="199">
        <f>INDEX(Drivers!$C$7:$AG$22,$G16,M$9)</f>
        <v>15.04</v>
      </c>
      <c r="N16" s="199">
        <f>INDEX(Drivers!$C$7:$AG$22,$G16,N$9)</f>
        <v>15.24</v>
      </c>
      <c r="O16" s="199">
        <f>INDEX(Drivers!$C$7:$AG$22,$G16,O$9)</f>
        <v>15.41</v>
      </c>
      <c r="P16" s="199">
        <f>INDEX(Drivers!$C$7:$AG$22,$G16,P$9)</f>
        <v>15.66</v>
      </c>
      <c r="Q16" s="199">
        <f>INDEX(Drivers!$C$7:$AG$22,$G16,Q$9)</f>
        <v>15.81</v>
      </c>
      <c r="R16" s="199">
        <f>INDEX(Drivers!$C$7:$AG$22,$G16,R$9)</f>
        <v>14.58</v>
      </c>
      <c r="S16" s="199">
        <f>INDEX(Drivers!$C$7:$AG$22,$G16,S$9)</f>
        <v>15.21</v>
      </c>
      <c r="T16" s="199">
        <f>INDEX(Drivers!$C$7:$AG$22,$G16,T$9)</f>
        <v>15.77</v>
      </c>
      <c r="U16" s="199">
        <f>INDEX(Drivers!$C$7:$AG$22,$G16,U$9)</f>
        <v>16.38</v>
      </c>
      <c r="V16" s="199">
        <f>INDEX(Drivers!$C$7:$AG$22,$G16,V$9)</f>
        <v>17.07</v>
      </c>
      <c r="W16" s="199">
        <f>INDEX(Drivers!$C$7:$AG$22,$G16,W$9)</f>
        <v>17.809999999999999</v>
      </c>
      <c r="X16" s="199">
        <f>INDEX(Drivers!$C$7:$AG$22,$G16,X$9)</f>
        <v>18.64</v>
      </c>
      <c r="Y16" s="199">
        <f>INDEX(Drivers!$C$7:$AG$22,$G16,Y$9)</f>
        <v>19.53</v>
      </c>
      <c r="Z16" s="199">
        <f>INDEX(Drivers!$C$7:$AG$22,$G16,Z$9)</f>
        <v>20.48</v>
      </c>
      <c r="AA16" s="199">
        <f>INDEX(Drivers!$C$7:$AG$22,$G16,AA$9)</f>
        <v>21.56</v>
      </c>
      <c r="AB16" s="199">
        <f>INDEX(Drivers!$C$7:$AG$22,$G16,AB$9)</f>
        <v>22.7</v>
      </c>
      <c r="AC16" s="199">
        <f>INDEX(Drivers!$C$7:$AG$22,$G16,AC$9)</f>
        <v>23.86</v>
      </c>
      <c r="AD16" s="199">
        <f>INDEX(Drivers!$C$7:$AG$22,$G16,AD$9)</f>
        <v>25.08</v>
      </c>
      <c r="AE16" s="199">
        <f>INDEX(Drivers!$C$7:$AG$22,$G16,AE$9)</f>
        <v>26.38</v>
      </c>
      <c r="AF16" s="199">
        <f>INDEX(Drivers!$C$7:$AG$22,$G16,AF$9)</f>
        <v>27.75</v>
      </c>
      <c r="AG16" s="199">
        <f>INDEX(Drivers!$C$7:$AG$22,$G16,AG$9)</f>
        <v>29.12</v>
      </c>
      <c r="AH16" s="199">
        <f>INDEX(Drivers!$C$7:$AG$22,$G16,AH$9)</f>
        <v>30.54</v>
      </c>
      <c r="AI16" s="199">
        <f>INDEX(Drivers!$C$7:$AG$22,$G16,AI$9)</f>
        <v>32.14</v>
      </c>
      <c r="AJ16" s="199">
        <f>INDEX(Drivers!$C$7:$AG$22,$G16,AJ$9)</f>
        <v>33.81</v>
      </c>
      <c r="AK16" s="199">
        <f>INDEX(Drivers!$C$7:$AG$22,$G16,AK$9)</f>
        <v>35.56</v>
      </c>
      <c r="AL16" s="199">
        <f>INDEX(Drivers!$C$7:$AG$22,$G16,AL$9)</f>
        <v>37.380000000000003</v>
      </c>
      <c r="AM16" s="199">
        <f>INDEX(Drivers!$C$7:$AG$22,$G16,AM$9)</f>
        <v>48.2</v>
      </c>
      <c r="AN16" s="199">
        <f>INDEX(Drivers!$C$7:$AG$22,$G16,AN$9)</f>
        <v>61.69</v>
      </c>
      <c r="AO16" s="199">
        <f t="shared" si="4"/>
        <v>85.554999999999382</v>
      </c>
      <c r="AP16" s="199">
        <f t="shared" si="4"/>
        <v>109.86499999999978</v>
      </c>
    </row>
    <row r="17" spans="1:42">
      <c r="A17" s="199" t="s">
        <v>16</v>
      </c>
      <c r="B17" s="200" t="str">
        <f t="shared" si="5"/>
        <v>NM</v>
      </c>
      <c r="C17" s="200" t="str">
        <f t="shared" si="5"/>
        <v>N.M.M Products</v>
      </c>
      <c r="D17" s="199">
        <f t="shared" si="5"/>
        <v>0</v>
      </c>
      <c r="F17" s="200" t="s">
        <v>298</v>
      </c>
      <c r="G17" s="199">
        <f>MATCH(B17,Drivers!$A$7:$A$22,0)</f>
        <v>9</v>
      </c>
      <c r="H17" s="200"/>
      <c r="I17" s="200"/>
      <c r="J17" s="199">
        <f>INDEX(Drivers!$C$7:$AG$22,$G17,J$9)</f>
        <v>14.11</v>
      </c>
      <c r="K17" s="199">
        <f>INDEX(Drivers!$C$7:$AG$22,$G17,K$9)</f>
        <v>14.52</v>
      </c>
      <c r="L17" s="199">
        <f>INDEX(Drivers!$C$7:$AG$22,$G17,L$9)</f>
        <v>14.78</v>
      </c>
      <c r="M17" s="199">
        <f>INDEX(Drivers!$C$7:$AG$22,$G17,M$9)</f>
        <v>15.04</v>
      </c>
      <c r="N17" s="199">
        <f>INDEX(Drivers!$C$7:$AG$22,$G17,N$9)</f>
        <v>15.24</v>
      </c>
      <c r="O17" s="199">
        <f>INDEX(Drivers!$C$7:$AG$22,$G17,O$9)</f>
        <v>15.41</v>
      </c>
      <c r="P17" s="199">
        <f>INDEX(Drivers!$C$7:$AG$22,$G17,P$9)</f>
        <v>15.66</v>
      </c>
      <c r="Q17" s="199">
        <f>INDEX(Drivers!$C$7:$AG$22,$G17,Q$9)</f>
        <v>15.81</v>
      </c>
      <c r="R17" s="199">
        <f>INDEX(Drivers!$C$7:$AG$22,$G17,R$9)</f>
        <v>14.58</v>
      </c>
      <c r="S17" s="199">
        <f>INDEX(Drivers!$C$7:$AG$22,$G17,S$9)</f>
        <v>15.21</v>
      </c>
      <c r="T17" s="199">
        <f>INDEX(Drivers!$C$7:$AG$22,$G17,T$9)</f>
        <v>15.77</v>
      </c>
      <c r="U17" s="199">
        <f>INDEX(Drivers!$C$7:$AG$22,$G17,U$9)</f>
        <v>16.38</v>
      </c>
      <c r="V17" s="199">
        <f>INDEX(Drivers!$C$7:$AG$22,$G17,V$9)</f>
        <v>17.07</v>
      </c>
      <c r="W17" s="199">
        <f>INDEX(Drivers!$C$7:$AG$22,$G17,W$9)</f>
        <v>17.809999999999999</v>
      </c>
      <c r="X17" s="199">
        <f>INDEX(Drivers!$C$7:$AG$22,$G17,X$9)</f>
        <v>18.64</v>
      </c>
      <c r="Y17" s="199">
        <f>INDEX(Drivers!$C$7:$AG$22,$G17,Y$9)</f>
        <v>19.53</v>
      </c>
      <c r="Z17" s="199">
        <f>INDEX(Drivers!$C$7:$AG$22,$G17,Z$9)</f>
        <v>20.48</v>
      </c>
      <c r="AA17" s="199">
        <f>INDEX(Drivers!$C$7:$AG$22,$G17,AA$9)</f>
        <v>21.56</v>
      </c>
      <c r="AB17" s="199">
        <f>INDEX(Drivers!$C$7:$AG$22,$G17,AB$9)</f>
        <v>22.7</v>
      </c>
      <c r="AC17" s="199">
        <f>INDEX(Drivers!$C$7:$AG$22,$G17,AC$9)</f>
        <v>23.86</v>
      </c>
      <c r="AD17" s="199">
        <f>INDEX(Drivers!$C$7:$AG$22,$G17,AD$9)</f>
        <v>25.08</v>
      </c>
      <c r="AE17" s="199">
        <f>INDEX(Drivers!$C$7:$AG$22,$G17,AE$9)</f>
        <v>26.38</v>
      </c>
      <c r="AF17" s="199">
        <f>INDEX(Drivers!$C$7:$AG$22,$G17,AF$9)</f>
        <v>27.75</v>
      </c>
      <c r="AG17" s="199">
        <f>INDEX(Drivers!$C$7:$AG$22,$G17,AG$9)</f>
        <v>29.12</v>
      </c>
      <c r="AH17" s="199">
        <f>INDEX(Drivers!$C$7:$AG$22,$G17,AH$9)</f>
        <v>30.54</v>
      </c>
      <c r="AI17" s="199">
        <f>INDEX(Drivers!$C$7:$AG$22,$G17,AI$9)</f>
        <v>32.14</v>
      </c>
      <c r="AJ17" s="199">
        <f>INDEX(Drivers!$C$7:$AG$22,$G17,AJ$9)</f>
        <v>33.81</v>
      </c>
      <c r="AK17" s="199">
        <f>INDEX(Drivers!$C$7:$AG$22,$G17,AK$9)</f>
        <v>35.56</v>
      </c>
      <c r="AL17" s="199">
        <f>INDEX(Drivers!$C$7:$AG$22,$G17,AL$9)</f>
        <v>37.380000000000003</v>
      </c>
      <c r="AM17" s="199">
        <f>INDEX(Drivers!$C$7:$AG$22,$G17,AM$9)</f>
        <v>48.2</v>
      </c>
      <c r="AN17" s="199">
        <f>INDEX(Drivers!$C$7:$AG$22,$G17,AN$9)</f>
        <v>61.69</v>
      </c>
      <c r="AO17" s="199">
        <f t="shared" si="4"/>
        <v>85.554999999999382</v>
      </c>
      <c r="AP17" s="199">
        <f t="shared" si="4"/>
        <v>109.86499999999978</v>
      </c>
    </row>
    <row r="18" spans="1:42">
      <c r="A18" s="199" t="s">
        <v>16</v>
      </c>
      <c r="B18" s="200" t="str">
        <f t="shared" si="5"/>
        <v>NM</v>
      </c>
      <c r="C18" s="200" t="str">
        <f t="shared" si="5"/>
        <v>N.M.M Products</v>
      </c>
      <c r="D18" s="199">
        <f t="shared" si="5"/>
        <v>0</v>
      </c>
      <c r="F18" s="200" t="s">
        <v>299</v>
      </c>
      <c r="G18" s="199">
        <f>MATCH(B18,Drivers!$A$7:$A$22,0)</f>
        <v>9</v>
      </c>
      <c r="H18" s="200"/>
      <c r="I18" s="200"/>
      <c r="J18" s="199">
        <f>INDEX(Drivers!$C$7:$AG$22,$G18,J$9)</f>
        <v>14.11</v>
      </c>
      <c r="K18" s="199">
        <f>INDEX(Drivers!$C$7:$AG$22,$G18,K$9)</f>
        <v>14.52</v>
      </c>
      <c r="L18" s="199">
        <f>INDEX(Drivers!$C$7:$AG$22,$G18,L$9)</f>
        <v>14.78</v>
      </c>
      <c r="M18" s="199">
        <f>INDEX(Drivers!$C$7:$AG$22,$G18,M$9)</f>
        <v>15.04</v>
      </c>
      <c r="N18" s="199">
        <f>INDEX(Drivers!$C$7:$AG$22,$G18,N$9)</f>
        <v>15.24</v>
      </c>
      <c r="O18" s="199">
        <f>INDEX(Drivers!$C$7:$AG$22,$G18,O$9)</f>
        <v>15.41</v>
      </c>
      <c r="P18" s="199">
        <f>INDEX(Drivers!$C$7:$AG$22,$G18,P$9)</f>
        <v>15.66</v>
      </c>
      <c r="Q18" s="199">
        <f>INDEX(Drivers!$C$7:$AG$22,$G18,Q$9)</f>
        <v>15.81</v>
      </c>
      <c r="R18" s="199">
        <f>INDEX(Drivers!$C$7:$AG$22,$G18,R$9)</f>
        <v>14.58</v>
      </c>
      <c r="S18" s="199">
        <f>INDEX(Drivers!$C$7:$AG$22,$G18,S$9)</f>
        <v>15.21</v>
      </c>
      <c r="T18" s="199">
        <f>INDEX(Drivers!$C$7:$AG$22,$G18,T$9)</f>
        <v>15.77</v>
      </c>
      <c r="U18" s="199">
        <f>INDEX(Drivers!$C$7:$AG$22,$G18,U$9)</f>
        <v>16.38</v>
      </c>
      <c r="V18" s="199">
        <f>INDEX(Drivers!$C$7:$AG$22,$G18,V$9)</f>
        <v>17.07</v>
      </c>
      <c r="W18" s="199">
        <f>INDEX(Drivers!$C$7:$AG$22,$G18,W$9)</f>
        <v>17.809999999999999</v>
      </c>
      <c r="X18" s="199">
        <f>INDEX(Drivers!$C$7:$AG$22,$G18,X$9)</f>
        <v>18.64</v>
      </c>
      <c r="Y18" s="199">
        <f>INDEX(Drivers!$C$7:$AG$22,$G18,Y$9)</f>
        <v>19.53</v>
      </c>
      <c r="Z18" s="199">
        <f>INDEX(Drivers!$C$7:$AG$22,$G18,Z$9)</f>
        <v>20.48</v>
      </c>
      <c r="AA18" s="199">
        <f>INDEX(Drivers!$C$7:$AG$22,$G18,AA$9)</f>
        <v>21.56</v>
      </c>
      <c r="AB18" s="199">
        <f>INDEX(Drivers!$C$7:$AG$22,$G18,AB$9)</f>
        <v>22.7</v>
      </c>
      <c r="AC18" s="199">
        <f>INDEX(Drivers!$C$7:$AG$22,$G18,AC$9)</f>
        <v>23.86</v>
      </c>
      <c r="AD18" s="199">
        <f>INDEX(Drivers!$C$7:$AG$22,$G18,AD$9)</f>
        <v>25.08</v>
      </c>
      <c r="AE18" s="199">
        <f>INDEX(Drivers!$C$7:$AG$22,$G18,AE$9)</f>
        <v>26.38</v>
      </c>
      <c r="AF18" s="199">
        <f>INDEX(Drivers!$C$7:$AG$22,$G18,AF$9)</f>
        <v>27.75</v>
      </c>
      <c r="AG18" s="199">
        <f>INDEX(Drivers!$C$7:$AG$22,$G18,AG$9)</f>
        <v>29.12</v>
      </c>
      <c r="AH18" s="199">
        <f>INDEX(Drivers!$C$7:$AG$22,$G18,AH$9)</f>
        <v>30.54</v>
      </c>
      <c r="AI18" s="199">
        <f>INDEX(Drivers!$C$7:$AG$22,$G18,AI$9)</f>
        <v>32.14</v>
      </c>
      <c r="AJ18" s="199">
        <f>INDEX(Drivers!$C$7:$AG$22,$G18,AJ$9)</f>
        <v>33.81</v>
      </c>
      <c r="AK18" s="199">
        <f>INDEX(Drivers!$C$7:$AG$22,$G18,AK$9)</f>
        <v>35.56</v>
      </c>
      <c r="AL18" s="199">
        <f>INDEX(Drivers!$C$7:$AG$22,$G18,AL$9)</f>
        <v>37.380000000000003</v>
      </c>
      <c r="AM18" s="199">
        <f>INDEX(Drivers!$C$7:$AG$22,$G18,AM$9)</f>
        <v>48.2</v>
      </c>
      <c r="AN18" s="199">
        <f>INDEX(Drivers!$C$7:$AG$22,$G18,AN$9)</f>
        <v>61.69</v>
      </c>
      <c r="AO18" s="199">
        <f t="shared" si="4"/>
        <v>85.554999999999382</v>
      </c>
      <c r="AP18" s="199">
        <f t="shared" si="4"/>
        <v>109.86499999999978</v>
      </c>
    </row>
    <row r="19" spans="1:42">
      <c r="A19" s="199" t="s">
        <v>16</v>
      </c>
      <c r="B19" s="200" t="str">
        <f>[4]IND!B17</f>
        <v>FB</v>
      </c>
      <c r="C19" s="200" t="str">
        <f>[4]IND!A17</f>
        <v>Food, Beverage &amp; Tabacco</v>
      </c>
      <c r="D19" s="199">
        <f>[4]IND!M17</f>
        <v>1</v>
      </c>
      <c r="F19" s="200"/>
      <c r="G19" s="199">
        <f>MATCH(B19,Drivers!$A$7:$A$22,0)</f>
        <v>4</v>
      </c>
      <c r="H19" s="200"/>
      <c r="I19" s="200"/>
      <c r="J19" s="199">
        <f>INDEX(Drivers!$C$7:$AG$22,$G19,J$9)</f>
        <v>93.1</v>
      </c>
      <c r="K19" s="199">
        <f>INDEX(Drivers!$C$7:$AG$22,$G19,K$9)</f>
        <v>96.58</v>
      </c>
      <c r="L19" s="199">
        <f>INDEX(Drivers!$C$7:$AG$22,$G19,L$9)</f>
        <v>99.16</v>
      </c>
      <c r="M19" s="199">
        <f>INDEX(Drivers!$C$7:$AG$22,$G19,M$9)</f>
        <v>100.5</v>
      </c>
      <c r="N19" s="199">
        <f>INDEX(Drivers!$C$7:$AG$22,$G19,N$9)</f>
        <v>102.67</v>
      </c>
      <c r="O19" s="199">
        <f>INDEX(Drivers!$C$7:$AG$22,$G19,O$9)</f>
        <v>103.77</v>
      </c>
      <c r="P19" s="199">
        <f>INDEX(Drivers!$C$7:$AG$22,$G19,P$9)</f>
        <v>105.55</v>
      </c>
      <c r="Q19" s="199">
        <f>INDEX(Drivers!$C$7:$AG$22,$G19,Q$9)</f>
        <v>105.8</v>
      </c>
      <c r="R19" s="199">
        <f>INDEX(Drivers!$C$7:$AG$22,$G19,R$9)</f>
        <v>101.17</v>
      </c>
      <c r="S19" s="199">
        <f>INDEX(Drivers!$C$7:$AG$22,$G19,S$9)</f>
        <v>105.94</v>
      </c>
      <c r="T19" s="199">
        <f>INDEX(Drivers!$C$7:$AG$22,$G19,T$9)</f>
        <v>109.95</v>
      </c>
      <c r="U19" s="199">
        <f>INDEX(Drivers!$C$7:$AG$22,$G19,U$9)</f>
        <v>113.88</v>
      </c>
      <c r="V19" s="199">
        <f>INDEX(Drivers!$C$7:$AG$22,$G19,V$9)</f>
        <v>118.34</v>
      </c>
      <c r="W19" s="199">
        <f>INDEX(Drivers!$C$7:$AG$22,$G19,W$9)</f>
        <v>123.16</v>
      </c>
      <c r="X19" s="199">
        <f>INDEX(Drivers!$C$7:$AG$22,$G19,X$9)</f>
        <v>128.15</v>
      </c>
      <c r="Y19" s="199">
        <f>INDEX(Drivers!$C$7:$AG$22,$G19,Y$9)</f>
        <v>133.38999999999999</v>
      </c>
      <c r="Z19" s="199">
        <f>INDEX(Drivers!$C$7:$AG$22,$G19,Z$9)</f>
        <v>138.88999999999999</v>
      </c>
      <c r="AA19" s="199">
        <f>INDEX(Drivers!$C$7:$AG$22,$G19,AA$9)</f>
        <v>145.15</v>
      </c>
      <c r="AB19" s="199">
        <f>INDEX(Drivers!$C$7:$AG$22,$G19,AB$9)</f>
        <v>151.62</v>
      </c>
      <c r="AC19" s="199">
        <f>INDEX(Drivers!$C$7:$AG$22,$G19,AC$9)</f>
        <v>157.66</v>
      </c>
      <c r="AD19" s="199">
        <f>INDEX(Drivers!$C$7:$AG$22,$G19,AD$9)</f>
        <v>163.97</v>
      </c>
      <c r="AE19" s="199">
        <f>INDEX(Drivers!$C$7:$AG$22,$G19,AE$9)</f>
        <v>170.17</v>
      </c>
      <c r="AF19" s="199">
        <f>INDEX(Drivers!$C$7:$AG$22,$G19,AF$9)</f>
        <v>176.9</v>
      </c>
      <c r="AG19" s="199">
        <f>INDEX(Drivers!$C$7:$AG$22,$G19,AG$9)</f>
        <v>183.28</v>
      </c>
      <c r="AH19" s="199">
        <f>INDEX(Drivers!$C$7:$AG$22,$G19,AH$9)</f>
        <v>189.7</v>
      </c>
      <c r="AI19" s="199">
        <f>INDEX(Drivers!$C$7:$AG$22,$G19,AI$9)</f>
        <v>196.91</v>
      </c>
      <c r="AJ19" s="199">
        <f>INDEX(Drivers!$C$7:$AG$22,$G19,AJ$9)</f>
        <v>204.55</v>
      </c>
      <c r="AK19" s="199">
        <f>INDEX(Drivers!$C$7:$AG$22,$G19,AK$9)</f>
        <v>212.82</v>
      </c>
      <c r="AL19" s="199">
        <f>INDEX(Drivers!$C$7:$AG$22,$G19,AL$9)</f>
        <v>221.76</v>
      </c>
      <c r="AM19" s="199">
        <f>INDEX(Drivers!$C$7:$AG$22,$G19,AM$9)</f>
        <v>274.19</v>
      </c>
      <c r="AN19" s="199">
        <f>INDEX(Drivers!$C$7:$AG$22,$G19,AN$9)</f>
        <v>337.54</v>
      </c>
      <c r="AO19" s="199">
        <f t="shared" si="4"/>
        <v>451.50000000000364</v>
      </c>
      <c r="AP19" s="199">
        <f t="shared" si="4"/>
        <v>567.28000000000247</v>
      </c>
    </row>
    <row r="20" spans="1:42">
      <c r="A20" s="199" t="s">
        <v>16</v>
      </c>
      <c r="B20" s="200" t="str">
        <f>[4]IND!B18</f>
        <v>PP</v>
      </c>
      <c r="C20" s="200" t="str">
        <f>[4]IND!A18</f>
        <v>Pulp &amp; Paper Products</v>
      </c>
      <c r="D20" s="199">
        <f>[4]IND!M18</f>
        <v>0</v>
      </c>
      <c r="F20" s="200" t="s">
        <v>300</v>
      </c>
      <c r="G20" s="199">
        <f>MATCH(B20,Drivers!$A$7:$A$22,0)</f>
        <v>12</v>
      </c>
      <c r="H20" s="200"/>
      <c r="I20" s="200"/>
      <c r="J20" s="199">
        <f>INDEX(Drivers!$C$7:$AG$22,$G20,J$9)</f>
        <v>17.78</v>
      </c>
      <c r="K20" s="199">
        <f>INDEX(Drivers!$C$7:$AG$22,$G20,K$9)</f>
        <v>18.260000000000002</v>
      </c>
      <c r="L20" s="199">
        <f>INDEX(Drivers!$C$7:$AG$22,$G20,L$9)</f>
        <v>18.66</v>
      </c>
      <c r="M20" s="199">
        <f>INDEX(Drivers!$C$7:$AG$22,$G20,M$9)</f>
        <v>18.920000000000002</v>
      </c>
      <c r="N20" s="199">
        <f>INDEX(Drivers!$C$7:$AG$22,$G20,N$9)</f>
        <v>19.28</v>
      </c>
      <c r="O20" s="199">
        <f>INDEX(Drivers!$C$7:$AG$22,$G20,O$9)</f>
        <v>19.36</v>
      </c>
      <c r="P20" s="199">
        <f>INDEX(Drivers!$C$7:$AG$22,$G20,P$9)</f>
        <v>19.82</v>
      </c>
      <c r="Q20" s="199">
        <f>INDEX(Drivers!$C$7:$AG$22,$G20,Q$9)</f>
        <v>19.96</v>
      </c>
      <c r="R20" s="199">
        <f>INDEX(Drivers!$C$7:$AG$22,$G20,R$9)</f>
        <v>18.579999999999998</v>
      </c>
      <c r="S20" s="199">
        <f>INDEX(Drivers!$C$7:$AG$22,$G20,S$9)</f>
        <v>19.38</v>
      </c>
      <c r="T20" s="199">
        <f>INDEX(Drivers!$C$7:$AG$22,$G20,T$9)</f>
        <v>20.079999999999998</v>
      </c>
      <c r="U20" s="199">
        <f>INDEX(Drivers!$C$7:$AG$22,$G20,U$9)</f>
        <v>20.83</v>
      </c>
      <c r="V20" s="199">
        <f>INDEX(Drivers!$C$7:$AG$22,$G20,V$9)</f>
        <v>21.69</v>
      </c>
      <c r="W20" s="199">
        <f>INDEX(Drivers!$C$7:$AG$22,$G20,W$9)</f>
        <v>22.7</v>
      </c>
      <c r="X20" s="199">
        <f>INDEX(Drivers!$C$7:$AG$22,$G20,X$9)</f>
        <v>23.72</v>
      </c>
      <c r="Y20" s="199">
        <f>INDEX(Drivers!$C$7:$AG$22,$G20,Y$9)</f>
        <v>24.82</v>
      </c>
      <c r="Z20" s="199">
        <f>INDEX(Drivers!$C$7:$AG$22,$G20,Z$9)</f>
        <v>26</v>
      </c>
      <c r="AA20" s="199">
        <f>INDEX(Drivers!$C$7:$AG$22,$G20,AA$9)</f>
        <v>27.3</v>
      </c>
      <c r="AB20" s="199">
        <f>INDEX(Drivers!$C$7:$AG$22,$G20,AB$9)</f>
        <v>28.66</v>
      </c>
      <c r="AC20" s="199">
        <f>INDEX(Drivers!$C$7:$AG$22,$G20,AC$9)</f>
        <v>29.99</v>
      </c>
      <c r="AD20" s="199">
        <f>INDEX(Drivers!$C$7:$AG$22,$G20,AD$9)</f>
        <v>31.4</v>
      </c>
      <c r="AE20" s="199">
        <f>INDEX(Drivers!$C$7:$AG$22,$G20,AE$9)</f>
        <v>32.869999999999997</v>
      </c>
      <c r="AF20" s="199">
        <f>INDEX(Drivers!$C$7:$AG$22,$G20,AF$9)</f>
        <v>34.4</v>
      </c>
      <c r="AG20" s="199">
        <f>INDEX(Drivers!$C$7:$AG$22,$G20,AG$9)</f>
        <v>35.76</v>
      </c>
      <c r="AH20" s="199">
        <f>INDEX(Drivers!$C$7:$AG$22,$G20,AH$9)</f>
        <v>37.28</v>
      </c>
      <c r="AI20" s="199">
        <f>INDEX(Drivers!$C$7:$AG$22,$G20,AI$9)</f>
        <v>38.96</v>
      </c>
      <c r="AJ20" s="199">
        <f>INDEX(Drivers!$C$7:$AG$22,$G20,AJ$9)</f>
        <v>40.770000000000003</v>
      </c>
      <c r="AK20" s="199">
        <f>INDEX(Drivers!$C$7:$AG$22,$G20,AK$9)</f>
        <v>42.69</v>
      </c>
      <c r="AL20" s="199">
        <f>INDEX(Drivers!$C$7:$AG$22,$G20,AL$9)</f>
        <v>44.72</v>
      </c>
      <c r="AM20" s="199">
        <f>INDEX(Drivers!$C$7:$AG$22,$G20,AM$9)</f>
        <v>57.18</v>
      </c>
      <c r="AN20" s="199">
        <f>INDEX(Drivers!$C$7:$AG$22,$G20,AN$9)</f>
        <v>72.78</v>
      </c>
      <c r="AO20" s="199">
        <f t="shared" si="4"/>
        <v>100.3166666666657</v>
      </c>
      <c r="AP20" s="199">
        <f t="shared" si="4"/>
        <v>128.3766666666661</v>
      </c>
    </row>
    <row r="21" spans="1:42">
      <c r="A21" s="199" t="s">
        <v>16</v>
      </c>
      <c r="B21" s="200" t="str">
        <f>B20</f>
        <v>PP</v>
      </c>
      <c r="C21" s="200" t="str">
        <f>C20</f>
        <v>Pulp &amp; Paper Products</v>
      </c>
      <c r="D21" s="199">
        <f>D20</f>
        <v>0</v>
      </c>
      <c r="F21" s="200" t="s">
        <v>301</v>
      </c>
      <c r="G21" s="199">
        <f>MATCH(B21,Drivers!$A$7:$A$22,0)</f>
        <v>12</v>
      </c>
      <c r="H21" s="200"/>
      <c r="I21" s="200"/>
      <c r="J21" s="199">
        <f>INDEX(Drivers!$C$7:$AG$22,$G21,J$9)</f>
        <v>17.78</v>
      </c>
      <c r="K21" s="199">
        <f>INDEX(Drivers!$C$7:$AG$22,$G21,K$9)</f>
        <v>18.260000000000002</v>
      </c>
      <c r="L21" s="199">
        <f>INDEX(Drivers!$C$7:$AG$22,$G21,L$9)</f>
        <v>18.66</v>
      </c>
      <c r="M21" s="199">
        <f>INDEX(Drivers!$C$7:$AG$22,$G21,M$9)</f>
        <v>18.920000000000002</v>
      </c>
      <c r="N21" s="199">
        <f>INDEX(Drivers!$C$7:$AG$22,$G21,N$9)</f>
        <v>19.28</v>
      </c>
      <c r="O21" s="199">
        <f>INDEX(Drivers!$C$7:$AG$22,$G21,O$9)</f>
        <v>19.36</v>
      </c>
      <c r="P21" s="199">
        <f>INDEX(Drivers!$C$7:$AG$22,$G21,P$9)</f>
        <v>19.82</v>
      </c>
      <c r="Q21" s="199">
        <f>INDEX(Drivers!$C$7:$AG$22,$G21,Q$9)</f>
        <v>19.96</v>
      </c>
      <c r="R21" s="199">
        <f>INDEX(Drivers!$C$7:$AG$22,$G21,R$9)</f>
        <v>18.579999999999998</v>
      </c>
      <c r="S21" s="199">
        <f>INDEX(Drivers!$C$7:$AG$22,$G21,S$9)</f>
        <v>19.38</v>
      </c>
      <c r="T21" s="199">
        <f>INDEX(Drivers!$C$7:$AG$22,$G21,T$9)</f>
        <v>20.079999999999998</v>
      </c>
      <c r="U21" s="199">
        <f>INDEX(Drivers!$C$7:$AG$22,$G21,U$9)</f>
        <v>20.83</v>
      </c>
      <c r="V21" s="199">
        <f>INDEX(Drivers!$C$7:$AG$22,$G21,V$9)</f>
        <v>21.69</v>
      </c>
      <c r="W21" s="199">
        <f>INDEX(Drivers!$C$7:$AG$22,$G21,W$9)</f>
        <v>22.7</v>
      </c>
      <c r="X21" s="199">
        <f>INDEX(Drivers!$C$7:$AG$22,$G21,X$9)</f>
        <v>23.72</v>
      </c>
      <c r="Y21" s="199">
        <f>INDEX(Drivers!$C$7:$AG$22,$G21,Y$9)</f>
        <v>24.82</v>
      </c>
      <c r="Z21" s="199">
        <f>INDEX(Drivers!$C$7:$AG$22,$G21,Z$9)</f>
        <v>26</v>
      </c>
      <c r="AA21" s="199">
        <f>INDEX(Drivers!$C$7:$AG$22,$G21,AA$9)</f>
        <v>27.3</v>
      </c>
      <c r="AB21" s="199">
        <f>INDEX(Drivers!$C$7:$AG$22,$G21,AB$9)</f>
        <v>28.66</v>
      </c>
      <c r="AC21" s="199">
        <f>INDEX(Drivers!$C$7:$AG$22,$G21,AC$9)</f>
        <v>29.99</v>
      </c>
      <c r="AD21" s="199">
        <f>INDEX(Drivers!$C$7:$AG$22,$G21,AD$9)</f>
        <v>31.4</v>
      </c>
      <c r="AE21" s="199">
        <f>INDEX(Drivers!$C$7:$AG$22,$G21,AE$9)</f>
        <v>32.869999999999997</v>
      </c>
      <c r="AF21" s="199">
        <f>INDEX(Drivers!$C$7:$AG$22,$G21,AF$9)</f>
        <v>34.4</v>
      </c>
      <c r="AG21" s="199">
        <f>INDEX(Drivers!$C$7:$AG$22,$G21,AG$9)</f>
        <v>35.76</v>
      </c>
      <c r="AH21" s="199">
        <f>INDEX(Drivers!$C$7:$AG$22,$G21,AH$9)</f>
        <v>37.28</v>
      </c>
      <c r="AI21" s="199">
        <f>INDEX(Drivers!$C$7:$AG$22,$G21,AI$9)</f>
        <v>38.96</v>
      </c>
      <c r="AJ21" s="199">
        <f>INDEX(Drivers!$C$7:$AG$22,$G21,AJ$9)</f>
        <v>40.770000000000003</v>
      </c>
      <c r="AK21" s="199">
        <f>INDEX(Drivers!$C$7:$AG$22,$G21,AK$9)</f>
        <v>42.69</v>
      </c>
      <c r="AL21" s="199">
        <f>INDEX(Drivers!$C$7:$AG$22,$G21,AL$9)</f>
        <v>44.72</v>
      </c>
      <c r="AM21" s="199">
        <f>INDEX(Drivers!$C$7:$AG$22,$G21,AM$9)</f>
        <v>57.18</v>
      </c>
      <c r="AN21" s="199">
        <f>INDEX(Drivers!$C$7:$AG$22,$G21,AN$9)</f>
        <v>72.78</v>
      </c>
      <c r="AO21" s="199">
        <f t="shared" si="4"/>
        <v>100.3166666666657</v>
      </c>
      <c r="AP21" s="199">
        <f t="shared" si="4"/>
        <v>128.3766666666661</v>
      </c>
    </row>
    <row r="22" spans="1:42">
      <c r="A22" s="199" t="s">
        <v>16</v>
      </c>
      <c r="B22" s="200" t="str">
        <f>[4]IND!B19</f>
        <v>OT</v>
      </c>
      <c r="C22" s="200" t="str">
        <f>[4]IND!A19</f>
        <v>Other</v>
      </c>
      <c r="D22" s="199">
        <f>[4]IND!M19</f>
        <v>1</v>
      </c>
      <c r="F22" s="200"/>
      <c r="G22" s="199">
        <f>MATCH(B22,Drivers!$A$7:$A$22,0)</f>
        <v>10</v>
      </c>
      <c r="H22" s="200"/>
      <c r="I22" s="200"/>
      <c r="J22" s="199">
        <f>INDEX(Drivers!$C$7:$AG$22,$G22,J$9)</f>
        <v>235.5</v>
      </c>
      <c r="K22" s="199">
        <f>INDEX(Drivers!$C$7:$AG$22,$G22,K$9)</f>
        <v>242.24</v>
      </c>
      <c r="L22" s="199">
        <f>INDEX(Drivers!$C$7:$AG$22,$G22,L$9)</f>
        <v>246.87</v>
      </c>
      <c r="M22" s="199">
        <f>INDEX(Drivers!$C$7:$AG$22,$G22,M$9)</f>
        <v>250.64</v>
      </c>
      <c r="N22" s="199">
        <f>INDEX(Drivers!$C$7:$AG$22,$G22,N$9)</f>
        <v>253.65</v>
      </c>
      <c r="O22" s="199">
        <f>INDEX(Drivers!$C$7:$AG$22,$G22,O$9)</f>
        <v>255.51</v>
      </c>
      <c r="P22" s="199">
        <f>INDEX(Drivers!$C$7:$AG$22,$G22,P$9)</f>
        <v>259.37</v>
      </c>
      <c r="Q22" s="199">
        <f>INDEX(Drivers!$C$7:$AG$22,$G22,Q$9)</f>
        <v>261.33</v>
      </c>
      <c r="R22" s="199">
        <f>INDEX(Drivers!$C$7:$AG$22,$G22,R$9)</f>
        <v>237.93</v>
      </c>
      <c r="S22" s="199">
        <f>INDEX(Drivers!$C$7:$AG$22,$G22,S$9)</f>
        <v>248.63</v>
      </c>
      <c r="T22" s="199">
        <f>INDEX(Drivers!$C$7:$AG$22,$G22,T$9)</f>
        <v>258.14</v>
      </c>
      <c r="U22" s="199">
        <f>INDEX(Drivers!$C$7:$AG$22,$G22,U$9)</f>
        <v>268.23</v>
      </c>
      <c r="V22" s="199">
        <f>INDEX(Drivers!$C$7:$AG$22,$G22,V$9)</f>
        <v>279.72000000000003</v>
      </c>
      <c r="W22" s="199">
        <f>INDEX(Drivers!$C$7:$AG$22,$G22,W$9)</f>
        <v>292.12</v>
      </c>
      <c r="X22" s="199">
        <f>INDEX(Drivers!$C$7:$AG$22,$G22,X$9)</f>
        <v>305.86</v>
      </c>
      <c r="Y22" s="199">
        <f>INDEX(Drivers!$C$7:$AG$22,$G22,Y$9)</f>
        <v>320.54000000000002</v>
      </c>
      <c r="Z22" s="199">
        <f>INDEX(Drivers!$C$7:$AG$22,$G22,Z$9)</f>
        <v>336.39</v>
      </c>
      <c r="AA22" s="199">
        <f>INDEX(Drivers!$C$7:$AG$22,$G22,AA$9)</f>
        <v>354.33</v>
      </c>
      <c r="AB22" s="199">
        <f>INDEX(Drivers!$C$7:$AG$22,$G22,AB$9)</f>
        <v>373.14</v>
      </c>
      <c r="AC22" s="199">
        <f>INDEX(Drivers!$C$7:$AG$22,$G22,AC$9)</f>
        <v>392.47</v>
      </c>
      <c r="AD22" s="199">
        <f>INDEX(Drivers!$C$7:$AG$22,$G22,AD$9)</f>
        <v>412.91</v>
      </c>
      <c r="AE22" s="199">
        <f>INDEX(Drivers!$C$7:$AG$22,$G22,AE$9)</f>
        <v>434.3</v>
      </c>
      <c r="AF22" s="199">
        <f>INDEX(Drivers!$C$7:$AG$22,$G22,AF$9)</f>
        <v>457.12</v>
      </c>
      <c r="AG22" s="199">
        <f>INDEX(Drivers!$C$7:$AG$22,$G22,AG$9)</f>
        <v>479.82</v>
      </c>
      <c r="AH22" s="199">
        <f>INDEX(Drivers!$C$7:$AG$22,$G22,AH$9)</f>
        <v>503.56</v>
      </c>
      <c r="AI22" s="199">
        <f>INDEX(Drivers!$C$7:$AG$22,$G22,AI$9)</f>
        <v>530.24</v>
      </c>
      <c r="AJ22" s="199">
        <f>INDEX(Drivers!$C$7:$AG$22,$G22,AJ$9)</f>
        <v>558.29</v>
      </c>
      <c r="AK22" s="199">
        <f>INDEX(Drivers!$C$7:$AG$22,$G22,AK$9)</f>
        <v>587.79</v>
      </c>
      <c r="AL22" s="199">
        <f>INDEX(Drivers!$C$7:$AG$22,$G22,AL$9)</f>
        <v>618.39</v>
      </c>
      <c r="AM22" s="199">
        <f>INDEX(Drivers!$C$7:$AG$22,$G22,AM$9)</f>
        <v>799.67</v>
      </c>
      <c r="AN22" s="199">
        <f>INDEX(Drivers!$C$7:$AG$22,$G22,AN$9)</f>
        <v>1028.08</v>
      </c>
      <c r="AO22" s="199">
        <f t="shared" si="4"/>
        <v>1429.9150000000081</v>
      </c>
      <c r="AP22" s="199">
        <f t="shared" si="4"/>
        <v>1839.6050000000105</v>
      </c>
    </row>
    <row r="23" spans="1:42">
      <c r="A23" s="199" t="s">
        <v>16</v>
      </c>
      <c r="B23" s="200"/>
    </row>
    <row r="24" spans="1:42" ht="15.75" thickBot="1">
      <c r="A24" s="199" t="s">
        <v>16</v>
      </c>
      <c r="B24" s="14" t="s">
        <v>291</v>
      </c>
      <c r="C24" s="14"/>
      <c r="D24" s="14"/>
      <c r="E24" s="14"/>
      <c r="F24" s="14"/>
    </row>
    <row r="25" spans="1:42">
      <c r="A25" s="199" t="s">
        <v>16</v>
      </c>
      <c r="B25" s="199" t="s">
        <v>9</v>
      </c>
      <c r="C25" s="199" t="s">
        <v>10</v>
      </c>
      <c r="D25" s="199" t="s">
        <v>281</v>
      </c>
      <c r="E25" s="199" t="s">
        <v>280</v>
      </c>
    </row>
    <row r="26" spans="1:42">
      <c r="A26" s="61" t="str">
        <f>IF(D10,"*","")</f>
        <v>*</v>
      </c>
      <c r="B26" s="22" t="s">
        <v>288</v>
      </c>
      <c r="C26" s="23" t="s">
        <v>137</v>
      </c>
      <c r="D26" s="61">
        <f t="shared" ref="D26:D38" si="6">F10</f>
        <v>0</v>
      </c>
      <c r="E26" s="23" t="s">
        <v>137</v>
      </c>
      <c r="F26" s="23" t="s">
        <v>137</v>
      </c>
      <c r="G26" s="23" t="s">
        <v>137</v>
      </c>
      <c r="H26" s="23" t="s">
        <v>137</v>
      </c>
      <c r="I26" s="22">
        <v>0</v>
      </c>
      <c r="J26" s="119">
        <v>0</v>
      </c>
      <c r="K26" s="199">
        <f t="shared" ref="K26:AP34" si="7">J26*K10/J10</f>
        <v>0</v>
      </c>
      <c r="L26" s="199">
        <f t="shared" si="7"/>
        <v>0</v>
      </c>
      <c r="M26" s="199">
        <f t="shared" si="7"/>
        <v>0</v>
      </c>
      <c r="N26" s="199">
        <f t="shared" si="7"/>
        <v>0</v>
      </c>
      <c r="O26" s="199">
        <f t="shared" si="7"/>
        <v>0</v>
      </c>
      <c r="P26" s="199">
        <f t="shared" si="7"/>
        <v>0</v>
      </c>
      <c r="Q26" s="199">
        <f t="shared" si="7"/>
        <v>0</v>
      </c>
      <c r="R26" s="199">
        <f t="shared" si="7"/>
        <v>0</v>
      </c>
      <c r="S26" s="199">
        <f t="shared" si="7"/>
        <v>0</v>
      </c>
      <c r="T26" s="199">
        <f t="shared" si="7"/>
        <v>0</v>
      </c>
      <c r="U26" s="199">
        <f t="shared" si="7"/>
        <v>0</v>
      </c>
      <c r="V26" s="199">
        <f t="shared" si="7"/>
        <v>0</v>
      </c>
      <c r="W26" s="199">
        <f t="shared" si="7"/>
        <v>0</v>
      </c>
      <c r="X26" s="199">
        <f t="shared" si="7"/>
        <v>0</v>
      </c>
      <c r="Y26" s="199">
        <f t="shared" si="7"/>
        <v>0</v>
      </c>
      <c r="Z26" s="199">
        <f t="shared" si="7"/>
        <v>0</v>
      </c>
      <c r="AA26" s="199">
        <f t="shared" si="7"/>
        <v>0</v>
      </c>
      <c r="AB26" s="199">
        <f t="shared" si="7"/>
        <v>0</v>
      </c>
      <c r="AC26" s="199">
        <f t="shared" si="7"/>
        <v>0</v>
      </c>
      <c r="AD26" s="199">
        <f t="shared" si="7"/>
        <v>0</v>
      </c>
      <c r="AE26" s="199">
        <f t="shared" si="7"/>
        <v>0</v>
      </c>
      <c r="AF26" s="199">
        <f t="shared" si="7"/>
        <v>0</v>
      </c>
      <c r="AG26" s="199">
        <f t="shared" si="7"/>
        <v>0</v>
      </c>
      <c r="AH26" s="199">
        <f t="shared" si="7"/>
        <v>0</v>
      </c>
      <c r="AI26" s="199">
        <f t="shared" si="7"/>
        <v>0</v>
      </c>
      <c r="AJ26" s="199">
        <f t="shared" si="7"/>
        <v>0</v>
      </c>
      <c r="AK26" s="199">
        <f t="shared" si="7"/>
        <v>0</v>
      </c>
      <c r="AL26" s="199">
        <f t="shared" si="7"/>
        <v>0</v>
      </c>
      <c r="AM26" s="199">
        <f t="shared" si="7"/>
        <v>0</v>
      </c>
      <c r="AN26" s="199">
        <f t="shared" si="7"/>
        <v>0</v>
      </c>
      <c r="AO26" s="199">
        <f t="shared" si="7"/>
        <v>0</v>
      </c>
      <c r="AP26" s="199">
        <f t="shared" si="7"/>
        <v>0</v>
      </c>
    </row>
    <row r="27" spans="1:42">
      <c r="A27" s="61" t="str">
        <f>IF(D11,"*","")</f>
        <v/>
      </c>
      <c r="B27" s="22" t="s">
        <v>288</v>
      </c>
      <c r="C27" s="23" t="s">
        <v>137</v>
      </c>
      <c r="D27" s="61" t="str">
        <f t="shared" si="6"/>
        <v>IFAM</v>
      </c>
      <c r="E27" s="23" t="s">
        <v>137</v>
      </c>
      <c r="F27" s="23" t="s">
        <v>137</v>
      </c>
      <c r="G27" s="23" t="s">
        <v>137</v>
      </c>
      <c r="H27" s="23" t="s">
        <v>137</v>
      </c>
      <c r="I27" s="22">
        <v>0</v>
      </c>
      <c r="J27" s="152">
        <f>'[4]FA-TSData'!J2</f>
        <v>4.0820999999999996</v>
      </c>
      <c r="K27" s="152">
        <f>'[4]FA-TSData'!K2</f>
        <v>4.1753999999999998</v>
      </c>
      <c r="L27" s="152">
        <f>'[4]FA-TSData'!L2</f>
        <v>4.8628999999999998</v>
      </c>
      <c r="M27" s="152">
        <f>'[4]FA-TSData'!M2</f>
        <v>4.4805999999999999</v>
      </c>
      <c r="N27" s="152">
        <f>'[4]FA-TSData'!N2</f>
        <v>4.3260612235437241</v>
      </c>
      <c r="O27" s="152">
        <f>'[4]FA-TSData'!O2</f>
        <v>4.372754104082464</v>
      </c>
      <c r="P27" s="199">
        <f>O27*P11/O11</f>
        <v>4.349559597911389</v>
      </c>
      <c r="Q27" s="199">
        <f t="shared" si="7"/>
        <v>4.3051362216854319</v>
      </c>
      <c r="R27" s="199">
        <f t="shared" si="7"/>
        <v>3.9737299724953288</v>
      </c>
      <c r="S27" s="199">
        <f t="shared" si="7"/>
        <v>4.0812502680510736</v>
      </c>
      <c r="T27" s="199">
        <f t="shared" si="7"/>
        <v>4.170883274949464</v>
      </c>
      <c r="U27" s="199">
        <f t="shared" si="7"/>
        <v>4.2656269357499559</v>
      </c>
      <c r="V27" s="199">
        <f t="shared" si="7"/>
        <v>4.3786510124310407</v>
      </c>
      <c r="W27" s="199">
        <f t="shared" si="7"/>
        <v>4.5013067060814702</v>
      </c>
      <c r="X27" s="199">
        <f t="shared" si="7"/>
        <v>4.6465672150681163</v>
      </c>
      <c r="Y27" s="199">
        <f t="shared" si="7"/>
        <v>4.8089287582656404</v>
      </c>
      <c r="Z27" s="199">
        <f t="shared" si="7"/>
        <v>4.9883913356740415</v>
      </c>
      <c r="AA27" s="199">
        <f t="shared" si="7"/>
        <v>5.185937765351416</v>
      </c>
      <c r="AB27" s="199">
        <f t="shared" si="7"/>
        <v>5.3915433031051814</v>
      </c>
      <c r="AC27" s="199">
        <f t="shared" si="7"/>
        <v>5.5908588052871293</v>
      </c>
      <c r="AD27" s="199">
        <f t="shared" si="7"/>
        <v>5.8053097055637615</v>
      </c>
      <c r="AE27" s="199">
        <f t="shared" si="7"/>
        <v>6.0262472050238305</v>
      </c>
      <c r="AF27" s="199">
        <f t="shared" si="7"/>
        <v>6.2548506853370505</v>
      </c>
      <c r="AG27" s="199">
        <f t="shared" si="7"/>
        <v>6.4810954023108405</v>
      </c>
      <c r="AH27" s="199">
        <f t="shared" si="7"/>
        <v>6.7014432109360511</v>
      </c>
      <c r="AI27" s="199">
        <f t="shared" si="7"/>
        <v>6.9284741823563181</v>
      </c>
      <c r="AJ27" s="199">
        <f t="shared" si="7"/>
        <v>7.1879381496937649</v>
      </c>
      <c r="AK27" s="199">
        <f t="shared" si="7"/>
        <v>7.4658790965234232</v>
      </c>
      <c r="AL27" s="199">
        <f t="shared" si="7"/>
        <v>7.7571863689431932</v>
      </c>
      <c r="AM27" s="199">
        <f t="shared" si="7"/>
        <v>9.643607349653406</v>
      </c>
      <c r="AN27" s="199">
        <f t="shared" si="7"/>
        <v>12.331811302158654</v>
      </c>
      <c r="AO27" s="199">
        <f t="shared" si="7"/>
        <v>16.772805740074933</v>
      </c>
      <c r="AP27" s="199">
        <f t="shared" si="7"/>
        <v>21.347430673290454</v>
      </c>
    </row>
    <row r="28" spans="1:42">
      <c r="A28" s="61" t="str">
        <f>IF(D12,"*","")</f>
        <v/>
      </c>
      <c r="B28" s="22" t="s">
        <v>288</v>
      </c>
      <c r="C28" s="23" t="s">
        <v>137</v>
      </c>
      <c r="D28" s="61" t="str">
        <f t="shared" si="6"/>
        <v>IISCRS</v>
      </c>
      <c r="E28" s="23" t="s">
        <v>137</v>
      </c>
      <c r="F28" s="23" t="s">
        <v>137</v>
      </c>
      <c r="G28" s="23" t="s">
        <v>137</v>
      </c>
      <c r="H28" s="23" t="s">
        <v>137</v>
      </c>
      <c r="I28" s="22">
        <v>0</v>
      </c>
      <c r="J28" s="119">
        <f>'[4]IS-TSData'!J24</f>
        <v>6.94</v>
      </c>
      <c r="K28" s="119">
        <f>'[4]IS-TSData'!K24</f>
        <v>7.1000000000000005</v>
      </c>
      <c r="L28" s="119">
        <f>'[4]IS-TSData'!L24</f>
        <v>6.5</v>
      </c>
      <c r="M28" s="119">
        <f>'[4]IS-TSData'!M24</f>
        <v>6.4000000000000012</v>
      </c>
      <c r="N28" s="119">
        <f>'[4]IS-TSData'!N24</f>
        <v>6.0910000000000002</v>
      </c>
      <c r="O28" s="119">
        <f>'[4]IS-TSData'!O24</f>
        <v>6.23</v>
      </c>
      <c r="P28" s="119">
        <f>'[4]IS-TSData'!P24</f>
        <v>6.3</v>
      </c>
      <c r="Q28" s="119">
        <f>'[4]IS-TSData'!Q24</f>
        <v>6.1267974837582679</v>
      </c>
      <c r="R28" s="119">
        <f>'[4]IS-TSData'!R24</f>
        <v>5.0030232389251985</v>
      </c>
      <c r="S28" s="199">
        <f t="shared" si="7"/>
        <v>5.214749927719839</v>
      </c>
      <c r="T28" s="199">
        <f t="shared" si="7"/>
        <v>5.3715845120121646</v>
      </c>
      <c r="U28" s="199">
        <f t="shared" si="7"/>
        <v>5.5323399609117985</v>
      </c>
      <c r="V28" s="199">
        <f t="shared" si="7"/>
        <v>5.7205414620625898</v>
      </c>
      <c r="W28" s="199">
        <f t="shared" si="7"/>
        <v>5.9244264216426137</v>
      </c>
      <c r="X28" s="199">
        <f t="shared" si="7"/>
        <v>6.14399483965187</v>
      </c>
      <c r="Y28" s="199">
        <f t="shared" si="7"/>
        <v>6.3792467160903588</v>
      </c>
      <c r="Z28" s="199">
        <f t="shared" si="7"/>
        <v>6.6262611863507717</v>
      </c>
      <c r="AA28" s="199">
        <f t="shared" si="7"/>
        <v>6.9046425734696513</v>
      </c>
      <c r="AB28" s="199">
        <f t="shared" si="7"/>
        <v>7.1908656898031467</v>
      </c>
      <c r="AC28" s="199">
        <f t="shared" si="7"/>
        <v>7.4574844831001004</v>
      </c>
      <c r="AD28" s="199">
        <f t="shared" si="7"/>
        <v>7.7319450056116708</v>
      </c>
      <c r="AE28" s="199">
        <f t="shared" si="7"/>
        <v>8.0181681219451661</v>
      </c>
      <c r="AF28" s="199">
        <f t="shared" si="7"/>
        <v>8.3083121028859708</v>
      </c>
      <c r="AG28" s="199">
        <f t="shared" si="7"/>
        <v>8.5827726253975403</v>
      </c>
      <c r="AH28" s="199">
        <f t="shared" si="7"/>
        <v>8.8533122833018005</v>
      </c>
      <c r="AI28" s="199">
        <f t="shared" si="7"/>
        <v>9.1199310765987569</v>
      </c>
      <c r="AJ28" s="199">
        <f t="shared" si="7"/>
        <v>9.4414419743980247</v>
      </c>
      <c r="AK28" s="199">
        <f t="shared" si="7"/>
        <v>9.7786363306265276</v>
      </c>
      <c r="AL28" s="199">
        <f t="shared" si="7"/>
        <v>10.127593280676951</v>
      </c>
      <c r="AM28" s="199">
        <f t="shared" si="7"/>
        <v>12.597737983281085</v>
      </c>
      <c r="AN28" s="199">
        <f t="shared" si="7"/>
        <v>15.989285868602636</v>
      </c>
      <c r="AO28" s="199">
        <f t="shared" si="7"/>
        <v>21.697411259408852</v>
      </c>
      <c r="AP28" s="199">
        <f t="shared" si="7"/>
        <v>27.559103847334466</v>
      </c>
    </row>
    <row r="29" spans="1:42">
      <c r="A29" s="61" t="str">
        <f t="shared" ref="A29:A38" si="8">IF(D13,"*","")</f>
        <v>*</v>
      </c>
      <c r="B29" s="22" t="s">
        <v>288</v>
      </c>
      <c r="C29" s="23" t="s">
        <v>137</v>
      </c>
      <c r="D29" s="61">
        <f t="shared" si="6"/>
        <v>0</v>
      </c>
      <c r="E29" s="23" t="s">
        <v>137</v>
      </c>
      <c r="F29" s="23" t="s">
        <v>137</v>
      </c>
      <c r="G29" s="23" t="s">
        <v>137</v>
      </c>
      <c r="H29" s="23" t="s">
        <v>137</v>
      </c>
      <c r="I29" s="22">
        <v>0</v>
      </c>
      <c r="J29" s="119">
        <v>0</v>
      </c>
      <c r="K29" s="199">
        <f t="shared" si="7"/>
        <v>0</v>
      </c>
      <c r="L29" s="199">
        <f t="shared" si="7"/>
        <v>0</v>
      </c>
      <c r="M29" s="199">
        <f t="shared" si="7"/>
        <v>0</v>
      </c>
      <c r="N29" s="199">
        <f t="shared" si="7"/>
        <v>0</v>
      </c>
      <c r="O29" s="199">
        <f t="shared" si="7"/>
        <v>0</v>
      </c>
      <c r="P29" s="199">
        <f t="shared" si="7"/>
        <v>0</v>
      </c>
      <c r="Q29" s="199">
        <f t="shared" si="7"/>
        <v>0</v>
      </c>
      <c r="R29" s="199">
        <f t="shared" si="7"/>
        <v>0</v>
      </c>
      <c r="S29" s="199">
        <f t="shared" si="7"/>
        <v>0</v>
      </c>
      <c r="T29" s="199">
        <f t="shared" si="7"/>
        <v>0</v>
      </c>
      <c r="U29" s="199">
        <f t="shared" si="7"/>
        <v>0</v>
      </c>
      <c r="V29" s="199">
        <f t="shared" si="7"/>
        <v>0</v>
      </c>
      <c r="W29" s="199">
        <f t="shared" si="7"/>
        <v>0</v>
      </c>
      <c r="X29" s="199">
        <f t="shared" si="7"/>
        <v>0</v>
      </c>
      <c r="Y29" s="199">
        <f t="shared" si="7"/>
        <v>0</v>
      </c>
      <c r="Z29" s="199">
        <f t="shared" si="7"/>
        <v>0</v>
      </c>
      <c r="AA29" s="199">
        <f t="shared" si="7"/>
        <v>0</v>
      </c>
      <c r="AB29" s="199">
        <f t="shared" si="7"/>
        <v>0</v>
      </c>
      <c r="AC29" s="199">
        <f t="shared" si="7"/>
        <v>0</v>
      </c>
      <c r="AD29" s="199">
        <f t="shared" si="7"/>
        <v>0</v>
      </c>
      <c r="AE29" s="199">
        <f t="shared" si="7"/>
        <v>0</v>
      </c>
      <c r="AF29" s="199">
        <f t="shared" si="7"/>
        <v>0</v>
      </c>
      <c r="AG29" s="199">
        <f t="shared" si="7"/>
        <v>0</v>
      </c>
      <c r="AH29" s="199">
        <f t="shared" si="7"/>
        <v>0</v>
      </c>
      <c r="AI29" s="199">
        <f t="shared" si="7"/>
        <v>0</v>
      </c>
      <c r="AJ29" s="199">
        <f t="shared" si="7"/>
        <v>0</v>
      </c>
      <c r="AK29" s="199">
        <f t="shared" si="7"/>
        <v>0</v>
      </c>
      <c r="AL29" s="199">
        <f t="shared" si="7"/>
        <v>0</v>
      </c>
      <c r="AM29" s="199">
        <f t="shared" si="7"/>
        <v>0</v>
      </c>
      <c r="AN29" s="199">
        <f t="shared" si="7"/>
        <v>0</v>
      </c>
      <c r="AO29" s="199">
        <f t="shared" si="7"/>
        <v>0</v>
      </c>
      <c r="AP29" s="199">
        <f t="shared" si="7"/>
        <v>0</v>
      </c>
    </row>
    <row r="30" spans="1:42">
      <c r="A30" s="61" t="str">
        <f t="shared" si="8"/>
        <v>*</v>
      </c>
      <c r="B30" s="22" t="s">
        <v>288</v>
      </c>
      <c r="C30" s="23" t="s">
        <v>137</v>
      </c>
      <c r="D30" s="61">
        <f t="shared" si="6"/>
        <v>0</v>
      </c>
      <c r="E30" s="23" t="s">
        <v>137</v>
      </c>
      <c r="F30" s="23" t="s">
        <v>137</v>
      </c>
      <c r="G30" s="23" t="s">
        <v>137</v>
      </c>
      <c r="H30" s="23" t="s">
        <v>137</v>
      </c>
      <c r="I30" s="22">
        <v>0</v>
      </c>
      <c r="J30" s="119">
        <v>0</v>
      </c>
      <c r="K30" s="199">
        <f t="shared" si="7"/>
        <v>0</v>
      </c>
      <c r="L30" s="199">
        <f t="shared" si="7"/>
        <v>0</v>
      </c>
      <c r="M30" s="199">
        <f t="shared" si="7"/>
        <v>0</v>
      </c>
      <c r="N30" s="199">
        <f t="shared" si="7"/>
        <v>0</v>
      </c>
      <c r="O30" s="199">
        <f t="shared" si="7"/>
        <v>0</v>
      </c>
      <c r="P30" s="199">
        <f t="shared" si="7"/>
        <v>0</v>
      </c>
      <c r="Q30" s="199">
        <f t="shared" si="7"/>
        <v>0</v>
      </c>
      <c r="R30" s="199">
        <f t="shared" si="7"/>
        <v>0</v>
      </c>
      <c r="S30" s="199">
        <f t="shared" si="7"/>
        <v>0</v>
      </c>
      <c r="T30" s="199">
        <f t="shared" si="7"/>
        <v>0</v>
      </c>
      <c r="U30" s="199">
        <f t="shared" si="7"/>
        <v>0</v>
      </c>
      <c r="V30" s="199">
        <f t="shared" si="7"/>
        <v>0</v>
      </c>
      <c r="W30" s="199">
        <f t="shared" si="7"/>
        <v>0</v>
      </c>
      <c r="X30" s="199">
        <f t="shared" si="7"/>
        <v>0</v>
      </c>
      <c r="Y30" s="199">
        <f t="shared" si="7"/>
        <v>0</v>
      </c>
      <c r="Z30" s="199">
        <f t="shared" si="7"/>
        <v>0</v>
      </c>
      <c r="AA30" s="199">
        <f t="shared" si="7"/>
        <v>0</v>
      </c>
      <c r="AB30" s="199">
        <f t="shared" si="7"/>
        <v>0</v>
      </c>
      <c r="AC30" s="199">
        <f t="shared" si="7"/>
        <v>0</v>
      </c>
      <c r="AD30" s="199">
        <f t="shared" si="7"/>
        <v>0</v>
      </c>
      <c r="AE30" s="199">
        <f t="shared" si="7"/>
        <v>0</v>
      </c>
      <c r="AF30" s="199">
        <f t="shared" si="7"/>
        <v>0</v>
      </c>
      <c r="AG30" s="199">
        <f t="shared" si="7"/>
        <v>0</v>
      </c>
      <c r="AH30" s="199">
        <f t="shared" si="7"/>
        <v>0</v>
      </c>
      <c r="AI30" s="199">
        <f t="shared" si="7"/>
        <v>0</v>
      </c>
      <c r="AJ30" s="199">
        <f t="shared" si="7"/>
        <v>0</v>
      </c>
      <c r="AK30" s="199">
        <f t="shared" si="7"/>
        <v>0</v>
      </c>
      <c r="AL30" s="199">
        <f t="shared" si="7"/>
        <v>0</v>
      </c>
      <c r="AM30" s="199">
        <f t="shared" si="7"/>
        <v>0</v>
      </c>
      <c r="AN30" s="199">
        <f t="shared" si="7"/>
        <v>0</v>
      </c>
      <c r="AO30" s="199">
        <f t="shared" si="7"/>
        <v>0</v>
      </c>
      <c r="AP30" s="199">
        <f t="shared" si="7"/>
        <v>0</v>
      </c>
    </row>
    <row r="31" spans="1:42">
      <c r="A31" s="61" t="str">
        <f t="shared" si="8"/>
        <v/>
      </c>
      <c r="B31" s="22" t="s">
        <v>288</v>
      </c>
      <c r="C31" s="23" t="s">
        <v>137</v>
      </c>
      <c r="D31" s="61" t="str">
        <f t="shared" si="6"/>
        <v>INMCEM</v>
      </c>
      <c r="E31" s="23" t="s">
        <v>137</v>
      </c>
      <c r="F31" s="23" t="s">
        <v>137</v>
      </c>
      <c r="G31" s="23" t="s">
        <v>137</v>
      </c>
      <c r="H31" s="23" t="s">
        <v>137</v>
      </c>
      <c r="I31" s="22">
        <v>0</v>
      </c>
      <c r="J31" s="119">
        <f>'[4]NMM-TSData'!J14</f>
        <v>14.27</v>
      </c>
      <c r="K31" s="119">
        <f>'[4]NMM-TSData'!K14</f>
        <v>14.368</v>
      </c>
      <c r="L31" s="119">
        <f>'[4]NMM-TSData'!L14</f>
        <v>14.465999999999999</v>
      </c>
      <c r="M31" s="119">
        <f>'[4]NMM-TSData'!M14</f>
        <v>14.564</v>
      </c>
      <c r="N31" s="119">
        <f>'[4]NMM-TSData'!N14</f>
        <v>14.662000000000001</v>
      </c>
      <c r="O31" s="119">
        <f>'[4]NMM-TSData'!O14</f>
        <v>14.759960880300349</v>
      </c>
      <c r="P31" s="199">
        <f t="shared" si="7"/>
        <v>14.999415145068363</v>
      </c>
      <c r="Q31" s="199">
        <f t="shared" si="7"/>
        <v>15.143087703929172</v>
      </c>
      <c r="R31" s="199">
        <f t="shared" si="7"/>
        <v>13.964972721270545</v>
      </c>
      <c r="S31" s="199">
        <f t="shared" si="7"/>
        <v>14.568397468485941</v>
      </c>
      <c r="T31" s="199">
        <f t="shared" si="7"/>
        <v>15.10477502156629</v>
      </c>
      <c r="U31" s="199">
        <f t="shared" si="7"/>
        <v>15.689043427600241</v>
      </c>
      <c r="V31" s="199">
        <f t="shared" si="7"/>
        <v>16.34993719835996</v>
      </c>
      <c r="W31" s="199">
        <f t="shared" si="7"/>
        <v>17.058721822073277</v>
      </c>
      <c r="X31" s="199">
        <f t="shared" si="7"/>
        <v>17.853709981103083</v>
      </c>
      <c r="Y31" s="199">
        <f t="shared" si="7"/>
        <v>18.706167163677211</v>
      </c>
      <c r="Z31" s="199">
        <f t="shared" si="7"/>
        <v>19.616093369795664</v>
      </c>
      <c r="AA31" s="199">
        <f t="shared" si="7"/>
        <v>20.65053579359348</v>
      </c>
      <c r="AB31" s="199">
        <f t="shared" si="7"/>
        <v>21.742447240935622</v>
      </c>
      <c r="AC31" s="199">
        <f t="shared" si="7"/>
        <v>22.853515029459206</v>
      </c>
      <c r="AD31" s="199">
        <f t="shared" si="7"/>
        <v>24.022051841527109</v>
      </c>
      <c r="AE31" s="199">
        <f t="shared" si="7"/>
        <v>25.267214018320779</v>
      </c>
      <c r="AF31" s="199">
        <f t="shared" si="7"/>
        <v>26.579423389249495</v>
      </c>
      <c r="AG31" s="199">
        <f t="shared" si="7"/>
        <v>27.891632760178208</v>
      </c>
      <c r="AH31" s="199">
        <f t="shared" si="7"/>
        <v>29.251732984060521</v>
      </c>
      <c r="AI31" s="199">
        <f t="shared" si="7"/>
        <v>30.784240278575808</v>
      </c>
      <c r="AJ31" s="199">
        <f t="shared" si="7"/>
        <v>32.383794767226142</v>
      </c>
      <c r="AK31" s="199">
        <f t="shared" si="7"/>
        <v>34.05997462060224</v>
      </c>
      <c r="AL31" s="199">
        <f t="shared" si="7"/>
        <v>35.803201668113374</v>
      </c>
      <c r="AM31" s="199">
        <f t="shared" si="7"/>
        <v>46.166782247272998</v>
      </c>
      <c r="AN31" s="199">
        <f t="shared" si="7"/>
        <v>59.087734374155005</v>
      </c>
      <c r="AO31" s="199">
        <f t="shared" si="7"/>
        <v>81.946038488908982</v>
      </c>
      <c r="AP31" s="199">
        <f t="shared" si="7"/>
        <v>105.230571194951</v>
      </c>
    </row>
    <row r="32" spans="1:42">
      <c r="A32" s="61" t="str">
        <f t="shared" si="8"/>
        <v/>
      </c>
      <c r="B32" s="22" t="s">
        <v>288</v>
      </c>
      <c r="C32" s="23" t="s">
        <v>137</v>
      </c>
      <c r="D32" s="61" t="str">
        <f t="shared" si="6"/>
        <v>INMLIM</v>
      </c>
      <c r="E32" s="23" t="s">
        <v>137</v>
      </c>
      <c r="F32" s="23" t="s">
        <v>137</v>
      </c>
      <c r="G32" s="23" t="s">
        <v>137</v>
      </c>
      <c r="H32" s="23" t="s">
        <v>137</v>
      </c>
      <c r="I32" s="22">
        <v>0</v>
      </c>
      <c r="J32" s="151">
        <f>'[4]NMM-TSData'!J16</f>
        <v>1.2</v>
      </c>
      <c r="K32" s="151">
        <f>'[4]NMM-TSData'!K16</f>
        <v>1.1733333333333333</v>
      </c>
      <c r="L32" s="151">
        <f>'[4]NMM-TSData'!L16</f>
        <v>1.1466666666666667</v>
      </c>
      <c r="M32" s="151">
        <f>'[4]NMM-TSData'!M16</f>
        <v>1.1200000000000001</v>
      </c>
      <c r="N32" s="151">
        <f>'[4]NMM-TSData'!N16</f>
        <v>1.1200000000000001</v>
      </c>
      <c r="O32" s="151">
        <f>'[4]NMM-TSData'!O16</f>
        <v>1.3591716472036741</v>
      </c>
      <c r="P32" s="199">
        <f t="shared" si="7"/>
        <v>1.3812218037124941</v>
      </c>
      <c r="Q32" s="199">
        <f t="shared" si="7"/>
        <v>1.3944518976177864</v>
      </c>
      <c r="R32" s="199">
        <f t="shared" si="7"/>
        <v>1.2859651275943913</v>
      </c>
      <c r="S32" s="199">
        <f t="shared" si="7"/>
        <v>1.3415315219966182</v>
      </c>
      <c r="T32" s="199">
        <f t="shared" si="7"/>
        <v>1.3909238725763753</v>
      </c>
      <c r="U32" s="199">
        <f t="shared" si="7"/>
        <v>1.4447262544578963</v>
      </c>
      <c r="V32" s="199">
        <f t="shared" si="7"/>
        <v>1.50558468642224</v>
      </c>
      <c r="W32" s="199">
        <f t="shared" si="7"/>
        <v>1.5708531496883473</v>
      </c>
      <c r="X32" s="199">
        <f t="shared" si="7"/>
        <v>1.6440596692976304</v>
      </c>
      <c r="Y32" s="199">
        <f t="shared" si="7"/>
        <v>1.7225582264690302</v>
      </c>
      <c r="Z32" s="199">
        <f t="shared" si="7"/>
        <v>1.8063488212025469</v>
      </c>
      <c r="AA32" s="199">
        <f t="shared" si="7"/>
        <v>1.9016054973206498</v>
      </c>
      <c r="AB32" s="199">
        <f t="shared" si="7"/>
        <v>2.0021542110008697</v>
      </c>
      <c r="AC32" s="199">
        <f t="shared" si="7"/>
        <v>2.1044669372017952</v>
      </c>
      <c r="AD32" s="199">
        <f t="shared" si="7"/>
        <v>2.2120717009648372</v>
      </c>
      <c r="AE32" s="199">
        <f t="shared" si="7"/>
        <v>2.3267325148107019</v>
      </c>
      <c r="AF32" s="199">
        <f t="shared" si="7"/>
        <v>2.4475673724790363</v>
      </c>
      <c r="AG32" s="199">
        <f t="shared" si="7"/>
        <v>2.5684022301473708</v>
      </c>
      <c r="AH32" s="199">
        <f t="shared" si="7"/>
        <v>2.6936471191174691</v>
      </c>
      <c r="AI32" s="199">
        <f t="shared" si="7"/>
        <v>2.8347681207739179</v>
      </c>
      <c r="AJ32" s="199">
        <f t="shared" si="7"/>
        <v>2.982063166252837</v>
      </c>
      <c r="AK32" s="199">
        <f t="shared" si="7"/>
        <v>3.1364142618145778</v>
      </c>
      <c r="AL32" s="199">
        <f t="shared" si="7"/>
        <v>3.2969394011987885</v>
      </c>
      <c r="AM32" s="199">
        <f t="shared" si="7"/>
        <v>4.2512701749005242</v>
      </c>
      <c r="AN32" s="199">
        <f t="shared" si="7"/>
        <v>5.4410966201164594</v>
      </c>
      <c r="AO32" s="199">
        <f t="shared" si="7"/>
        <v>7.5460045604483765</v>
      </c>
      <c r="AP32" s="199">
        <f t="shared" si="7"/>
        <v>9.6901617793660826</v>
      </c>
    </row>
    <row r="33" spans="1:42">
      <c r="A33" s="61" t="str">
        <f t="shared" si="8"/>
        <v/>
      </c>
      <c r="B33" s="22" t="s">
        <v>288</v>
      </c>
      <c r="C33" s="23" t="s">
        <v>137</v>
      </c>
      <c r="D33" s="61" t="str">
        <f t="shared" si="6"/>
        <v>INMGLA</v>
      </c>
      <c r="E33" s="23" t="s">
        <v>137</v>
      </c>
      <c r="F33" s="23" t="s">
        <v>137</v>
      </c>
      <c r="G33" s="23" t="s">
        <v>137</v>
      </c>
      <c r="H33" s="23" t="s">
        <v>137</v>
      </c>
      <c r="I33" s="22">
        <v>0</v>
      </c>
      <c r="J33" s="119">
        <f>'[4]NMM-TSData'!J15</f>
        <v>1.27</v>
      </c>
      <c r="K33" s="119">
        <f>'[4]NMM-TSData'!K15</f>
        <v>1.2484871200000001</v>
      </c>
      <c r="L33" s="119">
        <f>'[4]NMM-TSData'!L15</f>
        <v>1.2269742400000001</v>
      </c>
      <c r="M33" s="119">
        <f>'[4]NMM-TSData'!M15</f>
        <v>1.2054613600000001</v>
      </c>
      <c r="N33" s="119">
        <f>'[4]NMM-TSData'!N15</f>
        <v>1.1839484800000002</v>
      </c>
      <c r="O33" s="119">
        <f>'[4]NMM-TSData'!O15</f>
        <v>1.1624356</v>
      </c>
      <c r="P33" s="199">
        <f t="shared" si="7"/>
        <v>1.1812940620376378</v>
      </c>
      <c r="Q33" s="199">
        <f t="shared" si="7"/>
        <v>1.1926091392602205</v>
      </c>
      <c r="R33" s="199">
        <f t="shared" si="7"/>
        <v>1.0998255060350421</v>
      </c>
      <c r="S33" s="199">
        <f t="shared" si="7"/>
        <v>1.1473488303698898</v>
      </c>
      <c r="T33" s="199">
        <f t="shared" si="7"/>
        <v>1.1895917853341984</v>
      </c>
      <c r="U33" s="199">
        <f t="shared" si="7"/>
        <v>1.235606432706035</v>
      </c>
      <c r="V33" s="199">
        <f t="shared" si="7"/>
        <v>1.2876557879299158</v>
      </c>
      <c r="W33" s="199">
        <f t="shared" si="7"/>
        <v>1.3434768355613238</v>
      </c>
      <c r="X33" s="199">
        <f t="shared" si="7"/>
        <v>1.4060869295262817</v>
      </c>
      <c r="Y33" s="199">
        <f t="shared" si="7"/>
        <v>1.4732230543802727</v>
      </c>
      <c r="Z33" s="199">
        <f t="shared" si="7"/>
        <v>1.5448852101232966</v>
      </c>
      <c r="AA33" s="199">
        <f t="shared" si="7"/>
        <v>1.626353766125892</v>
      </c>
      <c r="AB33" s="199">
        <f t="shared" si="7"/>
        <v>1.712348353017521</v>
      </c>
      <c r="AC33" s="199">
        <f t="shared" si="7"/>
        <v>1.799851616872161</v>
      </c>
      <c r="AD33" s="199">
        <f t="shared" si="7"/>
        <v>1.8918809116158337</v>
      </c>
      <c r="AE33" s="199">
        <f t="shared" si="7"/>
        <v>1.9899449142115508</v>
      </c>
      <c r="AF33" s="199">
        <f t="shared" si="7"/>
        <v>2.0932892861778067</v>
      </c>
      <c r="AG33" s="199">
        <f t="shared" si="7"/>
        <v>2.1966336581440626</v>
      </c>
      <c r="AH33" s="199">
        <f t="shared" si="7"/>
        <v>2.3037497225178458</v>
      </c>
      <c r="AI33" s="199">
        <f t="shared" si="7"/>
        <v>2.4244438795587282</v>
      </c>
      <c r="AJ33" s="199">
        <f t="shared" si="7"/>
        <v>2.5504184059701496</v>
      </c>
      <c r="AK33" s="199">
        <f t="shared" si="7"/>
        <v>2.6824276402336147</v>
      </c>
      <c r="AL33" s="199">
        <f t="shared" si="7"/>
        <v>2.8197172438676188</v>
      </c>
      <c r="AM33" s="199">
        <f t="shared" si="7"/>
        <v>3.6359114808565871</v>
      </c>
      <c r="AN33" s="199">
        <f t="shared" si="7"/>
        <v>4.6535140924075282</v>
      </c>
      <c r="AO33" s="199">
        <f t="shared" si="7"/>
        <v>6.4537428785203961</v>
      </c>
      <c r="AP33" s="199">
        <f t="shared" si="7"/>
        <v>8.2875397270603361</v>
      </c>
    </row>
    <row r="34" spans="1:42">
      <c r="A34" s="61" t="str">
        <f t="shared" si="8"/>
        <v/>
      </c>
      <c r="B34" s="22" t="s">
        <v>288</v>
      </c>
      <c r="C34" s="23" t="s">
        <v>137</v>
      </c>
      <c r="D34" s="61" t="str">
        <f t="shared" si="6"/>
        <v>INMBRI</v>
      </c>
      <c r="E34" s="23" t="s">
        <v>137</v>
      </c>
      <c r="F34" s="23" t="s">
        <v>137</v>
      </c>
      <c r="G34" s="23" t="s">
        <v>137</v>
      </c>
      <c r="H34" s="23" t="s">
        <v>137</v>
      </c>
      <c r="I34" s="22">
        <v>0</v>
      </c>
      <c r="J34" s="152">
        <f>'[4]NMM-TSData'!J13</f>
        <v>3.2959999999999998</v>
      </c>
      <c r="K34" s="152">
        <f>'[4]NMM-TSData'!K13</f>
        <v>4.5590000000000002</v>
      </c>
      <c r="L34" s="152">
        <f>'[4]NMM-TSData'!L13</f>
        <v>5.8220999999999998</v>
      </c>
      <c r="M34" s="152">
        <f>'[4]NMM-TSData'!M13</f>
        <v>7.0850999999999997</v>
      </c>
      <c r="N34" s="152">
        <f>'[4]NMM-TSData'!N13</f>
        <v>8.3482000000000003</v>
      </c>
      <c r="O34" s="152">
        <f>'[4]NMM-TSData'!O13</f>
        <v>9.6111784370000013</v>
      </c>
      <c r="P34" s="199">
        <f t="shared" si="7"/>
        <v>9.7671028113835181</v>
      </c>
      <c r="Q34" s="199">
        <f t="shared" si="7"/>
        <v>9.8606574360136285</v>
      </c>
      <c r="R34" s="199">
        <f t="shared" si="7"/>
        <v>9.0935095140467244</v>
      </c>
      <c r="S34" s="199">
        <f t="shared" si="7"/>
        <v>9.4864389374931886</v>
      </c>
      <c r="T34" s="199">
        <f t="shared" si="7"/>
        <v>9.8357095361122671</v>
      </c>
      <c r="U34" s="199">
        <f t="shared" si="7"/>
        <v>10.21616500960805</v>
      </c>
      <c r="V34" s="199">
        <f t="shared" si="7"/>
        <v>10.646516282906559</v>
      </c>
      <c r="W34" s="199">
        <f t="shared" si="7"/>
        <v>11.10805243108177</v>
      </c>
      <c r="X34" s="199">
        <f t="shared" si="7"/>
        <v>11.625721354035049</v>
      </c>
      <c r="Y34" s="199">
        <f t="shared" si="7"/>
        <v>12.180812126840371</v>
      </c>
      <c r="Z34" s="199">
        <f t="shared" si="7"/>
        <v>12.773324749497736</v>
      </c>
      <c r="AA34" s="199">
        <f t="shared" si="7"/>
        <v>13.446918046834529</v>
      </c>
      <c r="AB34" s="199">
        <f t="shared" si="7"/>
        <v>14.15793319402337</v>
      </c>
      <c r="AC34" s="199">
        <f t="shared" si="7"/>
        <v>14.88142229116289</v>
      </c>
      <c r="AD34" s="199">
        <f t="shared" si="7"/>
        <v>15.642333238154453</v>
      </c>
      <c r="AE34" s="199">
        <f t="shared" si="7"/>
        <v>16.453139984948745</v>
      </c>
      <c r="AF34" s="199">
        <f t="shared" si="7"/>
        <v>17.307605556570422</v>
      </c>
      <c r="AG34" s="199">
        <f t="shared" si="7"/>
        <v>18.1620711281921</v>
      </c>
      <c r="AH34" s="199">
        <f t="shared" si="7"/>
        <v>19.047721574690474</v>
      </c>
      <c r="AI34" s="199">
        <f t="shared" si="7"/>
        <v>20.045637570744983</v>
      </c>
      <c r="AJ34" s="199">
        <f t="shared" si="7"/>
        <v>21.087212391626881</v>
      </c>
      <c r="AK34" s="199">
        <f t="shared" si="7"/>
        <v>22.178683012311502</v>
      </c>
      <c r="AL34" s="199">
        <f t="shared" si="7"/>
        <v>23.313812457823506</v>
      </c>
      <c r="AM34" s="199">
        <f t="shared" si="7"/>
        <v>30.062219381142135</v>
      </c>
      <c r="AN34" s="199">
        <f t="shared" si="7"/>
        <v>38.475898622876727</v>
      </c>
      <c r="AO34" s="199">
        <f t="shared" si="7"/>
        <v>53.360439401526904</v>
      </c>
      <c r="AP34" s="199">
        <f t="shared" ref="AP34" si="9">AO34*AP18/AO18</f>
        <v>68.52252556658037</v>
      </c>
    </row>
    <row r="35" spans="1:42">
      <c r="A35" s="61" t="str">
        <f t="shared" si="8"/>
        <v>*</v>
      </c>
      <c r="B35" s="22" t="s">
        <v>288</v>
      </c>
      <c r="C35" s="23" t="s">
        <v>137</v>
      </c>
      <c r="D35" s="61">
        <f t="shared" si="6"/>
        <v>0</v>
      </c>
      <c r="E35" s="23" t="s">
        <v>137</v>
      </c>
      <c r="F35" s="23" t="s">
        <v>137</v>
      </c>
      <c r="G35" s="23" t="s">
        <v>137</v>
      </c>
      <c r="H35" s="23" t="s">
        <v>137</v>
      </c>
      <c r="I35" s="22">
        <v>0</v>
      </c>
      <c r="J35" s="119">
        <v>0</v>
      </c>
      <c r="K35" s="199">
        <f t="shared" ref="K35:AP37" si="10">J35*K19/J19</f>
        <v>0</v>
      </c>
      <c r="L35" s="199">
        <f t="shared" si="10"/>
        <v>0</v>
      </c>
      <c r="M35" s="199">
        <f t="shared" si="10"/>
        <v>0</v>
      </c>
      <c r="N35" s="199">
        <f t="shared" si="10"/>
        <v>0</v>
      </c>
      <c r="O35" s="199">
        <f t="shared" si="10"/>
        <v>0</v>
      </c>
      <c r="P35" s="199">
        <f t="shared" si="10"/>
        <v>0</v>
      </c>
      <c r="Q35" s="199">
        <f t="shared" si="10"/>
        <v>0</v>
      </c>
      <c r="R35" s="199">
        <f t="shared" si="10"/>
        <v>0</v>
      </c>
      <c r="S35" s="199">
        <f t="shared" si="10"/>
        <v>0</v>
      </c>
      <c r="T35" s="199">
        <f t="shared" si="10"/>
        <v>0</v>
      </c>
      <c r="U35" s="199">
        <f t="shared" si="10"/>
        <v>0</v>
      </c>
      <c r="V35" s="199">
        <f t="shared" si="10"/>
        <v>0</v>
      </c>
      <c r="W35" s="199">
        <f t="shared" si="10"/>
        <v>0</v>
      </c>
      <c r="X35" s="199">
        <f t="shared" si="10"/>
        <v>0</v>
      </c>
      <c r="Y35" s="199">
        <f t="shared" si="10"/>
        <v>0</v>
      </c>
      <c r="Z35" s="199">
        <f t="shared" si="10"/>
        <v>0</v>
      </c>
      <c r="AA35" s="199">
        <f t="shared" si="10"/>
        <v>0</v>
      </c>
      <c r="AB35" s="199">
        <f t="shared" si="10"/>
        <v>0</v>
      </c>
      <c r="AC35" s="199">
        <f t="shared" si="10"/>
        <v>0</v>
      </c>
      <c r="AD35" s="199">
        <f t="shared" si="10"/>
        <v>0</v>
      </c>
      <c r="AE35" s="199">
        <f t="shared" si="10"/>
        <v>0</v>
      </c>
      <c r="AF35" s="199">
        <f t="shared" si="10"/>
        <v>0</v>
      </c>
      <c r="AG35" s="199">
        <f t="shared" si="10"/>
        <v>0</v>
      </c>
      <c r="AH35" s="199">
        <f t="shared" si="10"/>
        <v>0</v>
      </c>
      <c r="AI35" s="199">
        <f t="shared" si="10"/>
        <v>0</v>
      </c>
      <c r="AJ35" s="199">
        <f t="shared" si="10"/>
        <v>0</v>
      </c>
      <c r="AK35" s="199">
        <f t="shared" si="10"/>
        <v>0</v>
      </c>
      <c r="AL35" s="199">
        <f t="shared" si="10"/>
        <v>0</v>
      </c>
      <c r="AM35" s="199">
        <f t="shared" si="10"/>
        <v>0</v>
      </c>
      <c r="AN35" s="199">
        <f t="shared" si="10"/>
        <v>0</v>
      </c>
      <c r="AO35" s="199">
        <f t="shared" si="10"/>
        <v>0</v>
      </c>
      <c r="AP35" s="199">
        <f t="shared" si="10"/>
        <v>0</v>
      </c>
    </row>
    <row r="36" spans="1:42">
      <c r="A36" s="61" t="str">
        <f t="shared" si="8"/>
        <v/>
      </c>
      <c r="B36" s="22" t="s">
        <v>288</v>
      </c>
      <c r="C36" s="23" t="s">
        <v>137</v>
      </c>
      <c r="D36" s="61" t="str">
        <f t="shared" si="6"/>
        <v>IPPPAP</v>
      </c>
      <c r="E36" s="23" t="s">
        <v>137</v>
      </c>
      <c r="F36" s="23" t="s">
        <v>137</v>
      </c>
      <c r="G36" s="23" t="s">
        <v>137</v>
      </c>
      <c r="H36" s="23" t="s">
        <v>137</v>
      </c>
      <c r="I36" s="22">
        <v>0</v>
      </c>
      <c r="J36" s="151">
        <f>'[4]PP-TSData'!J29</f>
        <v>2.0533000000000001</v>
      </c>
      <c r="K36" s="151">
        <f>'[4]PP-TSData'!K29</f>
        <v>2.0786519999999999</v>
      </c>
      <c r="L36" s="151">
        <f>'[4]PP-TSData'!L29</f>
        <v>2.1040039999999998</v>
      </c>
      <c r="M36" s="151">
        <f>'[4]PP-TSData'!M29</f>
        <v>2.1293559999999996</v>
      </c>
      <c r="N36" s="151">
        <f>'[4]PP-TSData'!N29</f>
        <v>2.1547079999999994</v>
      </c>
      <c r="O36" s="151">
        <f>'[4]PP-TSData'!O29</f>
        <v>2.1800600000000001</v>
      </c>
      <c r="P36" s="199">
        <f t="shared" si="10"/>
        <v>2.2318589462809921</v>
      </c>
      <c r="Q36" s="199">
        <f t="shared" si="10"/>
        <v>2.2476238429752069</v>
      </c>
      <c r="R36" s="199">
        <f t="shared" si="10"/>
        <v>2.0922270041322313</v>
      </c>
      <c r="S36" s="199">
        <f t="shared" si="10"/>
        <v>2.1823121280991735</v>
      </c>
      <c r="T36" s="199">
        <f t="shared" si="10"/>
        <v>2.2611366115702478</v>
      </c>
      <c r="U36" s="199">
        <f t="shared" si="10"/>
        <v>2.3455914152892561</v>
      </c>
      <c r="V36" s="199">
        <f t="shared" si="10"/>
        <v>2.442432923553719</v>
      </c>
      <c r="W36" s="199">
        <f t="shared" si="10"/>
        <v>2.5561653925619834</v>
      </c>
      <c r="X36" s="199">
        <f t="shared" si="10"/>
        <v>2.6710239256198345</v>
      </c>
      <c r="Y36" s="199">
        <f t="shared" si="10"/>
        <v>2.7948909710743801</v>
      </c>
      <c r="Z36" s="199">
        <f t="shared" si="10"/>
        <v>2.9277665289256198</v>
      </c>
      <c r="AA36" s="199">
        <f t="shared" si="10"/>
        <v>3.0741548553719009</v>
      </c>
      <c r="AB36" s="199">
        <f t="shared" si="10"/>
        <v>3.2272995661157027</v>
      </c>
      <c r="AC36" s="199">
        <f t="shared" si="10"/>
        <v>3.3770660847107439</v>
      </c>
      <c r="AD36" s="199">
        <f t="shared" si="10"/>
        <v>3.5358411157024792</v>
      </c>
      <c r="AE36" s="199">
        <f t="shared" si="10"/>
        <v>3.7013725309917351</v>
      </c>
      <c r="AF36" s="199">
        <f t="shared" si="10"/>
        <v>3.8736603305785122</v>
      </c>
      <c r="AG36" s="199">
        <f t="shared" si="10"/>
        <v>4.026805041322314</v>
      </c>
      <c r="AH36" s="199">
        <f t="shared" si="10"/>
        <v>4.1979667768595039</v>
      </c>
      <c r="AI36" s="199">
        <f t="shared" si="10"/>
        <v>4.387145537190082</v>
      </c>
      <c r="AJ36" s="199">
        <f t="shared" si="10"/>
        <v>4.5909631301652887</v>
      </c>
      <c r="AK36" s="199">
        <f t="shared" si="10"/>
        <v>4.8071674276859495</v>
      </c>
      <c r="AL36" s="199">
        <f t="shared" si="10"/>
        <v>5.0357584297520654</v>
      </c>
      <c r="AM36" s="199">
        <f t="shared" si="10"/>
        <v>6.4388342355371897</v>
      </c>
      <c r="AN36" s="199">
        <f t="shared" si="10"/>
        <v>8.1954941528925609</v>
      </c>
      <c r="AO36" s="199">
        <f t="shared" si="10"/>
        <v>11.29629919077124</v>
      </c>
      <c r="AP36" s="199">
        <f t="shared" si="10"/>
        <v>14.456034913911781</v>
      </c>
    </row>
    <row r="37" spans="1:42">
      <c r="A37" s="61" t="str">
        <f t="shared" si="8"/>
        <v/>
      </c>
      <c r="B37" s="22" t="s">
        <v>288</v>
      </c>
      <c r="C37" s="23" t="s">
        <v>137</v>
      </c>
      <c r="D37" s="61" t="str">
        <f t="shared" si="6"/>
        <v>IPPPULPD</v>
      </c>
      <c r="E37" s="23" t="s">
        <v>137</v>
      </c>
      <c r="F37" s="23" t="s">
        <v>137</v>
      </c>
      <c r="G37" s="23" t="s">
        <v>137</v>
      </c>
      <c r="H37" s="23" t="s">
        <v>137</v>
      </c>
      <c r="I37" s="22">
        <v>0</v>
      </c>
      <c r="J37" s="151">
        <f>'[4]PP-TSData'!J28</f>
        <v>0.73711514499999997</v>
      </c>
      <c r="K37" s="151">
        <f>'[4]PP-TSData'!K28</f>
        <v>0.73711514499999997</v>
      </c>
      <c r="L37" s="151">
        <f>'[4]PP-TSData'!L28</f>
        <v>0.73711514499999997</v>
      </c>
      <c r="M37" s="151">
        <f>'[4]PP-TSData'!M28</f>
        <v>0.73711514499999997</v>
      </c>
      <c r="N37" s="151">
        <f>'[4]PP-TSData'!N28</f>
        <v>0.7</v>
      </c>
      <c r="O37" s="151">
        <f>'[4]PP-TSData'!O28</f>
        <v>0.65910719806663931</v>
      </c>
      <c r="P37" s="199">
        <f t="shared" si="10"/>
        <v>0.67476780297937966</v>
      </c>
      <c r="Q37" s="199">
        <f t="shared" si="10"/>
        <v>0.67953407403977895</v>
      </c>
      <c r="R37" s="199">
        <f t="shared" si="10"/>
        <v>0.63255225930155767</v>
      </c>
      <c r="S37" s="199">
        <f t="shared" si="10"/>
        <v>0.65978809393241056</v>
      </c>
      <c r="T37" s="199">
        <f t="shared" si="10"/>
        <v>0.68361944923440676</v>
      </c>
      <c r="U37" s="199">
        <f t="shared" si="10"/>
        <v>0.70915304420083136</v>
      </c>
      <c r="V37" s="199">
        <f t="shared" si="10"/>
        <v>0.73843156642899832</v>
      </c>
      <c r="W37" s="199">
        <f t="shared" si="10"/>
        <v>0.77281680765044991</v>
      </c>
      <c r="X37" s="199">
        <f t="shared" si="10"/>
        <v>0.8075424968047874</v>
      </c>
      <c r="Y37" s="199">
        <f t="shared" si="10"/>
        <v>0.84499176942221021</v>
      </c>
      <c r="Z37" s="199">
        <f t="shared" si="10"/>
        <v>0.88516462550271813</v>
      </c>
      <c r="AA37" s="199">
        <f t="shared" si="10"/>
        <v>0.92942285677785408</v>
      </c>
      <c r="AB37" s="199">
        <f t="shared" si="10"/>
        <v>0.97572377565030388</v>
      </c>
      <c r="AC37" s="199">
        <f t="shared" si="10"/>
        <v>1.0210033507240968</v>
      </c>
      <c r="AD37" s="199">
        <f t="shared" si="10"/>
        <v>1.0690065092609751</v>
      </c>
      <c r="AE37" s="199">
        <f t="shared" si="10"/>
        <v>1.1190523553951672</v>
      </c>
      <c r="AF37" s="199">
        <f t="shared" si="10"/>
        <v>1.1711408891266735</v>
      </c>
      <c r="AG37" s="199">
        <f t="shared" si="10"/>
        <v>1.2174418079991234</v>
      </c>
      <c r="AH37" s="199">
        <f t="shared" si="10"/>
        <v>1.2691898937977439</v>
      </c>
      <c r="AI37" s="199">
        <f t="shared" si="10"/>
        <v>1.3263851465225351</v>
      </c>
      <c r="AJ37" s="199">
        <f t="shared" si="10"/>
        <v>1.3880062223748397</v>
      </c>
      <c r="AK37" s="199">
        <f t="shared" si="10"/>
        <v>1.4533722254888866</v>
      </c>
      <c r="AL37" s="199">
        <f t="shared" si="10"/>
        <v>1.5224831558646759</v>
      </c>
      <c r="AM37" s="199">
        <f t="shared" si="10"/>
        <v>1.9466812802402094</v>
      </c>
      <c r="AN37" s="199">
        <f t="shared" si="10"/>
        <v>2.4777800555418406</v>
      </c>
      <c r="AO37" s="199">
        <f t="shared" si="10"/>
        <v>3.4152601800646227</v>
      </c>
      <c r="AP37" s="199">
        <f t="shared" si="10"/>
        <v>4.3705570797418014</v>
      </c>
    </row>
    <row r="38" spans="1:42">
      <c r="A38" s="61" t="str">
        <f t="shared" si="8"/>
        <v>*</v>
      </c>
      <c r="B38" s="22" t="s">
        <v>288</v>
      </c>
      <c r="C38" s="23" t="s">
        <v>137</v>
      </c>
      <c r="D38" s="61">
        <f t="shared" si="6"/>
        <v>0</v>
      </c>
      <c r="E38" s="23" t="s">
        <v>137</v>
      </c>
      <c r="F38" s="23" t="s">
        <v>137</v>
      </c>
      <c r="G38" s="23" t="s">
        <v>137</v>
      </c>
      <c r="H38" s="23" t="s">
        <v>137</v>
      </c>
      <c r="I38" s="22">
        <v>0</v>
      </c>
      <c r="J38" s="119">
        <v>0</v>
      </c>
      <c r="K38" s="199">
        <f t="shared" ref="K38:AP38" si="11">J38*K22/J22</f>
        <v>0</v>
      </c>
      <c r="L38" s="199">
        <f t="shared" si="11"/>
        <v>0</v>
      </c>
      <c r="M38" s="199">
        <f t="shared" si="11"/>
        <v>0</v>
      </c>
      <c r="N38" s="199">
        <f t="shared" si="11"/>
        <v>0</v>
      </c>
      <c r="O38" s="199">
        <f t="shared" si="11"/>
        <v>0</v>
      </c>
      <c r="P38" s="199">
        <f t="shared" si="11"/>
        <v>0</v>
      </c>
      <c r="Q38" s="199">
        <f t="shared" si="11"/>
        <v>0</v>
      </c>
      <c r="R38" s="199">
        <f t="shared" si="11"/>
        <v>0</v>
      </c>
      <c r="S38" s="199">
        <f t="shared" si="11"/>
        <v>0</v>
      </c>
      <c r="T38" s="199">
        <f t="shared" si="11"/>
        <v>0</v>
      </c>
      <c r="U38" s="199">
        <f t="shared" si="11"/>
        <v>0</v>
      </c>
      <c r="V38" s="199">
        <f t="shared" si="11"/>
        <v>0</v>
      </c>
      <c r="W38" s="199">
        <f t="shared" si="11"/>
        <v>0</v>
      </c>
      <c r="X38" s="199">
        <f t="shared" si="11"/>
        <v>0</v>
      </c>
      <c r="Y38" s="199">
        <f t="shared" si="11"/>
        <v>0</v>
      </c>
      <c r="Z38" s="199">
        <f t="shared" si="11"/>
        <v>0</v>
      </c>
      <c r="AA38" s="199">
        <f t="shared" si="11"/>
        <v>0</v>
      </c>
      <c r="AB38" s="199">
        <f t="shared" si="11"/>
        <v>0</v>
      </c>
      <c r="AC38" s="199">
        <f t="shared" si="11"/>
        <v>0</v>
      </c>
      <c r="AD38" s="199">
        <f t="shared" si="11"/>
        <v>0</v>
      </c>
      <c r="AE38" s="199">
        <f t="shared" si="11"/>
        <v>0</v>
      </c>
      <c r="AF38" s="199">
        <f t="shared" si="11"/>
        <v>0</v>
      </c>
      <c r="AG38" s="199">
        <f t="shared" si="11"/>
        <v>0</v>
      </c>
      <c r="AH38" s="199">
        <f t="shared" si="11"/>
        <v>0</v>
      </c>
      <c r="AI38" s="199">
        <f t="shared" si="11"/>
        <v>0</v>
      </c>
      <c r="AJ38" s="199">
        <f t="shared" si="11"/>
        <v>0</v>
      </c>
      <c r="AK38" s="199">
        <f t="shared" si="11"/>
        <v>0</v>
      </c>
      <c r="AL38" s="199">
        <f t="shared" si="11"/>
        <v>0</v>
      </c>
      <c r="AM38" s="199">
        <f t="shared" si="11"/>
        <v>0</v>
      </c>
      <c r="AN38" s="199">
        <f t="shared" si="11"/>
        <v>0</v>
      </c>
      <c r="AO38" s="199">
        <f t="shared" si="11"/>
        <v>0</v>
      </c>
      <c r="AP38" s="199">
        <f t="shared" si="11"/>
        <v>0</v>
      </c>
    </row>
    <row r="39" spans="1:42">
      <c r="A39" s="199" t="s">
        <v>16</v>
      </c>
      <c r="B39" s="200"/>
    </row>
    <row r="40" spans="1:42" ht="15.75" thickBot="1">
      <c r="A40" s="199" t="s">
        <v>16</v>
      </c>
      <c r="B40" s="14" t="s">
        <v>290</v>
      </c>
      <c r="C40" s="14"/>
      <c r="D40" s="199">
        <v>2010</v>
      </c>
      <c r="E40" s="199">
        <v>2020</v>
      </c>
      <c r="F40" s="199">
        <v>2030</v>
      </c>
      <c r="G40" s="199">
        <v>2050</v>
      </c>
    </row>
    <row r="41" spans="1:42">
      <c r="A41" s="199" t="s">
        <v>16</v>
      </c>
      <c r="B41" s="200" t="str">
        <f t="shared" ref="B41:C52" si="12">B10</f>
        <v>MI</v>
      </c>
      <c r="C41" s="200" t="str">
        <f t="shared" si="12"/>
        <v>Mining</v>
      </c>
      <c r="D41" s="199">
        <v>1</v>
      </c>
      <c r="E41" s="199">
        <v>1.0220604419830652</v>
      </c>
      <c r="F41" s="199">
        <v>1.0684529596700734</v>
      </c>
      <c r="G41" s="199">
        <f>F41</f>
        <v>1.0684529596700734</v>
      </c>
      <c r="J41" s="199">
        <f>IF(J$7=-1,K41,IF(J$7=99,I41,IF(J$7=0,INDEX($D41:$G41,0,J$5),(INDEX($D41:$G41,0,J$7+1)-INDEX($D41:$G41,0,J$7))/(INDEX($D$4:$G$4,0,J$7+1)-INDEX($D$4:$G$4,0,J$7))+I41)))</f>
        <v>1</v>
      </c>
      <c r="K41" s="199">
        <f t="shared" ref="K41:Z42" si="13">IF(K$7=-1,L41,IF(K$7=99,J41,IF(K$7=0,INDEX($D41:$G41,0,K$5),(INDEX($D41:$G41,0,K$7+1)-INDEX($D41:$G41,0,K$7))/(INDEX($D$4:$G$4,0,K$7+1)-INDEX($D$4:$G$4,0,K$7))+J41)))</f>
        <v>1.0027575552478831</v>
      </c>
      <c r="L41" s="199">
        <f t="shared" si="13"/>
        <v>1.0055151104957663</v>
      </c>
      <c r="M41" s="199">
        <f t="shared" si="13"/>
        <v>1.0082726657436494</v>
      </c>
      <c r="N41" s="199">
        <f t="shared" si="13"/>
        <v>1.0110302209915325</v>
      </c>
      <c r="O41" s="199">
        <f t="shared" si="13"/>
        <v>1.0137877762394156</v>
      </c>
      <c r="P41" s="199">
        <f t="shared" si="13"/>
        <v>1.0165453314872988</v>
      </c>
      <c r="Q41" s="199">
        <f t="shared" si="13"/>
        <v>1.0193028867351819</v>
      </c>
      <c r="R41" s="199">
        <f t="shared" si="13"/>
        <v>1.0220604419830652</v>
      </c>
      <c r="S41" s="199">
        <f t="shared" si="13"/>
        <v>1.0266996937517661</v>
      </c>
      <c r="T41" s="199">
        <f t="shared" si="13"/>
        <v>1.0313389455204669</v>
      </c>
      <c r="U41" s="199">
        <f t="shared" si="13"/>
        <v>1.0359781972891677</v>
      </c>
      <c r="V41" s="199">
        <f t="shared" si="13"/>
        <v>1.0406174490578686</v>
      </c>
      <c r="W41" s="199">
        <f t="shared" si="13"/>
        <v>1.0452567008265694</v>
      </c>
      <c r="X41" s="199">
        <f t="shared" si="13"/>
        <v>1.0498959525952702</v>
      </c>
      <c r="Y41" s="199">
        <f t="shared" si="13"/>
        <v>1.0545352043639711</v>
      </c>
      <c r="Z41" s="199">
        <f t="shared" si="13"/>
        <v>1.0591744561326719</v>
      </c>
      <c r="AA41" s="199">
        <f t="shared" ref="AA41:AP42" si="14">IF(AA$7=-1,AB41,IF(AA$7=99,Z41,IF(AA$7=0,INDEX($D41:$G41,0,AA$5),(INDEX($D41:$G41,0,AA$7+1)-INDEX($D41:$G41,0,AA$7))/(INDEX($D$4:$G$4,0,AA$7+1)-INDEX($D$4:$G$4,0,AA$7))+Z41)))</f>
        <v>1.0638137079013728</v>
      </c>
      <c r="AB41" s="199">
        <f t="shared" si="14"/>
        <v>1.0684529596700734</v>
      </c>
      <c r="AC41" s="199">
        <f t="shared" si="14"/>
        <v>1.0684529596700734</v>
      </c>
      <c r="AD41" s="199">
        <f t="shared" si="14"/>
        <v>1.0684529596700734</v>
      </c>
      <c r="AE41" s="199">
        <f t="shared" si="14"/>
        <v>1.0684529596700734</v>
      </c>
      <c r="AF41" s="199">
        <f t="shared" si="14"/>
        <v>1.0684529596700734</v>
      </c>
      <c r="AG41" s="199">
        <f t="shared" si="14"/>
        <v>1.0684529596700734</v>
      </c>
      <c r="AH41" s="199">
        <f t="shared" si="14"/>
        <v>1.0684529596700734</v>
      </c>
      <c r="AI41" s="199">
        <f t="shared" si="14"/>
        <v>1.0684529596700734</v>
      </c>
      <c r="AJ41" s="199">
        <f t="shared" si="14"/>
        <v>1.0684529596700734</v>
      </c>
      <c r="AK41" s="199">
        <f t="shared" si="14"/>
        <v>1.0684529596700734</v>
      </c>
      <c r="AL41" s="199">
        <f t="shared" si="14"/>
        <v>1.0684529596700734</v>
      </c>
      <c r="AM41" s="199">
        <f t="shared" si="14"/>
        <v>1.0684529596700734</v>
      </c>
      <c r="AN41" s="199">
        <f t="shared" si="14"/>
        <v>1.0684529596700734</v>
      </c>
      <c r="AO41" s="199">
        <f t="shared" si="14"/>
        <v>1.0684529596700734</v>
      </c>
      <c r="AP41" s="199">
        <f t="shared" si="14"/>
        <v>1.0684529596700734</v>
      </c>
    </row>
    <row r="42" spans="1:42">
      <c r="A42" s="199" t="s">
        <v>16</v>
      </c>
      <c r="B42" s="200" t="str">
        <f t="shared" si="12"/>
        <v>FA</v>
      </c>
      <c r="C42" s="200" t="str">
        <f t="shared" si="12"/>
        <v>Ferro Alloys</v>
      </c>
      <c r="D42" s="199">
        <v>1</v>
      </c>
      <c r="E42" s="199">
        <v>1</v>
      </c>
      <c r="F42" s="199">
        <v>1</v>
      </c>
      <c r="G42" s="199">
        <v>1</v>
      </c>
      <c r="J42" s="199">
        <f>IF(J$7=-1,K42,IF(J$7=99,I42,IF(J$7=0,INDEX($D42:$G42,0,J$5),(INDEX($D42:$G42,0,J$7+1)-INDEX($D42:$G42,0,J$7))/(INDEX($D$4:$G$4,0,J$7+1)-INDEX($D$4:$G$4,0,J$7))+I42)))</f>
        <v>1</v>
      </c>
      <c r="K42" s="199">
        <f t="shared" si="13"/>
        <v>1</v>
      </c>
      <c r="L42" s="199">
        <f t="shared" si="13"/>
        <v>1</v>
      </c>
      <c r="M42" s="199">
        <f t="shared" si="13"/>
        <v>1</v>
      </c>
      <c r="N42" s="199">
        <f t="shared" si="13"/>
        <v>1</v>
      </c>
      <c r="O42" s="199">
        <f t="shared" si="13"/>
        <v>1</v>
      </c>
      <c r="P42" s="199">
        <f t="shared" si="13"/>
        <v>1</v>
      </c>
      <c r="Q42" s="199">
        <f t="shared" si="13"/>
        <v>1</v>
      </c>
      <c r="R42" s="199">
        <f t="shared" si="13"/>
        <v>1</v>
      </c>
      <c r="S42" s="199">
        <f t="shared" si="13"/>
        <v>1</v>
      </c>
      <c r="T42" s="199">
        <f t="shared" si="13"/>
        <v>1</v>
      </c>
      <c r="U42" s="199">
        <f t="shared" si="13"/>
        <v>1</v>
      </c>
      <c r="V42" s="199">
        <f t="shared" si="13"/>
        <v>1</v>
      </c>
      <c r="W42" s="199">
        <f t="shared" si="13"/>
        <v>1</v>
      </c>
      <c r="X42" s="199">
        <f t="shared" si="13"/>
        <v>1</v>
      </c>
      <c r="Y42" s="199">
        <f t="shared" si="13"/>
        <v>1</v>
      </c>
      <c r="Z42" s="199">
        <f t="shared" si="13"/>
        <v>1</v>
      </c>
      <c r="AA42" s="199">
        <f t="shared" si="14"/>
        <v>1</v>
      </c>
      <c r="AB42" s="199">
        <f t="shared" si="14"/>
        <v>1</v>
      </c>
      <c r="AC42" s="199">
        <f t="shared" si="14"/>
        <v>1</v>
      </c>
      <c r="AD42" s="199">
        <f t="shared" si="14"/>
        <v>1</v>
      </c>
      <c r="AE42" s="199">
        <f t="shared" si="14"/>
        <v>1</v>
      </c>
      <c r="AF42" s="199">
        <f t="shared" si="14"/>
        <v>1</v>
      </c>
      <c r="AG42" s="199">
        <f t="shared" si="14"/>
        <v>1</v>
      </c>
      <c r="AH42" s="199">
        <f t="shared" si="14"/>
        <v>1</v>
      </c>
      <c r="AI42" s="199">
        <f t="shared" si="14"/>
        <v>1</v>
      </c>
      <c r="AJ42" s="199">
        <f t="shared" si="14"/>
        <v>1</v>
      </c>
      <c r="AK42" s="199">
        <f t="shared" si="14"/>
        <v>1</v>
      </c>
      <c r="AL42" s="199">
        <f t="shared" si="14"/>
        <v>1</v>
      </c>
      <c r="AM42" s="199">
        <f t="shared" si="14"/>
        <v>1</v>
      </c>
      <c r="AN42" s="199">
        <f t="shared" si="14"/>
        <v>1</v>
      </c>
      <c r="AO42" s="199">
        <f t="shared" si="14"/>
        <v>1</v>
      </c>
      <c r="AP42" s="199">
        <f t="shared" si="14"/>
        <v>1</v>
      </c>
    </row>
    <row r="43" spans="1:42">
      <c r="A43" s="199" t="s">
        <v>16</v>
      </c>
      <c r="B43" s="200" t="str">
        <f t="shared" si="12"/>
        <v>IS</v>
      </c>
      <c r="C43" s="200" t="str">
        <f t="shared" si="12"/>
        <v>Iron &amp; Steel</v>
      </c>
      <c r="D43" s="199">
        <v>1</v>
      </c>
      <c r="E43" s="199">
        <v>1</v>
      </c>
      <c r="F43" s="199">
        <v>1</v>
      </c>
      <c r="G43" s="199">
        <v>1</v>
      </c>
      <c r="J43" s="199">
        <f t="shared" ref="J43:AP48" si="15">IF(J$7=-1,K43,IF(J$7=99,I43,IF(J$7=0,INDEX($D43:$G43,0,J$5),(INDEX($D43:$G43,0,J$7+1)-INDEX($D43:$G43,0,J$7))/(INDEX($D$4:$G$4,0,J$7+1)-INDEX($D$4:$G$4,0,J$7))+I43)))</f>
        <v>1</v>
      </c>
      <c r="K43" s="199">
        <f t="shared" si="15"/>
        <v>1</v>
      </c>
      <c r="L43" s="199">
        <f t="shared" si="15"/>
        <v>1</v>
      </c>
      <c r="M43" s="199">
        <f t="shared" si="15"/>
        <v>1</v>
      </c>
      <c r="N43" s="199">
        <f t="shared" si="15"/>
        <v>1</v>
      </c>
      <c r="O43" s="199">
        <f t="shared" si="15"/>
        <v>1</v>
      </c>
      <c r="P43" s="199">
        <f t="shared" si="15"/>
        <v>1</v>
      </c>
      <c r="Q43" s="199">
        <f t="shared" si="15"/>
        <v>1</v>
      </c>
      <c r="R43" s="199">
        <f t="shared" si="15"/>
        <v>1</v>
      </c>
      <c r="S43" s="199">
        <f t="shared" si="15"/>
        <v>1</v>
      </c>
      <c r="T43" s="199">
        <f t="shared" si="15"/>
        <v>1</v>
      </c>
      <c r="U43" s="199">
        <f t="shared" si="15"/>
        <v>1</v>
      </c>
      <c r="V43" s="199">
        <f t="shared" si="15"/>
        <v>1</v>
      </c>
      <c r="W43" s="199">
        <f t="shared" si="15"/>
        <v>1</v>
      </c>
      <c r="X43" s="199">
        <f t="shared" si="15"/>
        <v>1</v>
      </c>
      <c r="Y43" s="199">
        <f t="shared" si="15"/>
        <v>1</v>
      </c>
      <c r="Z43" s="199">
        <f t="shared" si="15"/>
        <v>1</v>
      </c>
      <c r="AA43" s="199">
        <f t="shared" si="15"/>
        <v>1</v>
      </c>
      <c r="AB43" s="199">
        <f t="shared" si="15"/>
        <v>1</v>
      </c>
      <c r="AC43" s="199">
        <f t="shared" si="15"/>
        <v>1</v>
      </c>
      <c r="AD43" s="199">
        <f t="shared" si="15"/>
        <v>1</v>
      </c>
      <c r="AE43" s="199">
        <f t="shared" si="15"/>
        <v>1</v>
      </c>
      <c r="AF43" s="199">
        <f t="shared" si="15"/>
        <v>1</v>
      </c>
      <c r="AG43" s="199">
        <f t="shared" si="15"/>
        <v>1</v>
      </c>
      <c r="AH43" s="199">
        <f t="shared" si="15"/>
        <v>1</v>
      </c>
      <c r="AI43" s="199">
        <f t="shared" si="15"/>
        <v>1</v>
      </c>
      <c r="AJ43" s="199">
        <f t="shared" si="15"/>
        <v>1</v>
      </c>
      <c r="AK43" s="199">
        <f t="shared" si="15"/>
        <v>1</v>
      </c>
      <c r="AL43" s="199">
        <f t="shared" si="15"/>
        <v>1</v>
      </c>
      <c r="AM43" s="199">
        <f t="shared" si="15"/>
        <v>1</v>
      </c>
      <c r="AN43" s="199">
        <f t="shared" si="15"/>
        <v>1</v>
      </c>
      <c r="AO43" s="199">
        <f t="shared" si="15"/>
        <v>1</v>
      </c>
      <c r="AP43" s="199">
        <f t="shared" si="15"/>
        <v>1</v>
      </c>
    </row>
    <row r="44" spans="1:42">
      <c r="A44" s="199" t="s">
        <v>16</v>
      </c>
      <c r="B44" s="200" t="str">
        <f t="shared" si="12"/>
        <v>CP</v>
      </c>
      <c r="C44" s="200" t="str">
        <f t="shared" si="12"/>
        <v>Chemicals</v>
      </c>
      <c r="D44" s="199">
        <v>1</v>
      </c>
      <c r="E44" s="199">
        <v>1</v>
      </c>
      <c r="F44" s="199">
        <v>1</v>
      </c>
      <c r="G44" s="199">
        <v>1</v>
      </c>
      <c r="J44" s="199">
        <f t="shared" si="15"/>
        <v>1</v>
      </c>
      <c r="K44" s="199">
        <f t="shared" si="15"/>
        <v>1</v>
      </c>
      <c r="L44" s="199">
        <f t="shared" si="15"/>
        <v>1</v>
      </c>
      <c r="M44" s="199">
        <f t="shared" si="15"/>
        <v>1</v>
      </c>
      <c r="N44" s="199">
        <f t="shared" si="15"/>
        <v>1</v>
      </c>
      <c r="O44" s="199">
        <f t="shared" si="15"/>
        <v>1</v>
      </c>
      <c r="P44" s="199">
        <f t="shared" si="15"/>
        <v>1</v>
      </c>
      <c r="Q44" s="199">
        <f t="shared" si="15"/>
        <v>1</v>
      </c>
      <c r="R44" s="199">
        <f t="shared" si="15"/>
        <v>1</v>
      </c>
      <c r="S44" s="199">
        <f t="shared" si="15"/>
        <v>1</v>
      </c>
      <c r="T44" s="199">
        <f t="shared" si="15"/>
        <v>1</v>
      </c>
      <c r="U44" s="199">
        <f t="shared" si="15"/>
        <v>1</v>
      </c>
      <c r="V44" s="199">
        <f t="shared" si="15"/>
        <v>1</v>
      </c>
      <c r="W44" s="199">
        <f t="shared" si="15"/>
        <v>1</v>
      </c>
      <c r="X44" s="199">
        <f t="shared" si="15"/>
        <v>1</v>
      </c>
      <c r="Y44" s="199">
        <f t="shared" si="15"/>
        <v>1</v>
      </c>
      <c r="Z44" s="199">
        <f t="shared" si="15"/>
        <v>1</v>
      </c>
      <c r="AA44" s="199">
        <f t="shared" si="15"/>
        <v>1</v>
      </c>
      <c r="AB44" s="199">
        <f t="shared" si="15"/>
        <v>1</v>
      </c>
      <c r="AC44" s="199">
        <f t="shared" si="15"/>
        <v>1</v>
      </c>
      <c r="AD44" s="199">
        <f t="shared" si="15"/>
        <v>1</v>
      </c>
      <c r="AE44" s="199">
        <f t="shared" si="15"/>
        <v>1</v>
      </c>
      <c r="AF44" s="199">
        <f t="shared" si="15"/>
        <v>1</v>
      </c>
      <c r="AG44" s="199">
        <f t="shared" si="15"/>
        <v>1</v>
      </c>
      <c r="AH44" s="199">
        <f t="shared" si="15"/>
        <v>1</v>
      </c>
      <c r="AI44" s="199">
        <f t="shared" si="15"/>
        <v>1</v>
      </c>
      <c r="AJ44" s="199">
        <f t="shared" si="15"/>
        <v>1</v>
      </c>
      <c r="AK44" s="199">
        <f t="shared" si="15"/>
        <v>1</v>
      </c>
      <c r="AL44" s="199">
        <f t="shared" si="15"/>
        <v>1</v>
      </c>
      <c r="AM44" s="199">
        <f t="shared" si="15"/>
        <v>1</v>
      </c>
      <c r="AN44" s="199">
        <f t="shared" si="15"/>
        <v>1</v>
      </c>
      <c r="AO44" s="199">
        <f t="shared" si="15"/>
        <v>1</v>
      </c>
      <c r="AP44" s="199">
        <f t="shared" si="15"/>
        <v>1</v>
      </c>
    </row>
    <row r="45" spans="1:42">
      <c r="A45" s="199" t="s">
        <v>16</v>
      </c>
      <c r="B45" s="200" t="str">
        <f t="shared" si="12"/>
        <v>NF</v>
      </c>
      <c r="C45" s="200" t="str">
        <f t="shared" si="12"/>
        <v>Precious &amp; Non-Ferrous metals</v>
      </c>
      <c r="D45" s="199">
        <v>1</v>
      </c>
      <c r="E45" s="199">
        <v>1</v>
      </c>
      <c r="F45" s="199">
        <v>1</v>
      </c>
      <c r="G45" s="199">
        <v>1</v>
      </c>
      <c r="J45" s="199">
        <f t="shared" si="15"/>
        <v>1</v>
      </c>
      <c r="K45" s="199">
        <f t="shared" si="15"/>
        <v>1</v>
      </c>
      <c r="L45" s="199">
        <f t="shared" si="15"/>
        <v>1</v>
      </c>
      <c r="M45" s="199">
        <f t="shared" si="15"/>
        <v>1</v>
      </c>
      <c r="N45" s="199">
        <f t="shared" si="15"/>
        <v>1</v>
      </c>
      <c r="O45" s="199">
        <f t="shared" si="15"/>
        <v>1</v>
      </c>
      <c r="P45" s="199">
        <f t="shared" si="15"/>
        <v>1</v>
      </c>
      <c r="Q45" s="199">
        <f t="shared" si="15"/>
        <v>1</v>
      </c>
      <c r="R45" s="199">
        <f t="shared" si="15"/>
        <v>1</v>
      </c>
      <c r="S45" s="199">
        <f t="shared" si="15"/>
        <v>1</v>
      </c>
      <c r="T45" s="199">
        <f t="shared" si="15"/>
        <v>1</v>
      </c>
      <c r="U45" s="199">
        <f t="shared" si="15"/>
        <v>1</v>
      </c>
      <c r="V45" s="199">
        <f t="shared" si="15"/>
        <v>1</v>
      </c>
      <c r="W45" s="199">
        <f t="shared" si="15"/>
        <v>1</v>
      </c>
      <c r="X45" s="199">
        <f t="shared" si="15"/>
        <v>1</v>
      </c>
      <c r="Y45" s="199">
        <f t="shared" si="15"/>
        <v>1</v>
      </c>
      <c r="Z45" s="199">
        <f t="shared" si="15"/>
        <v>1</v>
      </c>
      <c r="AA45" s="199">
        <f t="shared" si="15"/>
        <v>1</v>
      </c>
      <c r="AB45" s="199">
        <f t="shared" si="15"/>
        <v>1</v>
      </c>
      <c r="AC45" s="199">
        <f t="shared" si="15"/>
        <v>1</v>
      </c>
      <c r="AD45" s="199">
        <f t="shared" si="15"/>
        <v>1</v>
      </c>
      <c r="AE45" s="199">
        <f t="shared" si="15"/>
        <v>1</v>
      </c>
      <c r="AF45" s="199">
        <f t="shared" si="15"/>
        <v>1</v>
      </c>
      <c r="AG45" s="199">
        <f t="shared" si="15"/>
        <v>1</v>
      </c>
      <c r="AH45" s="199">
        <f t="shared" si="15"/>
        <v>1</v>
      </c>
      <c r="AI45" s="199">
        <f t="shared" si="15"/>
        <v>1</v>
      </c>
      <c r="AJ45" s="199">
        <f t="shared" si="15"/>
        <v>1</v>
      </c>
      <c r="AK45" s="199">
        <f t="shared" si="15"/>
        <v>1</v>
      </c>
      <c r="AL45" s="199">
        <f t="shared" si="15"/>
        <v>1</v>
      </c>
      <c r="AM45" s="199">
        <f t="shared" si="15"/>
        <v>1</v>
      </c>
      <c r="AN45" s="199">
        <f t="shared" si="15"/>
        <v>1</v>
      </c>
      <c r="AO45" s="199">
        <f t="shared" si="15"/>
        <v>1</v>
      </c>
      <c r="AP45" s="199">
        <f t="shared" si="15"/>
        <v>1</v>
      </c>
    </row>
    <row r="46" spans="1:42">
      <c r="A46" s="199" t="s">
        <v>16</v>
      </c>
      <c r="B46" s="200" t="str">
        <f t="shared" si="12"/>
        <v>NM</v>
      </c>
      <c r="C46" s="200" t="str">
        <f t="shared" si="12"/>
        <v>N.M.M Products</v>
      </c>
      <c r="D46" s="199">
        <v>1</v>
      </c>
      <c r="E46" s="199">
        <v>1</v>
      </c>
      <c r="F46" s="199">
        <v>1</v>
      </c>
      <c r="G46" s="199">
        <v>1</v>
      </c>
      <c r="J46" s="199">
        <f t="shared" si="15"/>
        <v>1</v>
      </c>
      <c r="K46" s="199">
        <f t="shared" si="15"/>
        <v>1</v>
      </c>
      <c r="L46" s="199">
        <f t="shared" si="15"/>
        <v>1</v>
      </c>
      <c r="M46" s="199">
        <f t="shared" si="15"/>
        <v>1</v>
      </c>
      <c r="N46" s="199">
        <f t="shared" si="15"/>
        <v>1</v>
      </c>
      <c r="O46" s="199">
        <f t="shared" si="15"/>
        <v>1</v>
      </c>
      <c r="P46" s="199">
        <f t="shared" si="15"/>
        <v>1</v>
      </c>
      <c r="Q46" s="199">
        <f t="shared" si="15"/>
        <v>1</v>
      </c>
      <c r="R46" s="199">
        <f t="shared" si="15"/>
        <v>1</v>
      </c>
      <c r="S46" s="199">
        <f t="shared" si="15"/>
        <v>1</v>
      </c>
      <c r="T46" s="199">
        <f t="shared" si="15"/>
        <v>1</v>
      </c>
      <c r="U46" s="199">
        <f t="shared" si="15"/>
        <v>1</v>
      </c>
      <c r="V46" s="199">
        <f t="shared" si="15"/>
        <v>1</v>
      </c>
      <c r="W46" s="199">
        <f t="shared" si="15"/>
        <v>1</v>
      </c>
      <c r="X46" s="199">
        <f t="shared" si="15"/>
        <v>1</v>
      </c>
      <c r="Y46" s="199">
        <f t="shared" si="15"/>
        <v>1</v>
      </c>
      <c r="Z46" s="199">
        <f t="shared" si="15"/>
        <v>1</v>
      </c>
      <c r="AA46" s="199">
        <f t="shared" si="15"/>
        <v>1</v>
      </c>
      <c r="AB46" s="199">
        <f t="shared" si="15"/>
        <v>1</v>
      </c>
      <c r="AC46" s="199">
        <f t="shared" si="15"/>
        <v>1</v>
      </c>
      <c r="AD46" s="199">
        <f t="shared" si="15"/>
        <v>1</v>
      </c>
      <c r="AE46" s="199">
        <f t="shared" si="15"/>
        <v>1</v>
      </c>
      <c r="AF46" s="199">
        <f t="shared" si="15"/>
        <v>1</v>
      </c>
      <c r="AG46" s="199">
        <f t="shared" si="15"/>
        <v>1</v>
      </c>
      <c r="AH46" s="199">
        <f t="shared" si="15"/>
        <v>1</v>
      </c>
      <c r="AI46" s="199">
        <f t="shared" si="15"/>
        <v>1</v>
      </c>
      <c r="AJ46" s="199">
        <f t="shared" si="15"/>
        <v>1</v>
      </c>
      <c r="AK46" s="199">
        <f t="shared" si="15"/>
        <v>1</v>
      </c>
      <c r="AL46" s="199">
        <f t="shared" si="15"/>
        <v>1</v>
      </c>
      <c r="AM46" s="199">
        <f t="shared" si="15"/>
        <v>1</v>
      </c>
      <c r="AN46" s="199">
        <f t="shared" si="15"/>
        <v>1</v>
      </c>
      <c r="AO46" s="199">
        <f t="shared" si="15"/>
        <v>1</v>
      </c>
      <c r="AP46" s="199">
        <f t="shared" si="15"/>
        <v>1</v>
      </c>
    </row>
    <row r="47" spans="1:42">
      <c r="A47" s="199" t="s">
        <v>16</v>
      </c>
      <c r="B47" s="200" t="str">
        <f t="shared" si="12"/>
        <v>NM</v>
      </c>
      <c r="C47" s="200" t="str">
        <f t="shared" si="12"/>
        <v>N.M.M Products</v>
      </c>
      <c r="D47" s="199">
        <v>1</v>
      </c>
      <c r="E47" s="199">
        <v>1</v>
      </c>
      <c r="F47" s="199">
        <v>1</v>
      </c>
      <c r="G47" s="199">
        <v>1</v>
      </c>
      <c r="J47" s="199">
        <f t="shared" si="15"/>
        <v>1</v>
      </c>
      <c r="K47" s="199">
        <f t="shared" si="15"/>
        <v>1</v>
      </c>
      <c r="L47" s="199">
        <f t="shared" si="15"/>
        <v>1</v>
      </c>
      <c r="M47" s="199">
        <f t="shared" si="15"/>
        <v>1</v>
      </c>
      <c r="N47" s="199">
        <f t="shared" si="15"/>
        <v>1</v>
      </c>
      <c r="O47" s="199">
        <f t="shared" si="15"/>
        <v>1</v>
      </c>
      <c r="P47" s="199">
        <f t="shared" si="15"/>
        <v>1</v>
      </c>
      <c r="Q47" s="199">
        <f t="shared" si="15"/>
        <v>1</v>
      </c>
      <c r="R47" s="199">
        <f t="shared" si="15"/>
        <v>1</v>
      </c>
      <c r="S47" s="199">
        <f t="shared" si="15"/>
        <v>1</v>
      </c>
      <c r="T47" s="199">
        <f t="shared" si="15"/>
        <v>1</v>
      </c>
      <c r="U47" s="199">
        <f t="shared" si="15"/>
        <v>1</v>
      </c>
      <c r="V47" s="199">
        <f t="shared" si="15"/>
        <v>1</v>
      </c>
      <c r="W47" s="199">
        <f t="shared" si="15"/>
        <v>1</v>
      </c>
      <c r="X47" s="199">
        <f t="shared" si="15"/>
        <v>1</v>
      </c>
      <c r="Y47" s="199">
        <f t="shared" si="15"/>
        <v>1</v>
      </c>
      <c r="Z47" s="199">
        <f t="shared" si="15"/>
        <v>1</v>
      </c>
      <c r="AA47" s="199">
        <f t="shared" si="15"/>
        <v>1</v>
      </c>
      <c r="AB47" s="199">
        <f t="shared" si="15"/>
        <v>1</v>
      </c>
      <c r="AC47" s="199">
        <f t="shared" si="15"/>
        <v>1</v>
      </c>
      <c r="AD47" s="199">
        <f t="shared" si="15"/>
        <v>1</v>
      </c>
      <c r="AE47" s="199">
        <f t="shared" si="15"/>
        <v>1</v>
      </c>
      <c r="AF47" s="199">
        <f t="shared" si="15"/>
        <v>1</v>
      </c>
      <c r="AG47" s="199">
        <f t="shared" si="15"/>
        <v>1</v>
      </c>
      <c r="AH47" s="199">
        <f t="shared" si="15"/>
        <v>1</v>
      </c>
      <c r="AI47" s="199">
        <f t="shared" si="15"/>
        <v>1</v>
      </c>
      <c r="AJ47" s="199">
        <f t="shared" si="15"/>
        <v>1</v>
      </c>
      <c r="AK47" s="199">
        <f t="shared" si="15"/>
        <v>1</v>
      </c>
      <c r="AL47" s="199">
        <f t="shared" si="15"/>
        <v>1</v>
      </c>
      <c r="AM47" s="199">
        <f t="shared" si="15"/>
        <v>1</v>
      </c>
      <c r="AN47" s="199">
        <f t="shared" si="15"/>
        <v>1</v>
      </c>
      <c r="AO47" s="199">
        <f t="shared" si="15"/>
        <v>1</v>
      </c>
      <c r="AP47" s="199">
        <f t="shared" si="15"/>
        <v>1</v>
      </c>
    </row>
    <row r="48" spans="1:42">
      <c r="A48" s="199" t="s">
        <v>16</v>
      </c>
      <c r="B48" s="200" t="str">
        <f t="shared" si="12"/>
        <v>NM</v>
      </c>
      <c r="C48" s="200" t="str">
        <f t="shared" si="12"/>
        <v>N.M.M Products</v>
      </c>
      <c r="D48" s="199">
        <v>1</v>
      </c>
      <c r="E48" s="199">
        <v>1</v>
      </c>
      <c r="F48" s="199">
        <v>1</v>
      </c>
      <c r="G48" s="199">
        <v>1</v>
      </c>
      <c r="J48" s="199">
        <f>IF(J$7=-1,K48,IF(J$7=99,I48,IF(J$7=0,INDEX($D48:$G48,0,J$5),(INDEX($D48:$G48,0,J$7+1)-INDEX($D48:$G48,0,J$7))/(INDEX($D$4:$G$4,0,J$7+1)-INDEX($D$4:$G$4,0,J$7))+I48)))</f>
        <v>1</v>
      </c>
      <c r="K48" s="199">
        <f t="shared" si="15"/>
        <v>1</v>
      </c>
      <c r="L48" s="199">
        <f t="shared" si="15"/>
        <v>1</v>
      </c>
      <c r="M48" s="199">
        <f t="shared" si="15"/>
        <v>1</v>
      </c>
      <c r="N48" s="199">
        <f t="shared" si="15"/>
        <v>1</v>
      </c>
      <c r="O48" s="199">
        <f t="shared" si="15"/>
        <v>1</v>
      </c>
      <c r="P48" s="199">
        <f t="shared" si="15"/>
        <v>1</v>
      </c>
      <c r="Q48" s="199">
        <f t="shared" si="15"/>
        <v>1</v>
      </c>
      <c r="R48" s="199">
        <f t="shared" si="15"/>
        <v>1</v>
      </c>
      <c r="S48" s="199">
        <f t="shared" si="15"/>
        <v>1</v>
      </c>
      <c r="T48" s="199">
        <f t="shared" si="15"/>
        <v>1</v>
      </c>
      <c r="U48" s="199">
        <f t="shared" si="15"/>
        <v>1</v>
      </c>
      <c r="V48" s="199">
        <f t="shared" si="15"/>
        <v>1</v>
      </c>
      <c r="W48" s="199">
        <f t="shared" si="15"/>
        <v>1</v>
      </c>
      <c r="X48" s="199">
        <f t="shared" si="15"/>
        <v>1</v>
      </c>
      <c r="Y48" s="199">
        <f t="shared" si="15"/>
        <v>1</v>
      </c>
      <c r="Z48" s="199">
        <f t="shared" si="15"/>
        <v>1</v>
      </c>
      <c r="AA48" s="199">
        <f t="shared" si="15"/>
        <v>1</v>
      </c>
      <c r="AB48" s="199">
        <f t="shared" si="15"/>
        <v>1</v>
      </c>
      <c r="AC48" s="199">
        <f t="shared" si="15"/>
        <v>1</v>
      </c>
      <c r="AD48" s="199">
        <f t="shared" si="15"/>
        <v>1</v>
      </c>
      <c r="AE48" s="199">
        <f t="shared" si="15"/>
        <v>1</v>
      </c>
      <c r="AF48" s="199">
        <f t="shared" si="15"/>
        <v>1</v>
      </c>
      <c r="AG48" s="199">
        <f t="shared" si="15"/>
        <v>1</v>
      </c>
      <c r="AH48" s="199">
        <f t="shared" si="15"/>
        <v>1</v>
      </c>
      <c r="AI48" s="199">
        <f t="shared" si="15"/>
        <v>1</v>
      </c>
      <c r="AJ48" s="199">
        <f t="shared" si="15"/>
        <v>1</v>
      </c>
      <c r="AK48" s="199">
        <f t="shared" si="15"/>
        <v>1</v>
      </c>
      <c r="AL48" s="199">
        <f t="shared" si="15"/>
        <v>1</v>
      </c>
      <c r="AM48" s="199">
        <f t="shared" si="15"/>
        <v>1</v>
      </c>
      <c r="AN48" s="199">
        <f t="shared" si="15"/>
        <v>1</v>
      </c>
      <c r="AO48" s="199">
        <f t="shared" si="15"/>
        <v>1</v>
      </c>
      <c r="AP48" s="199">
        <f t="shared" si="15"/>
        <v>1</v>
      </c>
    </row>
    <row r="49" spans="1:42">
      <c r="A49" s="199" t="s">
        <v>16</v>
      </c>
      <c r="B49" s="200" t="str">
        <f t="shared" si="12"/>
        <v>NM</v>
      </c>
      <c r="C49" s="200" t="str">
        <f t="shared" si="12"/>
        <v>N.M.M Products</v>
      </c>
      <c r="D49" s="199">
        <v>1</v>
      </c>
      <c r="E49" s="199">
        <v>1</v>
      </c>
      <c r="F49" s="199">
        <v>1</v>
      </c>
      <c r="G49" s="199">
        <v>1</v>
      </c>
      <c r="J49" s="199">
        <f t="shared" ref="J49:AP53" si="16">IF(J$7=-1,K49,IF(J$7=99,I49,IF(J$7=0,INDEX($D49:$G49,0,J$5),(INDEX($D49:$G49,0,J$7+1)-INDEX($D49:$G49,0,J$7))/(INDEX($D$4:$G$4,0,J$7+1)-INDEX($D$4:$G$4,0,J$7))+I49)))</f>
        <v>1</v>
      </c>
      <c r="K49" s="199">
        <f t="shared" si="16"/>
        <v>1</v>
      </c>
      <c r="L49" s="199">
        <f t="shared" si="16"/>
        <v>1</v>
      </c>
      <c r="M49" s="199">
        <f t="shared" si="16"/>
        <v>1</v>
      </c>
      <c r="N49" s="199">
        <f t="shared" si="16"/>
        <v>1</v>
      </c>
      <c r="O49" s="199">
        <f t="shared" si="16"/>
        <v>1</v>
      </c>
      <c r="P49" s="199">
        <f t="shared" si="16"/>
        <v>1</v>
      </c>
      <c r="Q49" s="199">
        <f t="shared" si="16"/>
        <v>1</v>
      </c>
      <c r="R49" s="199">
        <f t="shared" si="16"/>
        <v>1</v>
      </c>
      <c r="S49" s="199">
        <f t="shared" si="16"/>
        <v>1</v>
      </c>
      <c r="T49" s="199">
        <f t="shared" si="16"/>
        <v>1</v>
      </c>
      <c r="U49" s="199">
        <f t="shared" si="16"/>
        <v>1</v>
      </c>
      <c r="V49" s="199">
        <f t="shared" si="16"/>
        <v>1</v>
      </c>
      <c r="W49" s="199">
        <f t="shared" si="16"/>
        <v>1</v>
      </c>
      <c r="X49" s="199">
        <f t="shared" si="16"/>
        <v>1</v>
      </c>
      <c r="Y49" s="199">
        <f t="shared" si="16"/>
        <v>1</v>
      </c>
      <c r="Z49" s="199">
        <f t="shared" si="16"/>
        <v>1</v>
      </c>
      <c r="AA49" s="199">
        <f t="shared" si="16"/>
        <v>1</v>
      </c>
      <c r="AB49" s="199">
        <f t="shared" si="16"/>
        <v>1</v>
      </c>
      <c r="AC49" s="199">
        <f t="shared" si="16"/>
        <v>1</v>
      </c>
      <c r="AD49" s="199">
        <f t="shared" si="16"/>
        <v>1</v>
      </c>
      <c r="AE49" s="199">
        <f t="shared" si="16"/>
        <v>1</v>
      </c>
      <c r="AF49" s="199">
        <f t="shared" si="16"/>
        <v>1</v>
      </c>
      <c r="AG49" s="199">
        <f t="shared" si="16"/>
        <v>1</v>
      </c>
      <c r="AH49" s="199">
        <f t="shared" si="16"/>
        <v>1</v>
      </c>
      <c r="AI49" s="199">
        <f t="shared" si="16"/>
        <v>1</v>
      </c>
      <c r="AJ49" s="199">
        <f t="shared" si="16"/>
        <v>1</v>
      </c>
      <c r="AK49" s="199">
        <f t="shared" si="16"/>
        <v>1</v>
      </c>
      <c r="AL49" s="199">
        <f t="shared" si="16"/>
        <v>1</v>
      </c>
      <c r="AM49" s="199">
        <f t="shared" si="16"/>
        <v>1</v>
      </c>
      <c r="AN49" s="199">
        <f t="shared" si="16"/>
        <v>1</v>
      </c>
      <c r="AO49" s="199">
        <f t="shared" si="16"/>
        <v>1</v>
      </c>
      <c r="AP49" s="199">
        <f t="shared" si="16"/>
        <v>1</v>
      </c>
    </row>
    <row r="50" spans="1:42">
      <c r="A50" s="199" t="s">
        <v>16</v>
      </c>
      <c r="B50" s="200" t="str">
        <f t="shared" si="12"/>
        <v>FB</v>
      </c>
      <c r="C50" s="200" t="str">
        <f t="shared" si="12"/>
        <v>Food, Beverage &amp; Tabacco</v>
      </c>
      <c r="D50" s="199">
        <v>1</v>
      </c>
      <c r="E50" s="199">
        <v>1</v>
      </c>
      <c r="F50" s="199">
        <v>1</v>
      </c>
      <c r="G50" s="199">
        <v>1</v>
      </c>
      <c r="J50" s="199">
        <f t="shared" si="16"/>
        <v>1</v>
      </c>
      <c r="K50" s="199">
        <f t="shared" si="16"/>
        <v>1</v>
      </c>
      <c r="L50" s="199">
        <f t="shared" si="16"/>
        <v>1</v>
      </c>
      <c r="M50" s="199">
        <f t="shared" si="16"/>
        <v>1</v>
      </c>
      <c r="N50" s="199">
        <f t="shared" si="16"/>
        <v>1</v>
      </c>
      <c r="O50" s="199">
        <f t="shared" si="16"/>
        <v>1</v>
      </c>
      <c r="P50" s="199">
        <f t="shared" si="16"/>
        <v>1</v>
      </c>
      <c r="Q50" s="199">
        <f t="shared" si="16"/>
        <v>1</v>
      </c>
      <c r="R50" s="199">
        <f t="shared" si="16"/>
        <v>1</v>
      </c>
      <c r="S50" s="199">
        <f t="shared" si="16"/>
        <v>1</v>
      </c>
      <c r="T50" s="199">
        <f t="shared" si="16"/>
        <v>1</v>
      </c>
      <c r="U50" s="199">
        <f t="shared" si="16"/>
        <v>1</v>
      </c>
      <c r="V50" s="199">
        <f t="shared" si="16"/>
        <v>1</v>
      </c>
      <c r="W50" s="199">
        <f t="shared" si="16"/>
        <v>1</v>
      </c>
      <c r="X50" s="199">
        <f t="shared" si="16"/>
        <v>1</v>
      </c>
      <c r="Y50" s="199">
        <f t="shared" si="16"/>
        <v>1</v>
      </c>
      <c r="Z50" s="199">
        <f t="shared" si="16"/>
        <v>1</v>
      </c>
      <c r="AA50" s="199">
        <f t="shared" si="16"/>
        <v>1</v>
      </c>
      <c r="AB50" s="199">
        <f t="shared" si="16"/>
        <v>1</v>
      </c>
      <c r="AC50" s="199">
        <f t="shared" si="16"/>
        <v>1</v>
      </c>
      <c r="AD50" s="199">
        <f t="shared" si="16"/>
        <v>1</v>
      </c>
      <c r="AE50" s="199">
        <f t="shared" si="16"/>
        <v>1</v>
      </c>
      <c r="AF50" s="199">
        <f t="shared" si="16"/>
        <v>1</v>
      </c>
      <c r="AG50" s="199">
        <f t="shared" si="16"/>
        <v>1</v>
      </c>
      <c r="AH50" s="199">
        <f t="shared" si="16"/>
        <v>1</v>
      </c>
      <c r="AI50" s="199">
        <f t="shared" si="16"/>
        <v>1</v>
      </c>
      <c r="AJ50" s="199">
        <f t="shared" si="16"/>
        <v>1</v>
      </c>
      <c r="AK50" s="199">
        <f t="shared" si="16"/>
        <v>1</v>
      </c>
      <c r="AL50" s="199">
        <f t="shared" si="16"/>
        <v>1</v>
      </c>
      <c r="AM50" s="199">
        <f t="shared" si="16"/>
        <v>1</v>
      </c>
      <c r="AN50" s="199">
        <f t="shared" si="16"/>
        <v>1</v>
      </c>
      <c r="AO50" s="199">
        <f t="shared" si="16"/>
        <v>1</v>
      </c>
      <c r="AP50" s="199">
        <f t="shared" si="16"/>
        <v>1</v>
      </c>
    </row>
    <row r="51" spans="1:42">
      <c r="A51" s="199" t="s">
        <v>16</v>
      </c>
      <c r="B51" s="200" t="str">
        <f t="shared" si="12"/>
        <v>PP</v>
      </c>
      <c r="C51" s="200" t="str">
        <f t="shared" si="12"/>
        <v>Pulp &amp; Paper Products</v>
      </c>
      <c r="D51" s="199">
        <v>1</v>
      </c>
      <c r="E51" s="199">
        <v>1</v>
      </c>
      <c r="F51" s="199">
        <v>1</v>
      </c>
      <c r="G51" s="199">
        <v>1</v>
      </c>
      <c r="J51" s="199">
        <f t="shared" si="16"/>
        <v>1</v>
      </c>
      <c r="K51" s="199">
        <f t="shared" si="16"/>
        <v>1</v>
      </c>
      <c r="L51" s="199">
        <f t="shared" si="16"/>
        <v>1</v>
      </c>
      <c r="M51" s="199">
        <f t="shared" si="16"/>
        <v>1</v>
      </c>
      <c r="N51" s="199">
        <f t="shared" si="16"/>
        <v>1</v>
      </c>
      <c r="O51" s="199">
        <f t="shared" si="16"/>
        <v>1</v>
      </c>
      <c r="P51" s="199">
        <f t="shared" si="16"/>
        <v>1</v>
      </c>
      <c r="Q51" s="199">
        <f t="shared" si="16"/>
        <v>1</v>
      </c>
      <c r="R51" s="199">
        <f t="shared" si="16"/>
        <v>1</v>
      </c>
      <c r="S51" s="199">
        <f t="shared" si="16"/>
        <v>1</v>
      </c>
      <c r="T51" s="199">
        <f t="shared" si="16"/>
        <v>1</v>
      </c>
      <c r="U51" s="199">
        <f t="shared" si="16"/>
        <v>1</v>
      </c>
      <c r="V51" s="199">
        <f t="shared" si="16"/>
        <v>1</v>
      </c>
      <c r="W51" s="199">
        <f t="shared" si="16"/>
        <v>1</v>
      </c>
      <c r="X51" s="199">
        <f t="shared" si="16"/>
        <v>1</v>
      </c>
      <c r="Y51" s="199">
        <f t="shared" si="16"/>
        <v>1</v>
      </c>
      <c r="Z51" s="199">
        <f t="shared" si="16"/>
        <v>1</v>
      </c>
      <c r="AA51" s="199">
        <f t="shared" si="16"/>
        <v>1</v>
      </c>
      <c r="AB51" s="199">
        <f t="shared" si="16"/>
        <v>1</v>
      </c>
      <c r="AC51" s="199">
        <f t="shared" si="16"/>
        <v>1</v>
      </c>
      <c r="AD51" s="199">
        <f t="shared" si="16"/>
        <v>1</v>
      </c>
      <c r="AE51" s="199">
        <f t="shared" si="16"/>
        <v>1</v>
      </c>
      <c r="AF51" s="199">
        <f t="shared" si="16"/>
        <v>1</v>
      </c>
      <c r="AG51" s="199">
        <f t="shared" si="16"/>
        <v>1</v>
      </c>
      <c r="AH51" s="199">
        <f t="shared" si="16"/>
        <v>1</v>
      </c>
      <c r="AI51" s="199">
        <f t="shared" si="16"/>
        <v>1</v>
      </c>
      <c r="AJ51" s="199">
        <f t="shared" si="16"/>
        <v>1</v>
      </c>
      <c r="AK51" s="199">
        <f t="shared" si="16"/>
        <v>1</v>
      </c>
      <c r="AL51" s="199">
        <f t="shared" si="16"/>
        <v>1</v>
      </c>
      <c r="AM51" s="199">
        <f t="shared" si="16"/>
        <v>1</v>
      </c>
      <c r="AN51" s="199">
        <f t="shared" si="16"/>
        <v>1</v>
      </c>
      <c r="AO51" s="199">
        <f t="shared" si="16"/>
        <v>1</v>
      </c>
      <c r="AP51" s="199">
        <f t="shared" si="16"/>
        <v>1</v>
      </c>
    </row>
    <row r="52" spans="1:42">
      <c r="A52" s="199" t="s">
        <v>16</v>
      </c>
      <c r="B52" s="200" t="str">
        <f t="shared" si="12"/>
        <v>PP</v>
      </c>
      <c r="C52" s="200" t="str">
        <f t="shared" si="12"/>
        <v>Pulp &amp; Paper Products</v>
      </c>
      <c r="D52" s="199">
        <v>1</v>
      </c>
      <c r="E52" s="199">
        <v>1</v>
      </c>
      <c r="F52" s="199">
        <v>1</v>
      </c>
      <c r="G52" s="199">
        <v>1</v>
      </c>
      <c r="J52" s="199">
        <f t="shared" si="16"/>
        <v>1</v>
      </c>
      <c r="K52" s="199">
        <f t="shared" si="16"/>
        <v>1</v>
      </c>
      <c r="L52" s="199">
        <f t="shared" si="16"/>
        <v>1</v>
      </c>
      <c r="M52" s="199">
        <f t="shared" si="16"/>
        <v>1</v>
      </c>
      <c r="N52" s="199">
        <f t="shared" si="16"/>
        <v>1</v>
      </c>
      <c r="O52" s="199">
        <f t="shared" si="16"/>
        <v>1</v>
      </c>
      <c r="P52" s="199">
        <f t="shared" si="16"/>
        <v>1</v>
      </c>
      <c r="Q52" s="199">
        <f t="shared" si="16"/>
        <v>1</v>
      </c>
      <c r="R52" s="199">
        <f t="shared" si="16"/>
        <v>1</v>
      </c>
      <c r="S52" s="199">
        <f t="shared" si="16"/>
        <v>1</v>
      </c>
      <c r="T52" s="199">
        <f t="shared" si="16"/>
        <v>1</v>
      </c>
      <c r="U52" s="199">
        <f t="shared" si="16"/>
        <v>1</v>
      </c>
      <c r="V52" s="199">
        <f t="shared" si="16"/>
        <v>1</v>
      </c>
      <c r="W52" s="199">
        <f t="shared" si="16"/>
        <v>1</v>
      </c>
      <c r="X52" s="199">
        <f t="shared" si="16"/>
        <v>1</v>
      </c>
      <c r="Y52" s="199">
        <f t="shared" si="16"/>
        <v>1</v>
      </c>
      <c r="Z52" s="199">
        <f t="shared" si="16"/>
        <v>1</v>
      </c>
      <c r="AA52" s="199">
        <f t="shared" si="16"/>
        <v>1</v>
      </c>
      <c r="AB52" s="199">
        <f t="shared" si="16"/>
        <v>1</v>
      </c>
      <c r="AC52" s="199">
        <f t="shared" si="16"/>
        <v>1</v>
      </c>
      <c r="AD52" s="199">
        <f t="shared" si="16"/>
        <v>1</v>
      </c>
      <c r="AE52" s="199">
        <f t="shared" si="16"/>
        <v>1</v>
      </c>
      <c r="AF52" s="199">
        <f t="shared" si="16"/>
        <v>1</v>
      </c>
      <c r="AG52" s="199">
        <f t="shared" si="16"/>
        <v>1</v>
      </c>
      <c r="AH52" s="199">
        <f t="shared" si="16"/>
        <v>1</v>
      </c>
      <c r="AI52" s="199">
        <f t="shared" si="16"/>
        <v>1</v>
      </c>
      <c r="AJ52" s="199">
        <f t="shared" si="16"/>
        <v>1</v>
      </c>
      <c r="AK52" s="199">
        <f t="shared" si="16"/>
        <v>1</v>
      </c>
      <c r="AL52" s="199">
        <f t="shared" si="16"/>
        <v>1</v>
      </c>
      <c r="AM52" s="199">
        <f t="shared" si="16"/>
        <v>1</v>
      </c>
      <c r="AN52" s="199">
        <f t="shared" si="16"/>
        <v>1</v>
      </c>
      <c r="AO52" s="199">
        <f t="shared" si="16"/>
        <v>1</v>
      </c>
      <c r="AP52" s="199">
        <f t="shared" si="16"/>
        <v>1</v>
      </c>
    </row>
    <row r="53" spans="1:42">
      <c r="A53" s="199" t="s">
        <v>16</v>
      </c>
      <c r="B53" s="200" t="str">
        <f>B22</f>
        <v>OT</v>
      </c>
      <c r="C53" s="200" t="str">
        <f>C22</f>
        <v>Other</v>
      </c>
      <c r="D53" s="199">
        <v>1</v>
      </c>
      <c r="E53" s="199">
        <v>1</v>
      </c>
      <c r="F53" s="199">
        <v>1</v>
      </c>
      <c r="G53" s="199">
        <v>1</v>
      </c>
      <c r="J53" s="199">
        <f t="shared" si="16"/>
        <v>1</v>
      </c>
      <c r="K53" s="199">
        <f t="shared" si="16"/>
        <v>1</v>
      </c>
      <c r="L53" s="199">
        <f t="shared" si="16"/>
        <v>1</v>
      </c>
      <c r="M53" s="199">
        <f t="shared" si="16"/>
        <v>1</v>
      </c>
      <c r="N53" s="199">
        <f t="shared" si="16"/>
        <v>1</v>
      </c>
      <c r="O53" s="199">
        <f t="shared" si="16"/>
        <v>1</v>
      </c>
      <c r="P53" s="199">
        <f t="shared" si="16"/>
        <v>1</v>
      </c>
      <c r="Q53" s="199">
        <f t="shared" si="16"/>
        <v>1</v>
      </c>
      <c r="R53" s="199">
        <f t="shared" si="16"/>
        <v>1</v>
      </c>
      <c r="S53" s="199">
        <f t="shared" si="16"/>
        <v>1</v>
      </c>
      <c r="T53" s="199">
        <f t="shared" si="16"/>
        <v>1</v>
      </c>
      <c r="U53" s="199">
        <f t="shared" si="16"/>
        <v>1</v>
      </c>
      <c r="V53" s="199">
        <f t="shared" si="16"/>
        <v>1</v>
      </c>
      <c r="W53" s="199">
        <f t="shared" si="16"/>
        <v>1</v>
      </c>
      <c r="X53" s="199">
        <f t="shared" si="16"/>
        <v>1</v>
      </c>
      <c r="Y53" s="199">
        <f t="shared" si="16"/>
        <v>1</v>
      </c>
      <c r="Z53" s="199">
        <f t="shared" si="16"/>
        <v>1</v>
      </c>
      <c r="AA53" s="199">
        <f t="shared" si="16"/>
        <v>1</v>
      </c>
      <c r="AB53" s="199">
        <f t="shared" si="16"/>
        <v>1</v>
      </c>
      <c r="AC53" s="199">
        <f t="shared" si="16"/>
        <v>1</v>
      </c>
      <c r="AD53" s="199">
        <f t="shared" si="16"/>
        <v>1</v>
      </c>
      <c r="AE53" s="199">
        <f t="shared" si="16"/>
        <v>1</v>
      </c>
      <c r="AF53" s="199">
        <f t="shared" si="16"/>
        <v>1</v>
      </c>
      <c r="AG53" s="199">
        <f t="shared" si="16"/>
        <v>1</v>
      </c>
      <c r="AH53" s="199">
        <f t="shared" si="16"/>
        <v>1</v>
      </c>
      <c r="AI53" s="199">
        <f t="shared" si="16"/>
        <v>1</v>
      </c>
      <c r="AJ53" s="199">
        <f t="shared" si="16"/>
        <v>1</v>
      </c>
      <c r="AK53" s="199">
        <f t="shared" si="16"/>
        <v>1</v>
      </c>
      <c r="AL53" s="199">
        <f t="shared" si="16"/>
        <v>1</v>
      </c>
      <c r="AM53" s="199">
        <f t="shared" si="16"/>
        <v>1</v>
      </c>
      <c r="AN53" s="199">
        <f t="shared" si="16"/>
        <v>1</v>
      </c>
      <c r="AO53" s="199">
        <f t="shared" si="16"/>
        <v>1</v>
      </c>
      <c r="AP53" s="199">
        <f t="shared" si="16"/>
        <v>1</v>
      </c>
    </row>
    <row r="54" spans="1:42">
      <c r="A54" s="199" t="s">
        <v>16</v>
      </c>
      <c r="B54" s="200"/>
    </row>
    <row r="55" spans="1:42" ht="15.75" thickBot="1">
      <c r="A55" s="199" t="s">
        <v>16</v>
      </c>
      <c r="B55" s="14" t="s">
        <v>289</v>
      </c>
      <c r="C55" s="14"/>
    </row>
    <row r="56" spans="1:42">
      <c r="A56" s="199" t="s">
        <v>16</v>
      </c>
      <c r="B56" s="200" t="s">
        <v>107</v>
      </c>
      <c r="C56" s="200" t="s">
        <v>108</v>
      </c>
    </row>
    <row r="57" spans="1:42">
      <c r="A57" s="199" t="s">
        <v>16</v>
      </c>
      <c r="B57" s="200" t="s">
        <v>109</v>
      </c>
      <c r="C57" s="200" t="s">
        <v>110</v>
      </c>
    </row>
    <row r="58" spans="1:42">
      <c r="A58" s="199" t="s">
        <v>16</v>
      </c>
      <c r="B58" s="200" t="s">
        <v>111</v>
      </c>
      <c r="C58" s="200" t="s">
        <v>73</v>
      </c>
    </row>
    <row r="59" spans="1:42">
      <c r="A59" s="199" t="s">
        <v>16</v>
      </c>
      <c r="B59" s="200" t="s">
        <v>112</v>
      </c>
      <c r="C59" s="200" t="s">
        <v>72</v>
      </c>
    </row>
    <row r="60" spans="1:42">
      <c r="A60" s="199" t="s">
        <v>16</v>
      </c>
      <c r="B60" s="200" t="s">
        <v>113</v>
      </c>
      <c r="C60" s="200" t="s">
        <v>114</v>
      </c>
    </row>
    <row r="61" spans="1:42">
      <c r="A61" s="199" t="s">
        <v>16</v>
      </c>
      <c r="B61" s="200" t="s">
        <v>115</v>
      </c>
      <c r="C61" s="200" t="s">
        <v>116</v>
      </c>
    </row>
    <row r="62" spans="1:42">
      <c r="A62" s="199" t="s">
        <v>16</v>
      </c>
      <c r="B62" s="200" t="s">
        <v>117</v>
      </c>
      <c r="C62" s="200" t="s">
        <v>118</v>
      </c>
    </row>
    <row r="63" spans="1:42">
      <c r="A63" s="199" t="s">
        <v>16</v>
      </c>
      <c r="B63" s="200" t="s">
        <v>119</v>
      </c>
      <c r="C63" s="200" t="s">
        <v>120</v>
      </c>
    </row>
    <row r="64" spans="1:42">
      <c r="A64" s="199" t="s">
        <v>16</v>
      </c>
      <c r="B64" s="200" t="s">
        <v>37</v>
      </c>
      <c r="C64" s="200" t="s">
        <v>121</v>
      </c>
    </row>
    <row r="65" spans="1:48">
      <c r="A65" s="199" t="s">
        <v>16</v>
      </c>
      <c r="B65" s="200" t="s">
        <v>122</v>
      </c>
      <c r="C65" s="200" t="s">
        <v>123</v>
      </c>
    </row>
    <row r="66" spans="1:48">
      <c r="A66" s="199" t="s">
        <v>16</v>
      </c>
      <c r="B66" s="200" t="s">
        <v>221</v>
      </c>
      <c r="C66" s="200" t="s">
        <v>220</v>
      </c>
    </row>
    <row r="67" spans="1:48">
      <c r="A67" s="199" t="s">
        <v>16</v>
      </c>
      <c r="B67" s="200" t="s">
        <v>124</v>
      </c>
      <c r="C67" s="200" t="s">
        <v>2</v>
      </c>
      <c r="P67" s="199" t="str">
        <f>ADDRESS(ROW(),1)</f>
        <v>$A$67</v>
      </c>
    </row>
    <row r="68" spans="1:48">
      <c r="A68" s="199" t="s">
        <v>16</v>
      </c>
      <c r="B68" s="200"/>
      <c r="C68" s="200"/>
      <c r="P68" s="199" t="str">
        <f ca="1">INDIRECT(P67)</f>
        <v>*</v>
      </c>
    </row>
    <row r="69" spans="1:48" ht="23.25">
      <c r="A69" s="199"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211.33115476849136</v>
      </c>
      <c r="L70" s="5">
        <f t="shared" ca="1" si="18"/>
        <v>213.01837615852807</v>
      </c>
      <c r="M70" s="5">
        <f t="shared" ca="1" si="18"/>
        <v>220.53948017810842</v>
      </c>
      <c r="N70" s="5">
        <f t="shared" ca="1" si="18"/>
        <v>218.06910836566365</v>
      </c>
      <c r="O70" s="5">
        <f t="shared" ca="1" si="18"/>
        <v>225.52722870222041</v>
      </c>
      <c r="P70" s="5">
        <f t="shared" ca="1" si="18"/>
        <v>224.94115095150946</v>
      </c>
      <c r="Q70" s="5">
        <f t="shared" ca="1" si="18"/>
        <v>223.24771825273953</v>
      </c>
      <c r="R70" s="5">
        <f t="shared" ca="1" si="18"/>
        <v>206.61973895129645</v>
      </c>
      <c r="S70" s="5">
        <f t="shared" ca="1" si="18"/>
        <v>213.17365741367919</v>
      </c>
      <c r="T70" s="5">
        <f t="shared" ca="1" si="18"/>
        <v>218.83981084998786</v>
      </c>
      <c r="U70" s="5">
        <f t="shared" ca="1" si="18"/>
        <v>224.81762859372228</v>
      </c>
      <c r="V70" s="5">
        <f t="shared" ca="1" si="18"/>
        <v>231.80794295213079</v>
      </c>
      <c r="W70" s="5">
        <f t="shared" ca="1" si="18"/>
        <v>239.3637844892844</v>
      </c>
      <c r="X70" s="5">
        <f t="shared" ca="1" si="18"/>
        <v>248.18490423399592</v>
      </c>
      <c r="Y70" s="5">
        <f t="shared" ca="1" si="18"/>
        <v>257.99203774764555</v>
      </c>
      <c r="Z70" s="5">
        <f t="shared" ca="1" si="18"/>
        <v>268.79729347734946</v>
      </c>
      <c r="AA70" s="5">
        <f t="shared" ca="1" si="18"/>
        <v>280.66597055561914</v>
      </c>
      <c r="AB70" s="5">
        <f t="shared" ca="1" si="18"/>
        <v>293.06596230790444</v>
      </c>
      <c r="AC70" s="5">
        <f t="shared" ca="1" si="18"/>
        <v>303.90007531895895</v>
      </c>
      <c r="AD70" s="5">
        <f t="shared" ca="1" si="18"/>
        <v>315.55689710895945</v>
      </c>
      <c r="AE70" s="5">
        <f t="shared" ca="1" si="18"/>
        <v>327.56630837565109</v>
      </c>
      <c r="AF70" s="5">
        <f t="shared" ca="1" si="18"/>
        <v>339.99241629661401</v>
      </c>
      <c r="AG70" s="5">
        <f t="shared" ca="1" si="18"/>
        <v>352.29030986241662</v>
      </c>
      <c r="AH70" s="5">
        <f t="shared" ca="1" si="18"/>
        <v>364.26766754031814</v>
      </c>
      <c r="AI70" s="5">
        <f t="shared" ca="1" si="18"/>
        <v>376.6082992245075</v>
      </c>
      <c r="AJ70" s="5">
        <f t="shared" ca="1" si="18"/>
        <v>390.71187829215245</v>
      </c>
      <c r="AK70" s="5">
        <f t="shared" ca="1" si="18"/>
        <v>405.81980314188723</v>
      </c>
      <c r="AL70" s="5">
        <f t="shared" ca="1" si="18"/>
        <v>421.65427600419775</v>
      </c>
      <c r="AM70" s="5">
        <f t="shared" ca="1" si="18"/>
        <v>524.19370654373472</v>
      </c>
      <c r="AN70" s="5">
        <f t="shared" ca="1" si="18"/>
        <v>670.31533330821389</v>
      </c>
      <c r="AO70" s="5">
        <f t="shared" ca="1" si="18"/>
        <v>911.71269124140599</v>
      </c>
      <c r="AP70" s="5">
        <f t="shared" ca="1" si="18"/>
        <v>1160.3737485454255</v>
      </c>
    </row>
    <row r="71" spans="1:48">
      <c r="A71" s="61" t="str">
        <f>'[4]TS BYDem'!A10</f>
        <v/>
      </c>
      <c r="B71" s="199" t="s">
        <v>288</v>
      </c>
      <c r="C71" s="199" t="s">
        <v>137</v>
      </c>
      <c r="D71" s="199" t="str">
        <f>'[4]TS BYDem'!D10</f>
        <v>IMIK</v>
      </c>
      <c r="E71" s="199" t="s">
        <v>137</v>
      </c>
      <c r="F71" s="199" t="s">
        <v>137</v>
      </c>
      <c r="G71" s="199" t="s">
        <v>137</v>
      </c>
      <c r="H71" s="199" t="s">
        <v>137</v>
      </c>
      <c r="I71" s="199">
        <v>0</v>
      </c>
      <c r="J71" s="199">
        <f>INDEX('[4]TS BYDem'!$J$10:$J$203,MATCH(D71,'[4]TS BYDem'!$D$10:$D$203,0))</f>
        <v>2.1376388478991801</v>
      </c>
      <c r="K71" s="199">
        <f t="shared" ref="K71:Z86" ca="1" si="19">K$70/J$70*J71</f>
        <v>2.1988303052057492</v>
      </c>
      <c r="L71" s="199">
        <f t="shared" ca="1" si="19"/>
        <v>2.2163852820290586</v>
      </c>
      <c r="M71" s="206">
        <f>O71</f>
        <v>2.2014400000000003</v>
      </c>
      <c r="N71" s="206">
        <f>O71</f>
        <v>2.2014400000000003</v>
      </c>
      <c r="O71" s="206">
        <f>INDEX('[4]TS BYDem'!$O$10:$O$203,MATCH(D71,'[4]TS BYDem'!$D$10:$D$203,0))</f>
        <v>2.2014400000000003</v>
      </c>
      <c r="P71" s="199">
        <f t="shared" ca="1" si="19"/>
        <v>2.1957191164909466</v>
      </c>
      <c r="Q71" s="199">
        <f t="shared" ca="1" si="19"/>
        <v>2.1791890039106057</v>
      </c>
      <c r="R71" s="199">
        <f t="shared" ca="1" si="19"/>
        <v>2.0168782312202636</v>
      </c>
      <c r="S71" s="199">
        <f t="shared" ca="1" si="19"/>
        <v>2.0808530263829277</v>
      </c>
      <c r="T71" s="199">
        <f t="shared" ca="1" si="19"/>
        <v>2.1361620766142733</v>
      </c>
      <c r="U71" s="199">
        <f t="shared" ca="1" si="19"/>
        <v>2.1945133771179588</v>
      </c>
      <c r="V71" s="199">
        <f t="shared" ca="1" si="19"/>
        <v>2.2627479655963803</v>
      </c>
      <c r="W71" s="199">
        <f t="shared" ca="1" si="19"/>
        <v>2.3365028371889105</v>
      </c>
      <c r="X71" s="199">
        <f t="shared" ca="1" si="19"/>
        <v>2.4226084749096586</v>
      </c>
      <c r="Y71" s="199">
        <f t="shared" ca="1" si="19"/>
        <v>2.5183388934782984</v>
      </c>
      <c r="Z71" s="199">
        <f t="shared" ca="1" si="19"/>
        <v>2.6238122871367073</v>
      </c>
      <c r="AA71" s="199">
        <f t="shared" ref="AA71:AP86" ca="1" si="20">AA$70/Z$70*Z71</f>
        <v>2.7396660606146979</v>
      </c>
      <c r="AB71" s="199">
        <f t="shared" ca="1" si="20"/>
        <v>2.8607061585232043</v>
      </c>
      <c r="AC71" s="199">
        <f t="shared" ca="1" si="20"/>
        <v>2.966461236898009</v>
      </c>
      <c r="AD71" s="199">
        <f t="shared" ca="1" si="20"/>
        <v>3.0802470263525579</v>
      </c>
      <c r="AE71" s="199">
        <f t="shared" ca="1" si="20"/>
        <v>3.1974745491269969</v>
      </c>
      <c r="AF71" s="199">
        <f t="shared" ca="1" si="20"/>
        <v>3.318769574915851</v>
      </c>
      <c r="AG71" s="199">
        <f t="shared" ca="1" si="20"/>
        <v>3.4388130613156549</v>
      </c>
      <c r="AH71" s="199">
        <f t="shared" ca="1" si="20"/>
        <v>3.5557276992428308</v>
      </c>
      <c r="AI71" s="199">
        <f t="shared" ca="1" si="20"/>
        <v>3.6761883654389846</v>
      </c>
      <c r="AJ71" s="199">
        <f t="shared" ca="1" si="20"/>
        <v>3.8138576982345884</v>
      </c>
      <c r="AK71" s="199">
        <f t="shared" ca="1" si="20"/>
        <v>3.9613307562444247</v>
      </c>
      <c r="AL71" s="199">
        <f t="shared" ca="1" si="20"/>
        <v>4.1158958707922171</v>
      </c>
      <c r="AM71" s="199">
        <f t="shared" ca="1" si="20"/>
        <v>5.1168144971857128</v>
      </c>
      <c r="AN71" s="199">
        <f t="shared" ca="1" si="20"/>
        <v>6.5431522209074418</v>
      </c>
      <c r="AO71" s="199">
        <f t="shared" ca="1" si="20"/>
        <v>8.8995053881346244</v>
      </c>
      <c r="AP71" s="199">
        <f t="shared" ca="1" si="20"/>
        <v>11.326761738249884</v>
      </c>
    </row>
    <row r="72" spans="1:48">
      <c r="A72" s="61" t="str">
        <f>'[4]TS BYDem'!A11</f>
        <v/>
      </c>
      <c r="B72" s="199" t="s">
        <v>288</v>
      </c>
      <c r="C72" s="199" t="s">
        <v>137</v>
      </c>
      <c r="D72" s="199" t="str">
        <f>'[4]TS BYDem'!D11</f>
        <v>IMIA</v>
      </c>
      <c r="E72" s="199" t="s">
        <v>137</v>
      </c>
      <c r="F72" s="199" t="s">
        <v>137</v>
      </c>
      <c r="G72" s="199" t="s">
        <v>137</v>
      </c>
      <c r="H72" s="199" t="s">
        <v>137</v>
      </c>
      <c r="I72" s="199">
        <v>0</v>
      </c>
      <c r="J72" s="199">
        <f>INDEX('[4]TS BYDem'!$J$10:$J$203,MATCH(D72,'[4]TS BYDem'!$D$10:$D$203,0))</f>
        <v>0.99318058118269725</v>
      </c>
      <c r="K72" s="199">
        <f t="shared" ca="1" si="19"/>
        <v>1.0216110932829436</v>
      </c>
      <c r="L72" s="199">
        <f t="shared" ca="1" si="19"/>
        <v>1.0297674112227857</v>
      </c>
      <c r="M72" s="206">
        <f t="shared" ref="M72:M79" si="21">O72</f>
        <v>1.0228235984706235</v>
      </c>
      <c r="N72" s="206">
        <f t="shared" ref="N72:N81" si="22">O72</f>
        <v>1.0228235984706235</v>
      </c>
      <c r="O72" s="206">
        <f>INDEX('[4]TS BYDem'!$O$10:$O$203,MATCH(D72,'[4]TS BYDem'!$D$10:$D$203,0))</f>
        <v>1.0228235984706235</v>
      </c>
      <c r="P72" s="199">
        <f t="shared" ca="1" si="19"/>
        <v>1.0201655861436185</v>
      </c>
      <c r="Q72" s="199">
        <f t="shared" ca="1" si="19"/>
        <v>1.0124854362269506</v>
      </c>
      <c r="R72" s="199">
        <f t="shared" ca="1" si="19"/>
        <v>0.93707330208126294</v>
      </c>
      <c r="S72" s="199">
        <f t="shared" ca="1" si="19"/>
        <v>0.96679699666285379</v>
      </c>
      <c r="T72" s="199">
        <f t="shared" ca="1" si="19"/>
        <v>0.99249445005046255</v>
      </c>
      <c r="U72" s="199">
        <f t="shared" ca="1" si="19"/>
        <v>1.019605380694323</v>
      </c>
      <c r="V72" s="199">
        <f t="shared" ca="1" si="19"/>
        <v>1.051308242152124</v>
      </c>
      <c r="W72" s="199">
        <f t="shared" ca="1" si="19"/>
        <v>1.0855759138429313</v>
      </c>
      <c r="X72" s="199">
        <f t="shared" ca="1" si="19"/>
        <v>1.1255819454504898</v>
      </c>
      <c r="Y72" s="199">
        <f t="shared" ca="1" si="19"/>
        <v>1.1700598014009018</v>
      </c>
      <c r="Z72" s="199">
        <f t="shared" ca="1" si="19"/>
        <v>1.2190643965952304</v>
      </c>
      <c r="AA72" s="199">
        <f t="shared" ca="1" si="20"/>
        <v>1.2728918792816351</v>
      </c>
      <c r="AB72" s="199">
        <f t="shared" ca="1" si="20"/>
        <v>1.3291290097516979</v>
      </c>
      <c r="AC72" s="199">
        <f t="shared" ca="1" si="20"/>
        <v>1.3782644800892319</v>
      </c>
      <c r="AD72" s="199">
        <f t="shared" ca="1" si="20"/>
        <v>1.4311311449198527</v>
      </c>
      <c r="AE72" s="199">
        <f t="shared" ca="1" si="20"/>
        <v>1.4855968931046539</v>
      </c>
      <c r="AF72" s="199">
        <f t="shared" ca="1" si="20"/>
        <v>1.5419524670716678</v>
      </c>
      <c r="AG72" s="199">
        <f t="shared" ca="1" si="20"/>
        <v>1.5977265561826164</v>
      </c>
      <c r="AH72" s="199">
        <f t="shared" ca="1" si="20"/>
        <v>1.6520469331534009</v>
      </c>
      <c r="AI72" s="199">
        <f t="shared" ca="1" si="20"/>
        <v>1.7080148505497046</v>
      </c>
      <c r="AJ72" s="199">
        <f t="shared" ca="1" si="20"/>
        <v>1.7719781847169085</v>
      </c>
      <c r="AK72" s="199">
        <f t="shared" ca="1" si="20"/>
        <v>1.8404964835899587</v>
      </c>
      <c r="AL72" s="199">
        <f t="shared" ca="1" si="20"/>
        <v>1.9123098633140472</v>
      </c>
      <c r="AM72" s="199">
        <f t="shared" ca="1" si="20"/>
        <v>2.3773523769524245</v>
      </c>
      <c r="AN72" s="199">
        <f t="shared" ca="1" si="20"/>
        <v>3.0400512845817294</v>
      </c>
      <c r="AO72" s="199">
        <f t="shared" ca="1" si="20"/>
        <v>4.1348499735175892</v>
      </c>
      <c r="AP72" s="199">
        <f t="shared" ca="1" si="20"/>
        <v>5.2625913947852867</v>
      </c>
    </row>
    <row r="73" spans="1:48">
      <c r="A73" s="61" t="str">
        <f>'[4]TS BYDem'!A12</f>
        <v/>
      </c>
      <c r="B73" s="199" t="s">
        <v>288</v>
      </c>
      <c r="C73" s="199" t="s">
        <v>137</v>
      </c>
      <c r="D73" s="199" t="str">
        <f>'[4]TS BYDem'!D12</f>
        <v>IMIL</v>
      </c>
      <c r="E73" s="199" t="s">
        <v>137</v>
      </c>
      <c r="F73" s="199" t="s">
        <v>137</v>
      </c>
      <c r="G73" s="199" t="s">
        <v>137</v>
      </c>
      <c r="H73" s="199" t="s">
        <v>137</v>
      </c>
      <c r="I73" s="199">
        <v>0</v>
      </c>
      <c r="J73" s="199">
        <f>INDEX('[4]TS BYDem'!$J$10:$J$203,MATCH(D73,'[4]TS BYDem'!$D$10:$D$203,0))</f>
        <v>1.4429062223319464</v>
      </c>
      <c r="K73" s="199">
        <f t="shared" ca="1" si="19"/>
        <v>1.4842104560138805</v>
      </c>
      <c r="L73" s="199">
        <f t="shared" ca="1" si="19"/>
        <v>1.4960600653696143</v>
      </c>
      <c r="M73" s="206">
        <f t="shared" si="21"/>
        <v>1.4859720000000001</v>
      </c>
      <c r="N73" s="206">
        <f t="shared" si="22"/>
        <v>1.4859720000000001</v>
      </c>
      <c r="O73" s="206">
        <f>INDEX('[4]TS BYDem'!$O$10:$O$203,MATCH(D73,'[4]TS BYDem'!$D$10:$D$203,0))</f>
        <v>1.4859720000000001</v>
      </c>
      <c r="P73" s="199">
        <f t="shared" ca="1" si="19"/>
        <v>1.4821104036313888</v>
      </c>
      <c r="Q73" s="199">
        <f t="shared" ca="1" si="19"/>
        <v>1.4709525776396586</v>
      </c>
      <c r="R73" s="199">
        <f t="shared" ca="1" si="19"/>
        <v>1.3613928060736777</v>
      </c>
      <c r="S73" s="199">
        <f t="shared" ca="1" si="19"/>
        <v>1.4045757928084761</v>
      </c>
      <c r="T73" s="199">
        <f t="shared" ca="1" si="19"/>
        <v>1.4419094017146346</v>
      </c>
      <c r="U73" s="199">
        <f t="shared" ca="1" si="19"/>
        <v>1.4812965295546223</v>
      </c>
      <c r="V73" s="199">
        <f t="shared" ca="1" si="19"/>
        <v>1.5273548767775569</v>
      </c>
      <c r="W73" s="199">
        <f t="shared" ca="1" si="19"/>
        <v>1.5771394151025149</v>
      </c>
      <c r="X73" s="199">
        <f t="shared" ca="1" si="19"/>
        <v>1.6352607205640199</v>
      </c>
      <c r="Y73" s="199">
        <f t="shared" ca="1" si="19"/>
        <v>1.6998787530978519</v>
      </c>
      <c r="Z73" s="199">
        <f t="shared" ca="1" si="19"/>
        <v>1.771073293817278</v>
      </c>
      <c r="AA73" s="199">
        <f t="shared" ca="1" si="20"/>
        <v>1.8492745909149215</v>
      </c>
      <c r="AB73" s="199">
        <f t="shared" ca="1" si="20"/>
        <v>1.9309766570031635</v>
      </c>
      <c r="AC73" s="199">
        <f t="shared" ca="1" si="20"/>
        <v>2.0023613349061566</v>
      </c>
      <c r="AD73" s="199">
        <f t="shared" ca="1" si="20"/>
        <v>2.0791667427879772</v>
      </c>
      <c r="AE73" s="199">
        <f t="shared" ca="1" si="20"/>
        <v>2.1582953206607236</v>
      </c>
      <c r="AF73" s="199">
        <f t="shared" ca="1" si="20"/>
        <v>2.2401694630682001</v>
      </c>
      <c r="AG73" s="199">
        <f t="shared" ca="1" si="20"/>
        <v>2.3211988163880677</v>
      </c>
      <c r="AH73" s="199">
        <f t="shared" ca="1" si="20"/>
        <v>2.4001161969889115</v>
      </c>
      <c r="AI73" s="199">
        <f t="shared" ca="1" si="20"/>
        <v>2.4814271466713156</v>
      </c>
      <c r="AJ73" s="199">
        <f t="shared" ca="1" si="20"/>
        <v>2.574353946308348</v>
      </c>
      <c r="AK73" s="199">
        <f t="shared" ca="1" si="20"/>
        <v>2.6738982604649872</v>
      </c>
      <c r="AL73" s="199">
        <f t="shared" ca="1" si="20"/>
        <v>2.7782297127847473</v>
      </c>
      <c r="AM73" s="199">
        <f t="shared" ca="1" si="20"/>
        <v>3.4538497856003572</v>
      </c>
      <c r="AN73" s="199">
        <f t="shared" ca="1" si="20"/>
        <v>4.416627749112525</v>
      </c>
      <c r="AO73" s="199">
        <f t="shared" ca="1" si="20"/>
        <v>6.0071661369908744</v>
      </c>
      <c r="AP73" s="199">
        <f t="shared" ca="1" si="20"/>
        <v>7.6455641733186743</v>
      </c>
    </row>
    <row r="74" spans="1:48">
      <c r="A74" s="61" t="str">
        <f>'[4]TS BYDem'!A13</f>
        <v/>
      </c>
      <c r="B74" s="199" t="s">
        <v>288</v>
      </c>
      <c r="C74" s="199" t="s">
        <v>137</v>
      </c>
      <c r="D74" s="199" t="str">
        <f>'[4]TS BYDem'!D13</f>
        <v>IMIC</v>
      </c>
      <c r="E74" s="199" t="s">
        <v>137</v>
      </c>
      <c r="F74" s="199" t="s">
        <v>137</v>
      </c>
      <c r="G74" s="199" t="s">
        <v>137</v>
      </c>
      <c r="H74" s="199" t="s">
        <v>137</v>
      </c>
      <c r="I74" s="199">
        <v>0</v>
      </c>
      <c r="J74" s="199">
        <f>INDEX('[4]TS BYDem'!$J$10:$J$203,MATCH(D74,'[4]TS BYDem'!$D$10:$D$203,0))</f>
        <v>17.35324025908308</v>
      </c>
      <c r="K74" s="199">
        <f t="shared" ca="1" si="19"/>
        <v>17.84998930604576</v>
      </c>
      <c r="L74" s="199">
        <f t="shared" ca="1" si="19"/>
        <v>17.992499688871611</v>
      </c>
      <c r="M74" s="206">
        <f t="shared" si="21"/>
        <v>17.871174671764589</v>
      </c>
      <c r="N74" s="206">
        <f t="shared" si="22"/>
        <v>17.871174671764589</v>
      </c>
      <c r="O74" s="206">
        <f>INDEX('[4]TS BYDem'!$O$10:$O$203,MATCH(D74,'[4]TS BYDem'!$D$10:$D$203,0))</f>
        <v>17.871174671764589</v>
      </c>
      <c r="P74" s="199">
        <f t="shared" ca="1" si="19"/>
        <v>17.824732838933752</v>
      </c>
      <c r="Q74" s="199">
        <f t="shared" ca="1" si="19"/>
        <v>17.690542250379345</v>
      </c>
      <c r="R74" s="199">
        <f t="shared" ca="1" si="19"/>
        <v>16.372911894858333</v>
      </c>
      <c r="S74" s="199">
        <f t="shared" ca="1" si="19"/>
        <v>16.892255932825453</v>
      </c>
      <c r="T74" s="199">
        <f t="shared" ca="1" si="19"/>
        <v>17.3412519071031</v>
      </c>
      <c r="U74" s="199">
        <f t="shared" ca="1" si="19"/>
        <v>17.814944709825859</v>
      </c>
      <c r="V74" s="199">
        <f t="shared" ca="1" si="19"/>
        <v>18.368869526924598</v>
      </c>
      <c r="W74" s="199">
        <f t="shared" ca="1" si="19"/>
        <v>18.9676077133497</v>
      </c>
      <c r="X74" s="199">
        <f t="shared" ca="1" si="19"/>
        <v>19.666608772625072</v>
      </c>
      <c r="Y74" s="199">
        <f t="shared" ca="1" si="19"/>
        <v>20.443743298953883</v>
      </c>
      <c r="Z74" s="199">
        <f t="shared" ca="1" si="19"/>
        <v>21.299970787004074</v>
      </c>
      <c r="AA74" s="199">
        <f t="shared" ca="1" si="20"/>
        <v>22.240465655003302</v>
      </c>
      <c r="AB74" s="199">
        <f t="shared" ca="1" si="20"/>
        <v>23.223062833218655</v>
      </c>
      <c r="AC74" s="199">
        <f t="shared" ca="1" si="20"/>
        <v>24.081577023049988</v>
      </c>
      <c r="AD74" s="199">
        <f t="shared" ca="1" si="20"/>
        <v>25.005284105008556</v>
      </c>
      <c r="AE74" s="199">
        <f t="shared" ca="1" si="20"/>
        <v>25.956930997878796</v>
      </c>
      <c r="AF74" s="199">
        <f t="shared" ca="1" si="20"/>
        <v>26.941597667281005</v>
      </c>
      <c r="AG74" s="199">
        <f t="shared" ca="1" si="20"/>
        <v>27.916104405442614</v>
      </c>
      <c r="AH74" s="199">
        <f t="shared" ca="1" si="20"/>
        <v>28.865211315502698</v>
      </c>
      <c r="AI74" s="199">
        <f t="shared" ca="1" si="20"/>
        <v>29.843104697411174</v>
      </c>
      <c r="AJ74" s="199">
        <f t="shared" ca="1" si="20"/>
        <v>30.960697133877996</v>
      </c>
      <c r="AK74" s="199">
        <f t="shared" ca="1" si="20"/>
        <v>32.157875698396246</v>
      </c>
      <c r="AL74" s="199">
        <f t="shared" ca="1" si="20"/>
        <v>33.412627206611283</v>
      </c>
      <c r="AM74" s="199">
        <f t="shared" ca="1" si="20"/>
        <v>41.538032216287156</v>
      </c>
      <c r="AN74" s="199">
        <f t="shared" ca="1" si="20"/>
        <v>53.116967186832859</v>
      </c>
      <c r="AO74" s="199">
        <f t="shared" ca="1" si="20"/>
        <v>72.245718840242773</v>
      </c>
      <c r="AP74" s="199">
        <f t="shared" ca="1" si="20"/>
        <v>91.950058820464619</v>
      </c>
    </row>
    <row r="75" spans="1:48">
      <c r="A75" s="61" t="str">
        <f>'[4]TS BYDem'!A14</f>
        <v/>
      </c>
      <c r="B75" s="199" t="s">
        <v>288</v>
      </c>
      <c r="C75" s="199" t="s">
        <v>137</v>
      </c>
      <c r="D75" s="199" t="str">
        <f>'[4]TS BYDem'!D14</f>
        <v>IMIH</v>
      </c>
      <c r="E75" s="199" t="s">
        <v>137</v>
      </c>
      <c r="F75" s="199" t="s">
        <v>137</v>
      </c>
      <c r="G75" s="199" t="s">
        <v>137</v>
      </c>
      <c r="H75" s="199" t="s">
        <v>137</v>
      </c>
      <c r="I75" s="199">
        <v>0</v>
      </c>
      <c r="J75" s="199">
        <f>INDEX('[4]TS BYDem'!$J$10:$J$203,MATCH(D75,'[4]TS BYDem'!$D$10:$D$203,0))</f>
        <v>7.6954998524370488</v>
      </c>
      <c r="K75" s="199">
        <f t="shared" ca="1" si="19"/>
        <v>7.9157890987406976</v>
      </c>
      <c r="L75" s="199">
        <f t="shared" ca="1" si="19"/>
        <v>7.9789870153046119</v>
      </c>
      <c r="M75" s="206">
        <f t="shared" si="21"/>
        <v>7.9251840000000016</v>
      </c>
      <c r="N75" s="206">
        <f t="shared" si="22"/>
        <v>7.9251840000000016</v>
      </c>
      <c r="O75" s="206">
        <f>INDEX('[4]TS BYDem'!$O$10:$O$203,MATCH(D75,'[4]TS BYDem'!$D$10:$D$203,0))</f>
        <v>7.9251840000000016</v>
      </c>
      <c r="P75" s="199">
        <f t="shared" ca="1" si="19"/>
        <v>7.9045888193674081</v>
      </c>
      <c r="Q75" s="199">
        <f t="shared" ca="1" si="19"/>
        <v>7.84508041407818</v>
      </c>
      <c r="R75" s="199">
        <f t="shared" ca="1" si="19"/>
        <v>7.2607616323929491</v>
      </c>
      <c r="S75" s="199">
        <f t="shared" ca="1" si="19"/>
        <v>7.4910708949785407</v>
      </c>
      <c r="T75" s="199">
        <f t="shared" ca="1" si="19"/>
        <v>7.6901834758113852</v>
      </c>
      <c r="U75" s="199">
        <f t="shared" ca="1" si="19"/>
        <v>7.9002481576246533</v>
      </c>
      <c r="V75" s="199">
        <f t="shared" ca="1" si="19"/>
        <v>8.1458926761469712</v>
      </c>
      <c r="W75" s="199">
        <f t="shared" ca="1" si="19"/>
        <v>8.4114102138800799</v>
      </c>
      <c r="X75" s="199">
        <f t="shared" ca="1" si="19"/>
        <v>8.721390509674773</v>
      </c>
      <c r="Y75" s="199">
        <f t="shared" ca="1" si="19"/>
        <v>9.0660200165218754</v>
      </c>
      <c r="Z75" s="199">
        <f t="shared" ca="1" si="19"/>
        <v>9.4457242336921485</v>
      </c>
      <c r="AA75" s="199">
        <f t="shared" ca="1" si="20"/>
        <v>9.8627978182129148</v>
      </c>
      <c r="AB75" s="199">
        <f t="shared" ca="1" si="20"/>
        <v>10.29854217068354</v>
      </c>
      <c r="AC75" s="199">
        <f t="shared" ca="1" si="20"/>
        <v>10.679260452832837</v>
      </c>
      <c r="AD75" s="199">
        <f t="shared" ca="1" si="20"/>
        <v>11.088889294869213</v>
      </c>
      <c r="AE75" s="199">
        <f t="shared" ca="1" si="20"/>
        <v>11.510908376857193</v>
      </c>
      <c r="AF75" s="199">
        <f t="shared" ca="1" si="20"/>
        <v>11.947570469697068</v>
      </c>
      <c r="AG75" s="199">
        <f t="shared" ca="1" si="20"/>
        <v>12.379727020736363</v>
      </c>
      <c r="AH75" s="199">
        <f t="shared" ca="1" si="20"/>
        <v>12.800619717274197</v>
      </c>
      <c r="AI75" s="199">
        <f t="shared" ca="1" si="20"/>
        <v>13.23427811558035</v>
      </c>
      <c r="AJ75" s="199">
        <f t="shared" ca="1" si="20"/>
        <v>13.729887713644523</v>
      </c>
      <c r="AK75" s="199">
        <f t="shared" ca="1" si="20"/>
        <v>14.260790722479932</v>
      </c>
      <c r="AL75" s="199">
        <f t="shared" ca="1" si="20"/>
        <v>14.817225134851986</v>
      </c>
      <c r="AM75" s="199">
        <f t="shared" ca="1" si="20"/>
        <v>18.420532189868574</v>
      </c>
      <c r="AN75" s="199">
        <f t="shared" ca="1" si="20"/>
        <v>23.5553479952668</v>
      </c>
      <c r="AO75" s="199">
        <f t="shared" ca="1" si="20"/>
        <v>32.038219397284664</v>
      </c>
      <c r="AP75" s="199">
        <f t="shared" ca="1" si="20"/>
        <v>40.776342257699596</v>
      </c>
    </row>
    <row r="76" spans="1:48">
      <c r="A76" s="61" t="str">
        <f>'[4]TS BYDem'!A15</f>
        <v/>
      </c>
      <c r="B76" s="199" t="s">
        <v>288</v>
      </c>
      <c r="C76" s="199" t="s">
        <v>137</v>
      </c>
      <c r="D76" s="199" t="str">
        <f>'[4]TS BYDem'!D15</f>
        <v>IMIP</v>
      </c>
      <c r="E76" s="199" t="s">
        <v>137</v>
      </c>
      <c r="F76" s="199" t="s">
        <v>137</v>
      </c>
      <c r="G76" s="199" t="s">
        <v>137</v>
      </c>
      <c r="H76" s="199" t="s">
        <v>137</v>
      </c>
      <c r="I76" s="199">
        <v>0</v>
      </c>
      <c r="J76" s="199">
        <f>INDEX('[4]TS BYDem'!$J$10:$J$203,MATCH(D76,'[4]TS BYDem'!$D$10:$D$203,0))</f>
        <v>15.294517272248457</v>
      </c>
      <c r="K76" s="199">
        <f t="shared" ca="1" si="19"/>
        <v>15.732333885475313</v>
      </c>
      <c r="L76" s="199">
        <f t="shared" ca="1" si="19"/>
        <v>15.857937373876499</v>
      </c>
      <c r="M76" s="206">
        <f t="shared" si="21"/>
        <v>15.751005899293361</v>
      </c>
      <c r="N76" s="206">
        <f t="shared" si="22"/>
        <v>15.751005899293361</v>
      </c>
      <c r="O76" s="206">
        <f>INDEX('[4]TS BYDem'!$O$10:$O$203,MATCH(D76,'[4]TS BYDem'!$D$10:$D$203,0))</f>
        <v>15.751005899293361</v>
      </c>
      <c r="P76" s="199">
        <f t="shared" ca="1" si="19"/>
        <v>15.710073750381614</v>
      </c>
      <c r="Q76" s="199">
        <f t="shared" ca="1" si="19"/>
        <v>15.591803027232704</v>
      </c>
      <c r="R76" s="199">
        <f t="shared" ca="1" si="19"/>
        <v>14.430491368425542</v>
      </c>
      <c r="S76" s="199">
        <f t="shared" ca="1" si="19"/>
        <v>14.888222388127742</v>
      </c>
      <c r="T76" s="199">
        <f t="shared" ca="1" si="19"/>
        <v>15.283951173140387</v>
      </c>
      <c r="U76" s="199">
        <f t="shared" ca="1" si="19"/>
        <v>15.701446848000931</v>
      </c>
      <c r="V76" s="199">
        <f t="shared" ca="1" si="19"/>
        <v>16.189656113599572</v>
      </c>
      <c r="W76" s="199">
        <f t="shared" ca="1" si="19"/>
        <v>16.71736225937487</v>
      </c>
      <c r="X76" s="199">
        <f t="shared" ca="1" si="19"/>
        <v>17.333436468847726</v>
      </c>
      <c r="Y76" s="199">
        <f t="shared" ca="1" si="19"/>
        <v>18.018374685477053</v>
      </c>
      <c r="Z76" s="199">
        <f t="shared" ca="1" si="19"/>
        <v>18.773022573101557</v>
      </c>
      <c r="AA76" s="199">
        <f t="shared" ca="1" si="20"/>
        <v>19.601940676482627</v>
      </c>
      <c r="AB76" s="199">
        <f t="shared" ca="1" si="20"/>
        <v>20.467966230759799</v>
      </c>
      <c r="AC76" s="199">
        <f t="shared" ca="1" si="20"/>
        <v>21.224629534489075</v>
      </c>
      <c r="AD76" s="199">
        <f t="shared" ca="1" si="20"/>
        <v>22.038751491460125</v>
      </c>
      <c r="AE76" s="199">
        <f t="shared" ca="1" si="20"/>
        <v>22.877498585534791</v>
      </c>
      <c r="AF76" s="199">
        <f t="shared" ca="1" si="20"/>
        <v>23.745348114368273</v>
      </c>
      <c r="AG76" s="199">
        <f t="shared" ca="1" si="20"/>
        <v>24.604243047891355</v>
      </c>
      <c r="AH76" s="199">
        <f t="shared" ca="1" si="20"/>
        <v>25.440751493138418</v>
      </c>
      <c r="AI76" s="199">
        <f t="shared" ca="1" si="20"/>
        <v>26.302631291764964</v>
      </c>
      <c r="AJ76" s="199">
        <f t="shared" ca="1" si="20"/>
        <v>27.287636775909586</v>
      </c>
      <c r="AK76" s="199">
        <f t="shared" ca="1" si="20"/>
        <v>28.342786589985717</v>
      </c>
      <c r="AL76" s="199">
        <f t="shared" ca="1" si="20"/>
        <v>29.448679110820823</v>
      </c>
      <c r="AM76" s="199">
        <f t="shared" ca="1" si="20"/>
        <v>36.610116710317769</v>
      </c>
      <c r="AN76" s="199">
        <f t="shared" ca="1" si="20"/>
        <v>46.815370499076771</v>
      </c>
      <c r="AO76" s="199">
        <f t="shared" ca="1" si="20"/>
        <v>63.674759189122362</v>
      </c>
      <c r="AP76" s="199">
        <f t="shared" ca="1" si="20"/>
        <v>81.041450577378555</v>
      </c>
    </row>
    <row r="77" spans="1:48">
      <c r="A77" s="61" t="str">
        <f>'[4]TS BYDem'!A16</f>
        <v/>
      </c>
      <c r="B77" s="199" t="s">
        <v>288</v>
      </c>
      <c r="C77" s="199" t="s">
        <v>137</v>
      </c>
      <c r="D77" s="199" t="str">
        <f>'[4]TS BYDem'!D16</f>
        <v>IMIF</v>
      </c>
      <c r="E77" s="199" t="s">
        <v>137</v>
      </c>
      <c r="F77" s="199" t="s">
        <v>137</v>
      </c>
      <c r="G77" s="199" t="s">
        <v>137</v>
      </c>
      <c r="H77" s="199" t="s">
        <v>137</v>
      </c>
      <c r="I77" s="199">
        <v>0</v>
      </c>
      <c r="J77" s="199">
        <f>INDEX('[4]TS BYDem'!$J$10:$J$203,MATCH(D77,'[4]TS BYDem'!$D$10:$D$203,0))</f>
        <v>5.8889063414920679</v>
      </c>
      <c r="K77" s="199">
        <f t="shared" ca="1" si="19"/>
        <v>6.0574805425700191</v>
      </c>
      <c r="L77" s="199">
        <f t="shared" ca="1" si="19"/>
        <v>6.1058421329486432</v>
      </c>
      <c r="M77" s="206">
        <f t="shared" si="21"/>
        <v>6.0646698992933636</v>
      </c>
      <c r="N77" s="206">
        <f t="shared" si="22"/>
        <v>6.0646698992933636</v>
      </c>
      <c r="O77" s="206">
        <f>INDEX('[4]TS BYDem'!$O$10:$O$203,MATCH(D77,'[4]TS BYDem'!$D$10:$D$203,0))</f>
        <v>6.0646698992933636</v>
      </c>
      <c r="P77" s="199">
        <f t="shared" ca="1" si="19"/>
        <v>6.0489096378214535</v>
      </c>
      <c r="Q77" s="199">
        <f t="shared" ca="1" si="19"/>
        <v>6.0033714100260447</v>
      </c>
      <c r="R77" s="199">
        <f t="shared" ca="1" si="19"/>
        <v>5.5562271510563868</v>
      </c>
      <c r="S77" s="199">
        <f t="shared" ca="1" si="19"/>
        <v>5.7324690720428633</v>
      </c>
      <c r="T77" s="199">
        <f t="shared" ca="1" si="19"/>
        <v>5.8848380360375883</v>
      </c>
      <c r="U77" s="199">
        <f t="shared" ca="1" si="19"/>
        <v>6.0455879886819144</v>
      </c>
      <c r="V77" s="199">
        <f t="shared" ca="1" si="19"/>
        <v>6.233565064975501</v>
      </c>
      <c r="W77" s="199">
        <f t="shared" ca="1" si="19"/>
        <v>6.4367497757436647</v>
      </c>
      <c r="X77" s="199">
        <f t="shared" ca="1" si="19"/>
        <v>6.6739591792452275</v>
      </c>
      <c r="Y77" s="199">
        <f t="shared" ca="1" si="19"/>
        <v>6.9376835541725406</v>
      </c>
      <c r="Z77" s="199">
        <f t="shared" ca="1" si="19"/>
        <v>7.2282485097000464</v>
      </c>
      <c r="AA77" s="199">
        <f t="shared" ca="1" si="20"/>
        <v>7.5474100097779599</v>
      </c>
      <c r="AB77" s="199">
        <f t="shared" ca="1" si="20"/>
        <v>7.8808591332577018</v>
      </c>
      <c r="AC77" s="199">
        <f t="shared" ca="1" si="20"/>
        <v>8.1722000921378388</v>
      </c>
      <c r="AD77" s="199">
        <f t="shared" ca="1" si="20"/>
        <v>8.4856645755088742</v>
      </c>
      <c r="AE77" s="199">
        <f t="shared" ca="1" si="20"/>
        <v>8.8086105693760093</v>
      </c>
      <c r="AF77" s="199">
        <f t="shared" ca="1" si="20"/>
        <v>9.1427619847385344</v>
      </c>
      <c r="AG77" s="199">
        <f t="shared" ca="1" si="20"/>
        <v>9.4734655781024788</v>
      </c>
      <c r="AH77" s="199">
        <f t="shared" ca="1" si="20"/>
        <v>9.7955496164699678</v>
      </c>
      <c r="AI77" s="199">
        <f t="shared" ca="1" si="20"/>
        <v>10.127402483833439</v>
      </c>
      <c r="AJ77" s="199">
        <f t="shared" ca="1" si="20"/>
        <v>10.506662903677404</v>
      </c>
      <c r="AK77" s="199">
        <f t="shared" ca="1" si="20"/>
        <v>10.912931262510257</v>
      </c>
      <c r="AL77" s="199">
        <f t="shared" ca="1" si="20"/>
        <v>11.338737279335076</v>
      </c>
      <c r="AM77" s="199">
        <f t="shared" ca="1" si="20"/>
        <v>14.096132922700644</v>
      </c>
      <c r="AN77" s="199">
        <f t="shared" ca="1" si="20"/>
        <v>18.02550072708404</v>
      </c>
      <c r="AO77" s="199">
        <f t="shared" ca="1" si="20"/>
        <v>24.516935481330027</v>
      </c>
      <c r="AP77" s="199">
        <f t="shared" ca="1" si="20"/>
        <v>31.203698929079085</v>
      </c>
    </row>
    <row r="78" spans="1:48">
      <c r="A78" s="61" t="str">
        <f>'[4]TS BYDem'!A17</f>
        <v/>
      </c>
      <c r="B78" s="199" t="s">
        <v>288</v>
      </c>
      <c r="C78" s="199" t="s">
        <v>137</v>
      </c>
      <c r="D78" s="199" t="str">
        <f>'[4]TS BYDem'!D17</f>
        <v>IMIO</v>
      </c>
      <c r="E78" s="199" t="s">
        <v>137</v>
      </c>
      <c r="F78" s="199" t="s">
        <v>137</v>
      </c>
      <c r="G78" s="199" t="s">
        <v>137</v>
      </c>
      <c r="H78" s="199" t="s">
        <v>137</v>
      </c>
      <c r="I78" s="199">
        <v>0</v>
      </c>
      <c r="J78" s="199">
        <f>INDEX('[4]TS BYDem'!$J$10:$J$203,MATCH(D78,'[4]TS BYDem'!$D$10:$D$203,0))</f>
        <v>28.894976807848312</v>
      </c>
      <c r="K78" s="199">
        <f t="shared" ca="1" si="19"/>
        <v>29.722116406966951</v>
      </c>
      <c r="L78" s="199">
        <f t="shared" ca="1" si="19"/>
        <v>29.959411237508768</v>
      </c>
      <c r="M78" s="206">
        <f t="shared" si="21"/>
        <v>29.757392277177463</v>
      </c>
      <c r="N78" s="206">
        <f t="shared" si="22"/>
        <v>29.757392277177463</v>
      </c>
      <c r="O78" s="206">
        <f>INDEX('[4]TS BYDem'!$O$10:$O$203,MATCH(D78,'[4]TS BYDem'!$D$10:$D$203,0))</f>
        <v>29.757392277177463</v>
      </c>
      <c r="P78" s="199">
        <f t="shared" ca="1" si="19"/>
        <v>29.680061723198726</v>
      </c>
      <c r="Q78" s="199">
        <f t="shared" ca="1" si="19"/>
        <v>29.456620228341215</v>
      </c>
      <c r="R78" s="199">
        <f t="shared" ca="1" si="19"/>
        <v>27.262626599735263</v>
      </c>
      <c r="S78" s="199">
        <f t="shared" ca="1" si="19"/>
        <v>28.12738924396244</v>
      </c>
      <c r="T78" s="199">
        <f t="shared" ca="1" si="19"/>
        <v>28.87501493633301</v>
      </c>
      <c r="U78" s="199">
        <f t="shared" ca="1" si="19"/>
        <v>29.66376345501698</v>
      </c>
      <c r="V78" s="199">
        <f t="shared" ca="1" si="19"/>
        <v>30.586106746782445</v>
      </c>
      <c r="W78" s="199">
        <f t="shared" ca="1" si="19"/>
        <v>31.583069028894052</v>
      </c>
      <c r="X78" s="199">
        <f t="shared" ca="1" si="19"/>
        <v>32.746979577867826</v>
      </c>
      <c r="Y78" s="199">
        <f t="shared" ca="1" si="19"/>
        <v>34.040990597112234</v>
      </c>
      <c r="Z78" s="199">
        <f t="shared" ca="1" si="19"/>
        <v>35.466699746531901</v>
      </c>
      <c r="AA78" s="199">
        <f t="shared" ca="1" si="20"/>
        <v>37.032722978678052</v>
      </c>
      <c r="AB78" s="199">
        <f t="shared" ca="1" si="20"/>
        <v>38.668851001577337</v>
      </c>
      <c r="AC78" s="199">
        <f t="shared" ca="1" si="20"/>
        <v>40.098367750842684</v>
      </c>
      <c r="AD78" s="199">
        <f t="shared" ca="1" si="20"/>
        <v>41.636437547142982</v>
      </c>
      <c r="AE78" s="199">
        <f t="shared" ca="1" si="20"/>
        <v>43.22103007788683</v>
      </c>
      <c r="AF78" s="199">
        <f t="shared" ca="1" si="20"/>
        <v>44.860604022063953</v>
      </c>
      <c r="AG78" s="199">
        <f t="shared" ca="1" si="20"/>
        <v>46.483260608261617</v>
      </c>
      <c r="AH78" s="199">
        <f t="shared" ca="1" si="20"/>
        <v>48.063623799510594</v>
      </c>
      <c r="AI78" s="199">
        <f t="shared" ca="1" si="20"/>
        <v>49.69191950503474</v>
      </c>
      <c r="AJ78" s="199">
        <f t="shared" ca="1" si="20"/>
        <v>51.552828882776616</v>
      </c>
      <c r="AK78" s="199">
        <f t="shared" ca="1" si="20"/>
        <v>53.546257564691018</v>
      </c>
      <c r="AL78" s="199">
        <f t="shared" ca="1" si="20"/>
        <v>55.635551275155777</v>
      </c>
      <c r="AM78" s="199">
        <f t="shared" ca="1" si="20"/>
        <v>69.165208319238232</v>
      </c>
      <c r="AN78" s="199">
        <f t="shared" ca="1" si="20"/>
        <v>88.445357296509414</v>
      </c>
      <c r="AO78" s="199">
        <f t="shared" ca="1" si="20"/>
        <v>120.2967479956649</v>
      </c>
      <c r="AP78" s="199">
        <f t="shared" ca="1" si="20"/>
        <v>153.10655401701899</v>
      </c>
    </row>
    <row r="79" spans="1:48">
      <c r="A79" s="61" t="str">
        <f>'[4]TS BYDem'!A18</f>
        <v/>
      </c>
      <c r="B79" s="199" t="s">
        <v>288</v>
      </c>
      <c r="C79" s="199" t="s">
        <v>137</v>
      </c>
      <c r="D79" s="199" t="str">
        <f>'[4]TS BYDem'!D18</f>
        <v>IMIE</v>
      </c>
      <c r="E79" s="199" t="s">
        <v>137</v>
      </c>
      <c r="F79" s="199" t="s">
        <v>137</v>
      </c>
      <c r="G79" s="199" t="s">
        <v>137</v>
      </c>
      <c r="H79" s="199" t="s">
        <v>137</v>
      </c>
      <c r="I79" s="199">
        <v>0</v>
      </c>
      <c r="J79" s="199">
        <f>INDEX('[4]TS BYDem'!$J$10:$J$203,MATCH(D79,'[4]TS BYDem'!$D$10:$D$203,0))</f>
        <v>0.18682963530638833</v>
      </c>
      <c r="K79" s="199">
        <f t="shared" ca="1" si="19"/>
        <v>0.19217776867498246</v>
      </c>
      <c r="L79" s="199">
        <f t="shared" ca="1" si="19"/>
        <v>0.19371207364933971</v>
      </c>
      <c r="M79" s="206">
        <f t="shared" si="21"/>
        <v>0.19240585599999999</v>
      </c>
      <c r="N79" s="206">
        <f t="shared" si="22"/>
        <v>0.19240585599999999</v>
      </c>
      <c r="O79" s="206">
        <f>INDEX('[4]TS BYDem'!$O$10:$O$203,MATCH(D79,'[4]TS BYDem'!$D$10:$D$203,0))</f>
        <v>0.19240585599999999</v>
      </c>
      <c r="P79" s="199">
        <f t="shared" ca="1" si="19"/>
        <v>0.19190585078130867</v>
      </c>
      <c r="Q79" s="199">
        <f t="shared" ca="1" si="19"/>
        <v>0.19046111894178686</v>
      </c>
      <c r="R79" s="199">
        <f t="shared" ca="1" si="19"/>
        <v>0.17627515740865099</v>
      </c>
      <c r="S79" s="199">
        <f t="shared" ca="1" si="19"/>
        <v>0.18186655450586783</v>
      </c>
      <c r="T79" s="199">
        <f t="shared" ca="1" si="19"/>
        <v>0.18670056549608743</v>
      </c>
      <c r="U79" s="199">
        <f t="shared" ca="1" si="19"/>
        <v>0.19180046916010957</v>
      </c>
      <c r="V79" s="199">
        <f t="shared" ca="1" si="19"/>
        <v>0.19776417219312362</v>
      </c>
      <c r="W79" s="199">
        <f t="shared" ca="1" si="19"/>
        <v>0.20421034797031076</v>
      </c>
      <c r="X79" s="199">
        <f t="shared" ca="1" si="19"/>
        <v>0.21173598070710414</v>
      </c>
      <c r="Y79" s="199">
        <f t="shared" ca="1" si="19"/>
        <v>0.22010281929000325</v>
      </c>
      <c r="Z79" s="199">
        <f t="shared" ca="1" si="19"/>
        <v>0.2293211938957482</v>
      </c>
      <c r="AA79" s="199">
        <f t="shared" ca="1" si="20"/>
        <v>0.23944681369772458</v>
      </c>
      <c r="AB79" s="199">
        <f t="shared" ca="1" si="20"/>
        <v>0.25002571825492809</v>
      </c>
      <c r="AC79" s="199">
        <f t="shared" ca="1" si="20"/>
        <v>0.259268712104886</v>
      </c>
      <c r="AD79" s="199">
        <f t="shared" ca="1" si="20"/>
        <v>0.26921359010321355</v>
      </c>
      <c r="AE79" s="199">
        <f t="shared" ca="1" si="20"/>
        <v>0.27945927559369954</v>
      </c>
      <c r="AF79" s="199">
        <f t="shared" ca="1" si="20"/>
        <v>0.29006046084764536</v>
      </c>
      <c r="AG79" s="199">
        <f t="shared" ca="1" si="20"/>
        <v>0.30055226155898823</v>
      </c>
      <c r="AH79" s="199">
        <f t="shared" ca="1" si="20"/>
        <v>0.31077060091382341</v>
      </c>
      <c r="AI79" s="199">
        <f t="shared" ca="1" si="20"/>
        <v>0.32129886313936723</v>
      </c>
      <c r="AJ79" s="199">
        <f t="shared" ca="1" si="20"/>
        <v>0.33333116282570296</v>
      </c>
      <c r="AK79" s="199">
        <f t="shared" ca="1" si="20"/>
        <v>0.34622030809576265</v>
      </c>
      <c r="AL79" s="199">
        <f t="shared" ca="1" si="20"/>
        <v>0.35972929910723972</v>
      </c>
      <c r="AM79" s="199">
        <f t="shared" ca="1" si="20"/>
        <v>0.44720958705403124</v>
      </c>
      <c r="AN79" s="199">
        <f t="shared" ca="1" si="20"/>
        <v>0.57187150410731036</v>
      </c>
      <c r="AO79" s="199">
        <f t="shared" ca="1" si="20"/>
        <v>0.77781677092296619</v>
      </c>
      <c r="AP79" s="199">
        <f t="shared" ca="1" si="20"/>
        <v>0.98995897592303983</v>
      </c>
    </row>
    <row r="80" spans="1:48">
      <c r="A80" s="61" t="str">
        <f>'[4]TS BYDem'!A19</f>
        <v>*</v>
      </c>
      <c r="B80" s="199" t="s">
        <v>288</v>
      </c>
      <c r="C80" s="199" t="s">
        <v>137</v>
      </c>
      <c r="D80" s="199">
        <f>'[4]TS BYDem'!D19</f>
        <v>0</v>
      </c>
      <c r="E80" s="199" t="s">
        <v>137</v>
      </c>
      <c r="F80" s="199" t="s">
        <v>137</v>
      </c>
      <c r="G80" s="199" t="s">
        <v>137</v>
      </c>
      <c r="H80" s="199" t="s">
        <v>137</v>
      </c>
      <c r="I80" s="199">
        <v>0</v>
      </c>
      <c r="J80" s="199" t="str">
        <f>INDEX('[4]TS BYDem'!$J$10:$J$203,MATCH(D80,'[4]TS BYDem'!$D$10:$D$203,0))</f>
        <v/>
      </c>
      <c r="K80" s="199" t="e">
        <f t="shared" ca="1" si="19"/>
        <v>#VALUE!</v>
      </c>
      <c r="L80" s="199" t="e">
        <f t="shared" ca="1" si="19"/>
        <v>#VALUE!</v>
      </c>
      <c r="M80" s="199" t="e">
        <f t="shared" ca="1" si="19"/>
        <v>#VALUE!</v>
      </c>
      <c r="N80" s="199" t="e">
        <f t="shared" ca="1" si="19"/>
        <v>#VALUE!</v>
      </c>
      <c r="O80" s="199" t="e">
        <f t="shared" ca="1" si="19"/>
        <v>#VALUE!</v>
      </c>
      <c r="P80" s="199" t="e">
        <f t="shared" ca="1" si="19"/>
        <v>#VALUE!</v>
      </c>
      <c r="Q80" s="199" t="e">
        <f t="shared" ca="1" si="19"/>
        <v>#VALUE!</v>
      </c>
      <c r="R80" s="199" t="e">
        <f t="shared" ca="1" si="19"/>
        <v>#VALUE!</v>
      </c>
      <c r="S80" s="199" t="e">
        <f t="shared" ca="1" si="19"/>
        <v>#VALUE!</v>
      </c>
      <c r="T80" s="199" t="e">
        <f t="shared" ca="1" si="19"/>
        <v>#VALUE!</v>
      </c>
      <c r="U80" s="199" t="e">
        <f t="shared" ca="1" si="19"/>
        <v>#VALUE!</v>
      </c>
      <c r="V80" s="199" t="e">
        <f t="shared" ca="1" si="19"/>
        <v>#VALUE!</v>
      </c>
      <c r="W80" s="199" t="e">
        <f t="shared" ca="1" si="19"/>
        <v>#VALUE!</v>
      </c>
      <c r="X80" s="199" t="e">
        <f t="shared" ca="1" si="19"/>
        <v>#VALUE!</v>
      </c>
      <c r="Y80" s="199" t="e">
        <f t="shared" ca="1" si="19"/>
        <v>#VALUE!</v>
      </c>
      <c r="Z80" s="199" t="e">
        <f t="shared" ca="1" si="19"/>
        <v>#VALUE!</v>
      </c>
      <c r="AA80" s="199" t="e">
        <f t="shared" ca="1" si="20"/>
        <v>#VALUE!</v>
      </c>
      <c r="AB80" s="199" t="e">
        <f t="shared" ca="1" si="20"/>
        <v>#VALUE!</v>
      </c>
      <c r="AC80" s="199" t="e">
        <f t="shared" ca="1" si="20"/>
        <v>#VALUE!</v>
      </c>
      <c r="AD80" s="199" t="e">
        <f t="shared" ca="1" si="20"/>
        <v>#VALUE!</v>
      </c>
      <c r="AE80" s="199" t="e">
        <f t="shared" ca="1" si="20"/>
        <v>#VALUE!</v>
      </c>
      <c r="AF80" s="199" t="e">
        <f t="shared" ca="1" si="20"/>
        <v>#VALUE!</v>
      </c>
      <c r="AG80" s="199" t="e">
        <f t="shared" ca="1" si="20"/>
        <v>#VALUE!</v>
      </c>
      <c r="AH80" s="199" t="e">
        <f t="shared" ca="1" si="20"/>
        <v>#VALUE!</v>
      </c>
      <c r="AI80" s="199" t="e">
        <f t="shared" ca="1" si="20"/>
        <v>#VALUE!</v>
      </c>
      <c r="AJ80" s="199" t="e">
        <f t="shared" ca="1" si="20"/>
        <v>#VALUE!</v>
      </c>
      <c r="AK80" s="199" t="e">
        <f t="shared" ca="1" si="20"/>
        <v>#VALUE!</v>
      </c>
      <c r="AL80" s="199" t="e">
        <f t="shared" ca="1" si="20"/>
        <v>#VALUE!</v>
      </c>
      <c r="AM80" s="199" t="e">
        <f t="shared" ca="1" si="20"/>
        <v>#VALUE!</v>
      </c>
      <c r="AN80" s="199" t="e">
        <f t="shared" ca="1" si="20"/>
        <v>#VALUE!</v>
      </c>
      <c r="AO80" s="199" t="e">
        <f t="shared" ca="1" si="20"/>
        <v>#VALUE!</v>
      </c>
      <c r="AP80" s="199" t="e">
        <f t="shared" ca="1" si="20"/>
        <v>#VALUE!</v>
      </c>
    </row>
    <row r="81" spans="1:42">
      <c r="A81" s="61" t="str">
        <f>'[4]TS BYDem'!A20</f>
        <v/>
      </c>
      <c r="B81" s="199" t="s">
        <v>288</v>
      </c>
      <c r="C81" s="199" t="s">
        <v>137</v>
      </c>
      <c r="D81" s="199" t="str">
        <f>'[4]TS BYDem'!D20</f>
        <v>IMIS</v>
      </c>
      <c r="E81" s="199" t="s">
        <v>137</v>
      </c>
      <c r="F81" s="199" t="s">
        <v>137</v>
      </c>
      <c r="G81" s="199" t="s">
        <v>137</v>
      </c>
      <c r="H81" s="199" t="s">
        <v>137</v>
      </c>
      <c r="I81" s="199">
        <v>0</v>
      </c>
      <c r="J81" s="199">
        <f>INDEX('[4]TS BYDem'!$J$10:$J$203,MATCH(D81,'[4]TS BYDem'!$D$10:$D$203,0))</f>
        <v>20.275122960000004</v>
      </c>
      <c r="K81" s="199">
        <f t="shared" ca="1" si="19"/>
        <v>20.855513011486753</v>
      </c>
      <c r="L81" s="199">
        <f t="shared" ca="1" si="19"/>
        <v>21.0220188335541</v>
      </c>
      <c r="M81" s="206">
        <f t="shared" ref="M81" si="23">O81</f>
        <v>0.90805719120000006</v>
      </c>
      <c r="N81" s="206">
        <f t="shared" si="22"/>
        <v>0.90805719120000006</v>
      </c>
      <c r="O81" s="206">
        <f>INDEX('[4]TS BYDem'!$O$10:$O$203,MATCH(D81,'[4]TS BYDem'!$D$10:$D$203,0))</f>
        <v>0.90805719120000006</v>
      </c>
      <c r="P81" s="199">
        <f t="shared" ca="1" si="19"/>
        <v>0.90569742240756701</v>
      </c>
      <c r="Q81" s="199">
        <f t="shared" ca="1" si="19"/>
        <v>0.89887902735708891</v>
      </c>
      <c r="R81" s="199">
        <f t="shared" ca="1" si="19"/>
        <v>0.83192854751176337</v>
      </c>
      <c r="S81" s="199">
        <f t="shared" ca="1" si="19"/>
        <v>0.85831708083677072</v>
      </c>
      <c r="T81" s="199">
        <f t="shared" ca="1" si="19"/>
        <v>0.88113113927171127</v>
      </c>
      <c r="U81" s="199">
        <f t="shared" ca="1" si="19"/>
        <v>0.90520007507656808</v>
      </c>
      <c r="V81" s="199">
        <f t="shared" ca="1" si="19"/>
        <v>0.93334570191918165</v>
      </c>
      <c r="W81" s="199">
        <f t="shared" ca="1" si="19"/>
        <v>0.96376835324541799</v>
      </c>
      <c r="X81" s="199">
        <f t="shared" ca="1" si="19"/>
        <v>0.99928548909067716</v>
      </c>
      <c r="Y81" s="199">
        <f t="shared" ca="1" si="19"/>
        <v>1.0387726861061939</v>
      </c>
      <c r="Z81" s="199">
        <f t="shared" ca="1" si="19"/>
        <v>1.0822786974404963</v>
      </c>
      <c r="AA81" s="199">
        <f t="shared" ca="1" si="20"/>
        <v>1.1300664418870154</v>
      </c>
      <c r="AB81" s="199">
        <f t="shared" ca="1" si="20"/>
        <v>1.1799934584440743</v>
      </c>
      <c r="AC81" s="199">
        <f t="shared" ca="1" si="20"/>
        <v>1.2236156600140291</v>
      </c>
      <c r="AD81" s="199">
        <f t="shared" ca="1" si="20"/>
        <v>1.2705503956282507</v>
      </c>
      <c r="AE81" s="199">
        <f t="shared" ca="1" si="20"/>
        <v>1.3189047886900154</v>
      </c>
      <c r="AF81" s="199">
        <f t="shared" ca="1" si="20"/>
        <v>1.3689369587352396</v>
      </c>
      <c r="AG81" s="199">
        <f t="shared" ca="1" si="20"/>
        <v>1.4184528897086304</v>
      </c>
      <c r="AH81" s="199">
        <f t="shared" ca="1" si="20"/>
        <v>1.4666782230024364</v>
      </c>
      <c r="AI81" s="199">
        <f t="shared" ca="1" si="20"/>
        <v>1.5163662336664383</v>
      </c>
      <c r="AJ81" s="199">
        <f t="shared" ca="1" si="20"/>
        <v>1.5731525315681545</v>
      </c>
      <c r="AK81" s="199">
        <f t="shared" ca="1" si="20"/>
        <v>1.6339827021992352</v>
      </c>
      <c r="AL81" s="199">
        <f t="shared" ca="1" si="20"/>
        <v>1.697738227570708</v>
      </c>
      <c r="AM81" s="199">
        <f t="shared" ca="1" si="20"/>
        <v>2.1106004252697779</v>
      </c>
      <c r="AN81" s="199">
        <f t="shared" ca="1" si="20"/>
        <v>2.6989408874696812</v>
      </c>
      <c r="AO81" s="199">
        <f t="shared" ca="1" si="20"/>
        <v>3.6708971699518478</v>
      </c>
      <c r="AP81" s="199">
        <f t="shared" ca="1" si="20"/>
        <v>4.6720998298508345</v>
      </c>
    </row>
    <row r="82" spans="1:42">
      <c r="A82" s="61" t="str">
        <f>'[4]TS BYDem'!A21</f>
        <v>*</v>
      </c>
      <c r="B82" s="199" t="s">
        <v>288</v>
      </c>
      <c r="C82" s="199" t="s">
        <v>137</v>
      </c>
      <c r="D82" s="199" t="str">
        <f>'[4]TS BYDem'!D21</f>
        <v>IMIS</v>
      </c>
      <c r="E82" s="199" t="s">
        <v>137</v>
      </c>
      <c r="F82" s="199" t="s">
        <v>137</v>
      </c>
      <c r="G82" s="199" t="s">
        <v>137</v>
      </c>
      <c r="H82" s="199" t="s">
        <v>137</v>
      </c>
      <c r="I82" s="199">
        <v>0</v>
      </c>
      <c r="J82" s="199">
        <f>INDEX('[4]TS BYDem'!$J$10:$J$203,MATCH(D82,'[4]TS BYDem'!$D$10:$D$203,0))</f>
        <v>20.275122960000004</v>
      </c>
      <c r="K82" s="199">
        <f t="shared" ca="1" si="19"/>
        <v>20.855513011486753</v>
      </c>
      <c r="L82" s="199">
        <f t="shared" ca="1" si="19"/>
        <v>21.0220188335541</v>
      </c>
      <c r="M82" s="199">
        <f t="shared" ca="1" si="19"/>
        <v>21.764249589416558</v>
      </c>
      <c r="N82" s="199">
        <f t="shared" ca="1" si="19"/>
        <v>21.520457463574573</v>
      </c>
      <c r="O82" s="199">
        <f t="shared" ca="1" si="19"/>
        <v>22.256472585863033</v>
      </c>
      <c r="P82" s="199">
        <f t="shared" ca="1" si="19"/>
        <v>22.198634676591752</v>
      </c>
      <c r="Q82" s="199">
        <f t="shared" ca="1" si="19"/>
        <v>22.031515882763351</v>
      </c>
      <c r="R82" s="199">
        <f t="shared" ca="1" si="19"/>
        <v>20.390560297885798</v>
      </c>
      <c r="S82" s="199">
        <f t="shared" ca="1" si="19"/>
        <v>21.03734298318453</v>
      </c>
      <c r="T82" s="199">
        <f t="shared" ca="1" si="19"/>
        <v>21.596515325026264</v>
      </c>
      <c r="U82" s="199">
        <f t="shared" ca="1" si="19"/>
        <v>22.186444698531666</v>
      </c>
      <c r="V82" s="199">
        <f t="shared" ca="1" si="19"/>
        <v>22.876293728202079</v>
      </c>
      <c r="W82" s="199">
        <f t="shared" ca="1" si="19"/>
        <v>23.621952604970467</v>
      </c>
      <c r="X82" s="199">
        <f t="shared" ca="1" si="19"/>
        <v>24.49247724585102</v>
      </c>
      <c r="Y82" s="199">
        <f t="shared" ca="1" si="19"/>
        <v>25.460308045921032</v>
      </c>
      <c r="Z82" s="199">
        <f t="shared" ca="1" si="19"/>
        <v>26.526639944358564</v>
      </c>
      <c r="AA82" s="199">
        <f t="shared" ca="1" si="20"/>
        <v>27.697917078135404</v>
      </c>
      <c r="AB82" s="199">
        <f t="shared" ca="1" si="20"/>
        <v>28.921627749737109</v>
      </c>
      <c r="AC82" s="199">
        <f t="shared" ca="1" si="20"/>
        <v>29.990807469677076</v>
      </c>
      <c r="AD82" s="199">
        <f t="shared" ca="1" si="20"/>
        <v>31.141177365588817</v>
      </c>
      <c r="AE82" s="199">
        <f t="shared" ca="1" si="20"/>
        <v>32.326343051202748</v>
      </c>
      <c r="AF82" s="199">
        <f t="shared" ca="1" si="20"/>
        <v>33.552631033737441</v>
      </c>
      <c r="AG82" s="199">
        <f t="shared" ca="1" si="20"/>
        <v>34.766266001834985</v>
      </c>
      <c r="AH82" s="199">
        <f t="shared" ca="1" si="20"/>
        <v>35.948268433839623</v>
      </c>
      <c r="AI82" s="199">
        <f t="shared" ca="1" si="20"/>
        <v>37.166121073416214</v>
      </c>
      <c r="AJ82" s="199">
        <f t="shared" ca="1" si="20"/>
        <v>38.557952661503741</v>
      </c>
      <c r="AK82" s="199">
        <f t="shared" ca="1" si="20"/>
        <v>40.048899529349015</v>
      </c>
      <c r="AL82" s="199">
        <f t="shared" ca="1" si="20"/>
        <v>41.611546812338204</v>
      </c>
      <c r="AM82" s="199">
        <f t="shared" ca="1" si="20"/>
        <v>51.730795108456434</v>
      </c>
      <c r="AN82" s="199">
        <f t="shared" ca="1" si="20"/>
        <v>66.151013895339076</v>
      </c>
      <c r="AO82" s="199">
        <f t="shared" ca="1" si="20"/>
        <v>89.973652563212525</v>
      </c>
      <c r="AP82" s="199">
        <f t="shared" ca="1" si="20"/>
        <v>114.51311964621374</v>
      </c>
    </row>
    <row r="83" spans="1:42">
      <c r="A83" s="61" t="str">
        <f>'[4]TS BYDem'!A22</f>
        <v>*</v>
      </c>
      <c r="B83" s="199" t="s">
        <v>288</v>
      </c>
      <c r="C83" s="199" t="s">
        <v>137</v>
      </c>
      <c r="D83" s="199" t="str">
        <f>'[4]TS BYDem'!D22</f>
        <v>IMIS</v>
      </c>
      <c r="E83" s="199" t="s">
        <v>137</v>
      </c>
      <c r="F83" s="199" t="s">
        <v>137</v>
      </c>
      <c r="G83" s="199" t="s">
        <v>137</v>
      </c>
      <c r="H83" s="199" t="s">
        <v>137</v>
      </c>
      <c r="I83" s="199">
        <v>0</v>
      </c>
      <c r="J83" s="199">
        <f>INDEX('[4]TS BYDem'!$J$10:$J$203,MATCH(D83,'[4]TS BYDem'!$D$10:$D$203,0))</f>
        <v>20.275122960000004</v>
      </c>
      <c r="K83" s="199">
        <f t="shared" ca="1" si="19"/>
        <v>20.855513011486753</v>
      </c>
      <c r="L83" s="199">
        <f t="shared" ca="1" si="19"/>
        <v>21.0220188335541</v>
      </c>
      <c r="M83" s="199">
        <f t="shared" ca="1" si="19"/>
        <v>21.764249589416558</v>
      </c>
      <c r="N83" s="199">
        <f t="shared" ca="1" si="19"/>
        <v>21.520457463574573</v>
      </c>
      <c r="O83" s="199">
        <f t="shared" ca="1" si="19"/>
        <v>22.256472585863033</v>
      </c>
      <c r="P83" s="199">
        <f t="shared" ca="1" si="19"/>
        <v>22.198634676591752</v>
      </c>
      <c r="Q83" s="199">
        <f t="shared" ca="1" si="19"/>
        <v>22.031515882763351</v>
      </c>
      <c r="R83" s="199">
        <f t="shared" ca="1" si="19"/>
        <v>20.390560297885798</v>
      </c>
      <c r="S83" s="199">
        <f t="shared" ca="1" si="19"/>
        <v>21.03734298318453</v>
      </c>
      <c r="T83" s="199">
        <f t="shared" ca="1" si="19"/>
        <v>21.596515325026264</v>
      </c>
      <c r="U83" s="199">
        <f t="shared" ca="1" si="19"/>
        <v>22.186444698531666</v>
      </c>
      <c r="V83" s="199">
        <f t="shared" ca="1" si="19"/>
        <v>22.876293728202079</v>
      </c>
      <c r="W83" s="199">
        <f t="shared" ca="1" si="19"/>
        <v>23.621952604970467</v>
      </c>
      <c r="X83" s="199">
        <f t="shared" ca="1" si="19"/>
        <v>24.49247724585102</v>
      </c>
      <c r="Y83" s="199">
        <f t="shared" ca="1" si="19"/>
        <v>25.460308045921032</v>
      </c>
      <c r="Z83" s="199">
        <f t="shared" ca="1" si="19"/>
        <v>26.526639944358564</v>
      </c>
      <c r="AA83" s="199">
        <f t="shared" ca="1" si="20"/>
        <v>27.697917078135404</v>
      </c>
      <c r="AB83" s="199">
        <f t="shared" ca="1" si="20"/>
        <v>28.921627749737109</v>
      </c>
      <c r="AC83" s="199">
        <f t="shared" ca="1" si="20"/>
        <v>29.990807469677076</v>
      </c>
      <c r="AD83" s="199">
        <f t="shared" ca="1" si="20"/>
        <v>31.141177365588817</v>
      </c>
      <c r="AE83" s="199">
        <f t="shared" ca="1" si="20"/>
        <v>32.326343051202748</v>
      </c>
      <c r="AF83" s="199">
        <f t="shared" ca="1" si="20"/>
        <v>33.552631033737441</v>
      </c>
      <c r="AG83" s="199">
        <f t="shared" ca="1" si="20"/>
        <v>34.766266001834985</v>
      </c>
      <c r="AH83" s="199">
        <f t="shared" ca="1" si="20"/>
        <v>35.948268433839623</v>
      </c>
      <c r="AI83" s="199">
        <f t="shared" ca="1" si="20"/>
        <v>37.166121073416214</v>
      </c>
      <c r="AJ83" s="199">
        <f t="shared" ca="1" si="20"/>
        <v>38.557952661503741</v>
      </c>
      <c r="AK83" s="199">
        <f t="shared" ca="1" si="20"/>
        <v>40.048899529349015</v>
      </c>
      <c r="AL83" s="199">
        <f t="shared" ca="1" si="20"/>
        <v>41.611546812338204</v>
      </c>
      <c r="AM83" s="199">
        <f t="shared" ca="1" si="20"/>
        <v>51.730795108456434</v>
      </c>
      <c r="AN83" s="199">
        <f t="shared" ca="1" si="20"/>
        <v>66.151013895339076</v>
      </c>
      <c r="AO83" s="199">
        <f t="shared" ca="1" si="20"/>
        <v>89.973652563212525</v>
      </c>
      <c r="AP83" s="199">
        <f t="shared" ca="1" si="20"/>
        <v>114.51311964621374</v>
      </c>
    </row>
    <row r="84" spans="1:42">
      <c r="A84" s="61" t="str">
        <f>'[4]TS BYDem'!A23</f>
        <v>*</v>
      </c>
      <c r="B84" s="199" t="s">
        <v>288</v>
      </c>
      <c r="C84" s="199" t="s">
        <v>137</v>
      </c>
      <c r="D84" s="199" t="str">
        <f>'[4]TS BYDem'!D23</f>
        <v>IMIS</v>
      </c>
      <c r="E84" s="199" t="s">
        <v>137</v>
      </c>
      <c r="F84" s="199" t="s">
        <v>137</v>
      </c>
      <c r="G84" s="199" t="s">
        <v>137</v>
      </c>
      <c r="H84" s="199" t="s">
        <v>137</v>
      </c>
      <c r="I84" s="199">
        <v>0</v>
      </c>
      <c r="J84" s="199">
        <f>INDEX('[4]TS BYDem'!$J$10:$J$203,MATCH(D84,'[4]TS BYDem'!$D$10:$D$203,0))</f>
        <v>20.275122960000004</v>
      </c>
      <c r="K84" s="199">
        <f t="shared" ca="1" si="19"/>
        <v>20.855513011486753</v>
      </c>
      <c r="L84" s="199">
        <f t="shared" ca="1" si="19"/>
        <v>21.0220188335541</v>
      </c>
      <c r="M84" s="199">
        <f t="shared" ca="1" si="19"/>
        <v>21.764249589416558</v>
      </c>
      <c r="N84" s="199">
        <f t="shared" ca="1" si="19"/>
        <v>21.520457463574573</v>
      </c>
      <c r="O84" s="199">
        <f t="shared" ca="1" si="19"/>
        <v>22.256472585863033</v>
      </c>
      <c r="P84" s="199">
        <f t="shared" ca="1" si="19"/>
        <v>22.198634676591752</v>
      </c>
      <c r="Q84" s="199">
        <f t="shared" ca="1" si="19"/>
        <v>22.031515882763351</v>
      </c>
      <c r="R84" s="199">
        <f t="shared" ca="1" si="19"/>
        <v>20.390560297885798</v>
      </c>
      <c r="S84" s="199">
        <f t="shared" ca="1" si="19"/>
        <v>21.03734298318453</v>
      </c>
      <c r="T84" s="199">
        <f t="shared" ca="1" si="19"/>
        <v>21.596515325026264</v>
      </c>
      <c r="U84" s="199">
        <f t="shared" ca="1" si="19"/>
        <v>22.186444698531666</v>
      </c>
      <c r="V84" s="199">
        <f t="shared" ca="1" si="19"/>
        <v>22.876293728202079</v>
      </c>
      <c r="W84" s="199">
        <f t="shared" ca="1" si="19"/>
        <v>23.621952604970467</v>
      </c>
      <c r="X84" s="199">
        <f t="shared" ca="1" si="19"/>
        <v>24.49247724585102</v>
      </c>
      <c r="Y84" s="199">
        <f t="shared" ca="1" si="19"/>
        <v>25.460308045921032</v>
      </c>
      <c r="Z84" s="199">
        <f t="shared" ca="1" si="19"/>
        <v>26.526639944358564</v>
      </c>
      <c r="AA84" s="199">
        <f t="shared" ca="1" si="20"/>
        <v>27.697917078135404</v>
      </c>
      <c r="AB84" s="199">
        <f t="shared" ca="1" si="20"/>
        <v>28.921627749737109</v>
      </c>
      <c r="AC84" s="199">
        <f t="shared" ca="1" si="20"/>
        <v>29.990807469677076</v>
      </c>
      <c r="AD84" s="199">
        <f t="shared" ca="1" si="20"/>
        <v>31.141177365588817</v>
      </c>
      <c r="AE84" s="199">
        <f t="shared" ca="1" si="20"/>
        <v>32.326343051202748</v>
      </c>
      <c r="AF84" s="199">
        <f t="shared" ca="1" si="20"/>
        <v>33.552631033737441</v>
      </c>
      <c r="AG84" s="199">
        <f t="shared" ca="1" si="20"/>
        <v>34.766266001834985</v>
      </c>
      <c r="AH84" s="199">
        <f t="shared" ca="1" si="20"/>
        <v>35.948268433839623</v>
      </c>
      <c r="AI84" s="199">
        <f t="shared" ca="1" si="20"/>
        <v>37.166121073416214</v>
      </c>
      <c r="AJ84" s="199">
        <f t="shared" ca="1" si="20"/>
        <v>38.557952661503741</v>
      </c>
      <c r="AK84" s="199">
        <f t="shared" ca="1" si="20"/>
        <v>40.048899529349015</v>
      </c>
      <c r="AL84" s="199">
        <f t="shared" ca="1" si="20"/>
        <v>41.611546812338204</v>
      </c>
      <c r="AM84" s="199">
        <f t="shared" ca="1" si="20"/>
        <v>51.730795108456434</v>
      </c>
      <c r="AN84" s="199">
        <f t="shared" ca="1" si="20"/>
        <v>66.151013895339076</v>
      </c>
      <c r="AO84" s="199">
        <f t="shared" ca="1" si="20"/>
        <v>89.973652563212525</v>
      </c>
      <c r="AP84" s="199">
        <f t="shared" ca="1" si="20"/>
        <v>114.51311964621374</v>
      </c>
    </row>
    <row r="85" spans="1:42">
      <c r="A85" s="61" t="str">
        <f>'[4]TS BYDem'!A24</f>
        <v>*</v>
      </c>
      <c r="B85" s="199" t="s">
        <v>288</v>
      </c>
      <c r="C85" s="199" t="s">
        <v>137</v>
      </c>
      <c r="D85" s="199" t="str">
        <f>'[4]TS BYDem'!D24</f>
        <v>IMIS</v>
      </c>
      <c r="E85" s="199" t="s">
        <v>137</v>
      </c>
      <c r="F85" s="199" t="s">
        <v>137</v>
      </c>
      <c r="G85" s="199" t="s">
        <v>137</v>
      </c>
      <c r="H85" s="199" t="s">
        <v>137</v>
      </c>
      <c r="I85" s="199">
        <v>0</v>
      </c>
      <c r="J85" s="199">
        <f>INDEX('[4]TS BYDem'!$J$10:$J$203,MATCH(D85,'[4]TS BYDem'!$D$10:$D$203,0))</f>
        <v>20.275122960000004</v>
      </c>
      <c r="K85" s="199">
        <f t="shared" ca="1" si="19"/>
        <v>20.855513011486753</v>
      </c>
      <c r="L85" s="199">
        <f t="shared" ca="1" si="19"/>
        <v>21.0220188335541</v>
      </c>
      <c r="M85" s="199">
        <f t="shared" ca="1" si="19"/>
        <v>21.764249589416558</v>
      </c>
      <c r="N85" s="199">
        <f t="shared" ca="1" si="19"/>
        <v>21.520457463574573</v>
      </c>
      <c r="O85" s="199">
        <f t="shared" ca="1" si="19"/>
        <v>22.256472585863033</v>
      </c>
      <c r="P85" s="199">
        <f t="shared" ca="1" si="19"/>
        <v>22.198634676591752</v>
      </c>
      <c r="Q85" s="199">
        <f t="shared" ca="1" si="19"/>
        <v>22.031515882763351</v>
      </c>
      <c r="R85" s="199">
        <f t="shared" ca="1" si="19"/>
        <v>20.390560297885798</v>
      </c>
      <c r="S85" s="199">
        <f t="shared" ca="1" si="19"/>
        <v>21.03734298318453</v>
      </c>
      <c r="T85" s="199">
        <f t="shared" ca="1" si="19"/>
        <v>21.596515325026264</v>
      </c>
      <c r="U85" s="199">
        <f t="shared" ca="1" si="19"/>
        <v>22.186444698531666</v>
      </c>
      <c r="V85" s="199">
        <f t="shared" ca="1" si="19"/>
        <v>22.876293728202079</v>
      </c>
      <c r="W85" s="199">
        <f t="shared" ca="1" si="19"/>
        <v>23.621952604970467</v>
      </c>
      <c r="X85" s="199">
        <f t="shared" ca="1" si="19"/>
        <v>24.49247724585102</v>
      </c>
      <c r="Y85" s="199">
        <f t="shared" ca="1" si="19"/>
        <v>25.460308045921032</v>
      </c>
      <c r="Z85" s="199">
        <f t="shared" ca="1" si="19"/>
        <v>26.526639944358564</v>
      </c>
      <c r="AA85" s="199">
        <f t="shared" ca="1" si="20"/>
        <v>27.697917078135404</v>
      </c>
      <c r="AB85" s="199">
        <f t="shared" ca="1" si="20"/>
        <v>28.921627749737109</v>
      </c>
      <c r="AC85" s="199">
        <f t="shared" ca="1" si="20"/>
        <v>29.990807469677076</v>
      </c>
      <c r="AD85" s="199">
        <f t="shared" ca="1" si="20"/>
        <v>31.141177365588817</v>
      </c>
      <c r="AE85" s="199">
        <f t="shared" ca="1" si="20"/>
        <v>32.326343051202748</v>
      </c>
      <c r="AF85" s="199">
        <f t="shared" ca="1" si="20"/>
        <v>33.552631033737441</v>
      </c>
      <c r="AG85" s="199">
        <f t="shared" ca="1" si="20"/>
        <v>34.766266001834985</v>
      </c>
      <c r="AH85" s="199">
        <f t="shared" ca="1" si="20"/>
        <v>35.948268433839623</v>
      </c>
      <c r="AI85" s="199">
        <f t="shared" ca="1" si="20"/>
        <v>37.166121073416214</v>
      </c>
      <c r="AJ85" s="199">
        <f t="shared" ca="1" si="20"/>
        <v>38.557952661503741</v>
      </c>
      <c r="AK85" s="199">
        <f t="shared" ca="1" si="20"/>
        <v>40.048899529349015</v>
      </c>
      <c r="AL85" s="199">
        <f t="shared" ca="1" si="20"/>
        <v>41.611546812338204</v>
      </c>
      <c r="AM85" s="199">
        <f t="shared" ca="1" si="20"/>
        <v>51.730795108456434</v>
      </c>
      <c r="AN85" s="199">
        <f t="shared" ca="1" si="20"/>
        <v>66.151013895339076</v>
      </c>
      <c r="AO85" s="199">
        <f t="shared" ca="1" si="20"/>
        <v>89.973652563212525</v>
      </c>
      <c r="AP85" s="199">
        <f t="shared" ca="1" si="20"/>
        <v>114.51311964621374</v>
      </c>
    </row>
    <row r="86" spans="1:42">
      <c r="A86" s="61" t="str">
        <f>'[4]TS BYDem'!A25</f>
        <v>*</v>
      </c>
      <c r="B86" s="199" t="s">
        <v>288</v>
      </c>
      <c r="C86" s="199" t="s">
        <v>137</v>
      </c>
      <c r="D86" s="199" t="str">
        <f>'[4]TS BYDem'!D25</f>
        <v>IMIS</v>
      </c>
      <c r="E86" s="199" t="s">
        <v>137</v>
      </c>
      <c r="F86" s="199" t="s">
        <v>137</v>
      </c>
      <c r="G86" s="199" t="s">
        <v>137</v>
      </c>
      <c r="H86" s="199" t="s">
        <v>137</v>
      </c>
      <c r="I86" s="199">
        <v>0</v>
      </c>
      <c r="J86" s="199">
        <f>INDEX('[4]TS BYDem'!$J$10:$J$203,MATCH(D86,'[4]TS BYDem'!$D$10:$D$203,0))</f>
        <v>20.275122960000004</v>
      </c>
      <c r="K86" s="199">
        <f t="shared" ca="1" si="19"/>
        <v>20.855513011486753</v>
      </c>
      <c r="L86" s="199">
        <f t="shared" ca="1" si="19"/>
        <v>21.0220188335541</v>
      </c>
      <c r="M86" s="199">
        <f t="shared" ca="1" si="19"/>
        <v>21.764249589416558</v>
      </c>
      <c r="N86" s="199">
        <f t="shared" ca="1" si="19"/>
        <v>21.520457463574573</v>
      </c>
      <c r="O86" s="199">
        <f t="shared" ca="1" si="19"/>
        <v>22.256472585863033</v>
      </c>
      <c r="P86" s="199">
        <f t="shared" ca="1" si="19"/>
        <v>22.198634676591752</v>
      </c>
      <c r="Q86" s="199">
        <f t="shared" ca="1" si="19"/>
        <v>22.031515882763351</v>
      </c>
      <c r="R86" s="199">
        <f t="shared" ca="1" si="19"/>
        <v>20.390560297885798</v>
      </c>
      <c r="S86" s="199">
        <f t="shared" ca="1" si="19"/>
        <v>21.03734298318453</v>
      </c>
      <c r="T86" s="199">
        <f t="shared" ca="1" si="19"/>
        <v>21.596515325026264</v>
      </c>
      <c r="U86" s="199">
        <f t="shared" ca="1" si="19"/>
        <v>22.186444698531666</v>
      </c>
      <c r="V86" s="199">
        <f t="shared" ca="1" si="19"/>
        <v>22.876293728202079</v>
      </c>
      <c r="W86" s="199">
        <f t="shared" ca="1" si="19"/>
        <v>23.621952604970467</v>
      </c>
      <c r="X86" s="199">
        <f t="shared" ca="1" si="19"/>
        <v>24.49247724585102</v>
      </c>
      <c r="Y86" s="199">
        <f t="shared" ca="1" si="19"/>
        <v>25.460308045921032</v>
      </c>
      <c r="Z86" s="199">
        <f t="shared" ca="1" si="19"/>
        <v>26.526639944358564</v>
      </c>
      <c r="AA86" s="199">
        <f t="shared" ca="1" si="20"/>
        <v>27.697917078135404</v>
      </c>
      <c r="AB86" s="199">
        <f t="shared" ca="1" si="20"/>
        <v>28.921627749737109</v>
      </c>
      <c r="AC86" s="199">
        <f t="shared" ca="1" si="20"/>
        <v>29.990807469677076</v>
      </c>
      <c r="AD86" s="199">
        <f t="shared" ca="1" si="20"/>
        <v>31.141177365588817</v>
      </c>
      <c r="AE86" s="199">
        <f t="shared" ca="1" si="20"/>
        <v>32.326343051202748</v>
      </c>
      <c r="AF86" s="199">
        <f t="shared" ca="1" si="20"/>
        <v>33.552631033737441</v>
      </c>
      <c r="AG86" s="199">
        <f t="shared" ca="1" si="20"/>
        <v>34.766266001834985</v>
      </c>
      <c r="AH86" s="199">
        <f t="shared" ca="1" si="20"/>
        <v>35.948268433839623</v>
      </c>
      <c r="AI86" s="199">
        <f t="shared" ca="1" si="20"/>
        <v>37.166121073416214</v>
      </c>
      <c r="AJ86" s="199">
        <f t="shared" ca="1" si="20"/>
        <v>38.557952661503741</v>
      </c>
      <c r="AK86" s="199">
        <f t="shared" ca="1" si="20"/>
        <v>40.048899529349015</v>
      </c>
      <c r="AL86" s="199">
        <f t="shared" ca="1" si="20"/>
        <v>41.611546812338204</v>
      </c>
      <c r="AM86" s="199">
        <f t="shared" ca="1" si="20"/>
        <v>51.730795108456434</v>
      </c>
      <c r="AN86" s="199">
        <f t="shared" ca="1" si="20"/>
        <v>66.151013895339076</v>
      </c>
      <c r="AO86" s="199">
        <f t="shared" ca="1" si="20"/>
        <v>89.973652563212525</v>
      </c>
      <c r="AP86" s="199">
        <f t="shared" ref="AP86:AP90" ca="1" si="24">AP$70/AO$70*AO86</f>
        <v>114.51311964621374</v>
      </c>
    </row>
    <row r="87" spans="1:42">
      <c r="A87" s="61" t="str">
        <f>'[4]TS BYDem'!A26</f>
        <v>*</v>
      </c>
      <c r="B87" s="199" t="s">
        <v>288</v>
      </c>
      <c r="C87" s="199" t="s">
        <v>137</v>
      </c>
      <c r="D87" s="199">
        <f>'[4]TS BYDem'!D26</f>
        <v>0</v>
      </c>
      <c r="E87" s="199" t="s">
        <v>137</v>
      </c>
      <c r="F87" s="199" t="s">
        <v>137</v>
      </c>
      <c r="G87" s="199" t="s">
        <v>137</v>
      </c>
      <c r="H87" s="199" t="s">
        <v>137</v>
      </c>
      <c r="I87" s="199">
        <v>0</v>
      </c>
      <c r="J87" s="199" t="str">
        <f>INDEX('[4]TS BYDem'!$J$10:$J$203,MATCH(D87,'[4]TS BYDem'!$D$10:$D$203,0))</f>
        <v/>
      </c>
      <c r="K87" s="199" t="e">
        <f t="shared" ref="K87:Z90" ca="1" si="25">K$70/J$70*J87</f>
        <v>#VALUE!</v>
      </c>
      <c r="L87" s="199" t="e">
        <f t="shared" ca="1" si="25"/>
        <v>#VALUE!</v>
      </c>
      <c r="M87" s="199" t="e">
        <f t="shared" ca="1" si="25"/>
        <v>#VALUE!</v>
      </c>
      <c r="N87" s="199" t="e">
        <f t="shared" ca="1" si="25"/>
        <v>#VALUE!</v>
      </c>
      <c r="O87" s="199" t="e">
        <f t="shared" ca="1" si="25"/>
        <v>#VALUE!</v>
      </c>
      <c r="P87" s="199" t="e">
        <f t="shared" ca="1" si="25"/>
        <v>#VALUE!</v>
      </c>
      <c r="Q87" s="199" t="e">
        <f t="shared" ca="1" si="25"/>
        <v>#VALUE!</v>
      </c>
      <c r="R87" s="199" t="e">
        <f t="shared" ca="1" si="25"/>
        <v>#VALUE!</v>
      </c>
      <c r="S87" s="199" t="e">
        <f t="shared" ca="1" si="25"/>
        <v>#VALUE!</v>
      </c>
      <c r="T87" s="199" t="e">
        <f t="shared" ca="1" si="25"/>
        <v>#VALUE!</v>
      </c>
      <c r="U87" s="199" t="e">
        <f t="shared" ca="1" si="25"/>
        <v>#VALUE!</v>
      </c>
      <c r="V87" s="199" t="e">
        <f t="shared" ca="1" si="25"/>
        <v>#VALUE!</v>
      </c>
      <c r="W87" s="199" t="e">
        <f t="shared" ca="1" si="25"/>
        <v>#VALUE!</v>
      </c>
      <c r="X87" s="199" t="e">
        <f t="shared" ca="1" si="25"/>
        <v>#VALUE!</v>
      </c>
      <c r="Y87" s="199" t="e">
        <f t="shared" ca="1" si="25"/>
        <v>#VALUE!</v>
      </c>
      <c r="Z87" s="199" t="e">
        <f t="shared" ca="1" si="25"/>
        <v>#VALUE!</v>
      </c>
      <c r="AA87" s="199" t="e">
        <f t="shared" ref="AA87:AO90" ca="1" si="26">AA$70/Z$70*Z87</f>
        <v>#VALUE!</v>
      </c>
      <c r="AB87" s="199" t="e">
        <f t="shared" ca="1" si="26"/>
        <v>#VALUE!</v>
      </c>
      <c r="AC87" s="199" t="e">
        <f t="shared" ca="1" si="26"/>
        <v>#VALUE!</v>
      </c>
      <c r="AD87" s="199" t="e">
        <f t="shared" ca="1" si="26"/>
        <v>#VALUE!</v>
      </c>
      <c r="AE87" s="199" t="e">
        <f t="shared" ca="1" si="26"/>
        <v>#VALUE!</v>
      </c>
      <c r="AF87" s="199" t="e">
        <f t="shared" ca="1" si="26"/>
        <v>#VALUE!</v>
      </c>
      <c r="AG87" s="199" t="e">
        <f t="shared" ca="1" si="26"/>
        <v>#VALUE!</v>
      </c>
      <c r="AH87" s="199" t="e">
        <f t="shared" ca="1" si="26"/>
        <v>#VALUE!</v>
      </c>
      <c r="AI87" s="199" t="e">
        <f t="shared" ca="1" si="26"/>
        <v>#VALUE!</v>
      </c>
      <c r="AJ87" s="199" t="e">
        <f t="shared" ca="1" si="26"/>
        <v>#VALUE!</v>
      </c>
      <c r="AK87" s="199" t="e">
        <f t="shared" ca="1" si="26"/>
        <v>#VALUE!</v>
      </c>
      <c r="AL87" s="199" t="e">
        <f t="shared" ca="1" si="26"/>
        <v>#VALUE!</v>
      </c>
      <c r="AM87" s="199" t="e">
        <f t="shared" ca="1" si="26"/>
        <v>#VALUE!</v>
      </c>
      <c r="AN87" s="199" t="e">
        <f t="shared" ca="1" si="26"/>
        <v>#VALUE!</v>
      </c>
      <c r="AO87" s="199" t="e">
        <f t="shared" ca="1" si="26"/>
        <v>#VALUE!</v>
      </c>
      <c r="AP87" s="199" t="e">
        <f t="shared" ca="1" si="24"/>
        <v>#VALUE!</v>
      </c>
    </row>
    <row r="88" spans="1:42">
      <c r="A88" s="61" t="str">
        <f>'[4]TS BYDem'!A27</f>
        <v/>
      </c>
      <c r="B88" s="199" t="s">
        <v>288</v>
      </c>
      <c r="C88" s="199" t="s">
        <v>137</v>
      </c>
      <c r="D88" s="199" t="str">
        <f>'[4]TS BYDem'!D27</f>
        <v>IMIR</v>
      </c>
      <c r="E88" s="199" t="s">
        <v>137</v>
      </c>
      <c r="F88" s="199" t="s">
        <v>137</v>
      </c>
      <c r="G88" s="199" t="s">
        <v>137</v>
      </c>
      <c r="H88" s="199" t="s">
        <v>137</v>
      </c>
      <c r="I88" s="199">
        <v>0</v>
      </c>
      <c r="J88" s="199">
        <f>INDEX('[4]TS BYDem'!$J$10:$J$203,MATCH(D88,'[4]TS BYDem'!$D$10:$D$203,0))</f>
        <v>51.488523217763458</v>
      </c>
      <c r="K88" s="199">
        <f t="shared" ca="1" si="25"/>
        <v>52.962419415596152</v>
      </c>
      <c r="L88" s="199">
        <f t="shared" ca="1" si="25"/>
        <v>53.38525970624795</v>
      </c>
      <c r="M88" s="206">
        <f t="shared" ref="M88" si="27">O88</f>
        <v>46.045999999999999</v>
      </c>
      <c r="N88" s="206">
        <f t="shared" ref="N88" si="28">O88</f>
        <v>46.045999999999999</v>
      </c>
      <c r="O88" s="206">
        <f>INDEX('[4]TS BYDem'!$O$10:$O$203,MATCH(D88,'[4]TS BYDem'!$D$10:$D$203,0))</f>
        <v>46.045999999999999</v>
      </c>
      <c r="P88" s="199">
        <f t="shared" ca="1" si="25"/>
        <v>45.926340230913446</v>
      </c>
      <c r="Q88" s="199">
        <f t="shared" ca="1" si="25"/>
        <v>45.58059128300917</v>
      </c>
      <c r="R88" s="199">
        <f t="shared" ca="1" si="25"/>
        <v>42.185648954669773</v>
      </c>
      <c r="S88" s="199">
        <f t="shared" ca="1" si="25"/>
        <v>43.523765559283135</v>
      </c>
      <c r="T88" s="199">
        <f t="shared" ca="1" si="25"/>
        <v>44.68062676238317</v>
      </c>
      <c r="U88" s="199">
        <f t="shared" ca="1" si="25"/>
        <v>45.901120613222943</v>
      </c>
      <c r="V88" s="199">
        <f t="shared" ca="1" si="25"/>
        <v>47.328336372488423</v>
      </c>
      <c r="W88" s="199">
        <f t="shared" ca="1" si="25"/>
        <v>48.871016080929103</v>
      </c>
      <c r="X88" s="199">
        <f t="shared" ca="1" si="25"/>
        <v>50.672028234105916</v>
      </c>
      <c r="Y88" s="199">
        <f t="shared" ca="1" si="25"/>
        <v>52.6743552806807</v>
      </c>
      <c r="Z88" s="199">
        <f t="shared" ca="1" si="25"/>
        <v>54.880469407976967</v>
      </c>
      <c r="AA88" s="199">
        <f t="shared" ca="1" si="26"/>
        <v>57.303702770488577</v>
      </c>
      <c r="AB88" s="199">
        <f t="shared" ca="1" si="26"/>
        <v>59.835414899047656</v>
      </c>
      <c r="AC88" s="199">
        <f t="shared" ca="1" si="26"/>
        <v>62.047420831004132</v>
      </c>
      <c r="AD88" s="199">
        <f t="shared" ca="1" si="26"/>
        <v>64.427399600002673</v>
      </c>
      <c r="AE88" s="199">
        <f t="shared" ca="1" si="26"/>
        <v>66.879366727733526</v>
      </c>
      <c r="AF88" s="199">
        <f t="shared" ca="1" si="26"/>
        <v>69.416411006693465</v>
      </c>
      <c r="AG88" s="199">
        <f t="shared" ca="1" si="26"/>
        <v>71.927277700659857</v>
      </c>
      <c r="AH88" s="199">
        <f t="shared" ca="1" si="26"/>
        <v>74.37270043214231</v>
      </c>
      <c r="AI88" s="199">
        <f t="shared" ca="1" si="26"/>
        <v>76.892292987773217</v>
      </c>
      <c r="AJ88" s="199">
        <f t="shared" ca="1" si="26"/>
        <v>79.771827337065659</v>
      </c>
      <c r="AK88" s="199">
        <f t="shared" ca="1" si="26"/>
        <v>82.856419435474393</v>
      </c>
      <c r="AL88" s="199">
        <f t="shared" ca="1" si="26"/>
        <v>86.089351182180039</v>
      </c>
      <c r="AM88" s="199">
        <f t="shared" ca="1" si="26"/>
        <v>107.02487478078591</v>
      </c>
      <c r="AN88" s="199">
        <f t="shared" ca="1" si="26"/>
        <v>136.85859581178869</v>
      </c>
      <c r="AO88" s="199">
        <f t="shared" ca="1" si="26"/>
        <v>186.14480753599778</v>
      </c>
      <c r="AP88" s="199">
        <f t="shared" ca="1" si="24"/>
        <v>236.91405216560713</v>
      </c>
    </row>
    <row r="89" spans="1:42">
      <c r="A89" s="61" t="str">
        <f>'[4]TS BYDem'!A28</f>
        <v>*</v>
      </c>
      <c r="B89" s="199" t="s">
        <v>288</v>
      </c>
      <c r="C89" s="199" t="s">
        <v>137</v>
      </c>
      <c r="D89" s="199" t="str">
        <f>'[4]TS BYDem'!D28</f>
        <v>Useful Energy Service</v>
      </c>
      <c r="E89" s="199" t="s">
        <v>137</v>
      </c>
      <c r="F89" s="199" t="s">
        <v>137</v>
      </c>
      <c r="G89" s="199" t="s">
        <v>137</v>
      </c>
      <c r="H89" s="199" t="s">
        <v>137</v>
      </c>
      <c r="I89" s="199">
        <v>0</v>
      </c>
      <c r="J89" s="199" t="str">
        <f>INDEX('[4]TS BYDem'!$J$10:$J$203,MATCH(D89,'[4]TS BYDem'!$D$10:$D$203,0))</f>
        <v/>
      </c>
      <c r="K89" s="199" t="e">
        <f t="shared" ca="1" si="25"/>
        <v>#VALUE!</v>
      </c>
      <c r="L89" s="199" t="e">
        <f t="shared" ca="1" si="25"/>
        <v>#VALUE!</v>
      </c>
      <c r="M89" s="199" t="e">
        <f t="shared" ca="1" si="25"/>
        <v>#VALUE!</v>
      </c>
      <c r="N89" s="199" t="e">
        <f t="shared" ca="1" si="25"/>
        <v>#VALUE!</v>
      </c>
      <c r="O89" s="199" t="e">
        <f t="shared" ca="1" si="25"/>
        <v>#VALUE!</v>
      </c>
      <c r="P89" s="199" t="e">
        <f t="shared" ca="1" si="25"/>
        <v>#VALUE!</v>
      </c>
      <c r="Q89" s="199" t="e">
        <f t="shared" ca="1" si="25"/>
        <v>#VALUE!</v>
      </c>
      <c r="R89" s="199" t="e">
        <f t="shared" ca="1" si="25"/>
        <v>#VALUE!</v>
      </c>
      <c r="S89" s="199" t="e">
        <f t="shared" ca="1" si="25"/>
        <v>#VALUE!</v>
      </c>
      <c r="T89" s="199" t="e">
        <f t="shared" ca="1" si="25"/>
        <v>#VALUE!</v>
      </c>
      <c r="U89" s="199" t="e">
        <f t="shared" ca="1" si="25"/>
        <v>#VALUE!</v>
      </c>
      <c r="V89" s="199" t="e">
        <f t="shared" ca="1" si="25"/>
        <v>#VALUE!</v>
      </c>
      <c r="W89" s="199" t="e">
        <f t="shared" ca="1" si="25"/>
        <v>#VALUE!</v>
      </c>
      <c r="X89" s="199" t="e">
        <f t="shared" ca="1" si="25"/>
        <v>#VALUE!</v>
      </c>
      <c r="Y89" s="199" t="e">
        <f t="shared" ca="1" si="25"/>
        <v>#VALUE!</v>
      </c>
      <c r="Z89" s="199" t="e">
        <f t="shared" ca="1" si="25"/>
        <v>#VALUE!</v>
      </c>
      <c r="AA89" s="199" t="e">
        <f t="shared" ca="1" si="26"/>
        <v>#VALUE!</v>
      </c>
      <c r="AB89" s="199" t="e">
        <f t="shared" ca="1" si="26"/>
        <v>#VALUE!</v>
      </c>
      <c r="AC89" s="199" t="e">
        <f t="shared" ca="1" si="26"/>
        <v>#VALUE!</v>
      </c>
      <c r="AD89" s="199" t="e">
        <f t="shared" ca="1" si="26"/>
        <v>#VALUE!</v>
      </c>
      <c r="AE89" s="199" t="e">
        <f t="shared" ca="1" si="26"/>
        <v>#VALUE!</v>
      </c>
      <c r="AF89" s="199" t="e">
        <f t="shared" ca="1" si="26"/>
        <v>#VALUE!</v>
      </c>
      <c r="AG89" s="199" t="e">
        <f t="shared" ca="1" si="26"/>
        <v>#VALUE!</v>
      </c>
      <c r="AH89" s="199" t="e">
        <f t="shared" ca="1" si="26"/>
        <v>#VALUE!</v>
      </c>
      <c r="AI89" s="199" t="e">
        <f t="shared" ca="1" si="26"/>
        <v>#VALUE!</v>
      </c>
      <c r="AJ89" s="199" t="e">
        <f t="shared" ca="1" si="26"/>
        <v>#VALUE!</v>
      </c>
      <c r="AK89" s="199" t="e">
        <f t="shared" ca="1" si="26"/>
        <v>#VALUE!</v>
      </c>
      <c r="AL89" s="199" t="e">
        <f t="shared" ca="1" si="26"/>
        <v>#VALUE!</v>
      </c>
      <c r="AM89" s="199" t="e">
        <f t="shared" ca="1" si="26"/>
        <v>#VALUE!</v>
      </c>
      <c r="AN89" s="199" t="e">
        <f t="shared" ca="1" si="26"/>
        <v>#VALUE!</v>
      </c>
      <c r="AO89" s="199" t="e">
        <f t="shared" ca="1" si="26"/>
        <v>#VALUE!</v>
      </c>
      <c r="AP89" s="199" t="e">
        <f t="shared" ca="1" si="24"/>
        <v>#VALUE!</v>
      </c>
    </row>
    <row r="90" spans="1:42">
      <c r="A90" s="61" t="str">
        <f>'[4]TS BYDem'!A29</f>
        <v>*</v>
      </c>
      <c r="B90" s="199" t="s">
        <v>288</v>
      </c>
      <c r="C90" s="199" t="s">
        <v>137</v>
      </c>
      <c r="D90" s="199">
        <f>'[4]TS BYDem'!D29</f>
        <v>0</v>
      </c>
      <c r="E90" s="199" t="s">
        <v>137</v>
      </c>
      <c r="F90" s="199" t="s">
        <v>137</v>
      </c>
      <c r="G90" s="199" t="s">
        <v>137</v>
      </c>
      <c r="H90" s="199" t="s">
        <v>137</v>
      </c>
      <c r="I90" s="199">
        <v>0</v>
      </c>
      <c r="J90" s="199" t="str">
        <f>INDEX('[4]TS BYDem'!$J$10:$J$203,MATCH(D90,'[4]TS BYDem'!$D$10:$D$203,0))</f>
        <v/>
      </c>
      <c r="K90" s="199" t="e">
        <f t="shared" ca="1" si="25"/>
        <v>#VALUE!</v>
      </c>
      <c r="L90" s="199" t="e">
        <f t="shared" ca="1" si="25"/>
        <v>#VALUE!</v>
      </c>
      <c r="M90" s="199" t="e">
        <f t="shared" ca="1" si="25"/>
        <v>#VALUE!</v>
      </c>
      <c r="N90" s="199" t="e">
        <f t="shared" ca="1" si="25"/>
        <v>#VALUE!</v>
      </c>
      <c r="O90" s="199" t="e">
        <f t="shared" ca="1" si="25"/>
        <v>#VALUE!</v>
      </c>
      <c r="P90" s="199" t="e">
        <f t="shared" ca="1" si="25"/>
        <v>#VALUE!</v>
      </c>
      <c r="Q90" s="199" t="e">
        <f t="shared" ca="1" si="25"/>
        <v>#VALUE!</v>
      </c>
      <c r="R90" s="199" t="e">
        <f t="shared" ca="1" si="25"/>
        <v>#VALUE!</v>
      </c>
      <c r="S90" s="199" t="e">
        <f t="shared" ca="1" si="25"/>
        <v>#VALUE!</v>
      </c>
      <c r="T90" s="199" t="e">
        <f t="shared" ca="1" si="25"/>
        <v>#VALUE!</v>
      </c>
      <c r="U90" s="199" t="e">
        <f t="shared" ca="1" si="25"/>
        <v>#VALUE!</v>
      </c>
      <c r="V90" s="199" t="e">
        <f t="shared" ca="1" si="25"/>
        <v>#VALUE!</v>
      </c>
      <c r="W90" s="199" t="e">
        <f t="shared" ca="1" si="25"/>
        <v>#VALUE!</v>
      </c>
      <c r="X90" s="199" t="e">
        <f t="shared" ca="1" si="25"/>
        <v>#VALUE!</v>
      </c>
      <c r="Y90" s="199" t="e">
        <f t="shared" ca="1" si="25"/>
        <v>#VALUE!</v>
      </c>
      <c r="Z90" s="199" t="e">
        <f t="shared" ca="1" si="25"/>
        <v>#VALUE!</v>
      </c>
      <c r="AA90" s="199" t="e">
        <f t="shared" ca="1" si="26"/>
        <v>#VALUE!</v>
      </c>
      <c r="AB90" s="199" t="e">
        <f t="shared" ca="1" si="26"/>
        <v>#VALUE!</v>
      </c>
      <c r="AC90" s="199" t="e">
        <f t="shared" ca="1" si="26"/>
        <v>#VALUE!</v>
      </c>
      <c r="AD90" s="199" t="e">
        <f t="shared" ca="1" si="26"/>
        <v>#VALUE!</v>
      </c>
      <c r="AE90" s="199" t="e">
        <f t="shared" ca="1" si="26"/>
        <v>#VALUE!</v>
      </c>
      <c r="AF90" s="199" t="e">
        <f t="shared" ca="1" si="26"/>
        <v>#VALUE!</v>
      </c>
      <c r="AG90" s="199" t="e">
        <f t="shared" ca="1" si="26"/>
        <v>#VALUE!</v>
      </c>
      <c r="AH90" s="199" t="e">
        <f t="shared" ca="1" si="26"/>
        <v>#VALUE!</v>
      </c>
      <c r="AI90" s="199" t="e">
        <f t="shared" ca="1" si="26"/>
        <v>#VALUE!</v>
      </c>
      <c r="AJ90" s="199" t="e">
        <f t="shared" ca="1" si="26"/>
        <v>#VALUE!</v>
      </c>
      <c r="AK90" s="199" t="e">
        <f t="shared" ca="1" si="26"/>
        <v>#VALUE!</v>
      </c>
      <c r="AL90" s="199" t="e">
        <f t="shared" ca="1" si="26"/>
        <v>#VALUE!</v>
      </c>
      <c r="AM90" s="199" t="e">
        <f t="shared" ca="1" si="26"/>
        <v>#VALUE!</v>
      </c>
      <c r="AN90" s="199" t="e">
        <f t="shared" ca="1" si="26"/>
        <v>#VALUE!</v>
      </c>
      <c r="AO90" s="199" t="e">
        <f t="shared" ca="1" si="26"/>
        <v>#VALUE!</v>
      </c>
      <c r="AP90" s="199" t="e">
        <f t="shared" ca="1" si="24"/>
        <v>#VALUE!</v>
      </c>
    </row>
    <row r="91" spans="1:42" s="5" customFormat="1">
      <c r="A91" s="61" t="str">
        <f>'[4]TS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210.75</v>
      </c>
      <c r="L91" s="5">
        <f t="shared" ca="1" si="29"/>
        <v>211.85</v>
      </c>
      <c r="M91" s="5">
        <f t="shared" ca="1" si="29"/>
        <v>218.73</v>
      </c>
      <c r="N91" s="5">
        <f t="shared" ca="1" si="29"/>
        <v>215.69</v>
      </c>
      <c r="O91" s="5">
        <f t="shared" ca="1" si="29"/>
        <v>222.46</v>
      </c>
      <c r="P91" s="5">
        <f t="shared" ca="1" si="29"/>
        <v>221.28</v>
      </c>
      <c r="Q91" s="5">
        <f t="shared" ca="1" si="29"/>
        <v>219.02</v>
      </c>
      <c r="R91" s="5">
        <f t="shared" ca="1" si="29"/>
        <v>202.16</v>
      </c>
      <c r="S91" s="5">
        <f t="shared" ca="1" si="29"/>
        <v>207.63</v>
      </c>
      <c r="T91" s="5">
        <f t="shared" ca="1" si="29"/>
        <v>212.19</v>
      </c>
      <c r="U91" s="5">
        <f t="shared" ca="1" si="29"/>
        <v>217.01</v>
      </c>
      <c r="V91" s="5">
        <f t="shared" ca="1" si="29"/>
        <v>222.76</v>
      </c>
      <c r="W91" s="5">
        <f t="shared" ca="1" si="29"/>
        <v>229</v>
      </c>
      <c r="X91" s="5">
        <f t="shared" ca="1" si="29"/>
        <v>236.39</v>
      </c>
      <c r="Y91" s="5">
        <f t="shared" ca="1" si="29"/>
        <v>244.65</v>
      </c>
      <c r="Z91" s="5">
        <f t="shared" ca="1" si="29"/>
        <v>253.78</v>
      </c>
      <c r="AA91" s="5">
        <f t="shared" ca="1" si="29"/>
        <v>263.83</v>
      </c>
      <c r="AB91" s="5">
        <f t="shared" ca="1" si="29"/>
        <v>274.29000000000002</v>
      </c>
      <c r="AC91" s="5">
        <f t="shared" ca="1" si="29"/>
        <v>284.43</v>
      </c>
      <c r="AD91" s="5">
        <f t="shared" ca="1" si="29"/>
        <v>295.33999999999997</v>
      </c>
      <c r="AE91" s="5">
        <f t="shared" ca="1" si="29"/>
        <v>306.58</v>
      </c>
      <c r="AF91" s="5">
        <f t="shared" ca="1" si="29"/>
        <v>318.20999999999998</v>
      </c>
      <c r="AG91" s="5">
        <f t="shared" ca="1" si="29"/>
        <v>329.72</v>
      </c>
      <c r="AH91" s="5">
        <f t="shared" ca="1" si="29"/>
        <v>340.93</v>
      </c>
      <c r="AI91" s="5">
        <f t="shared" ca="1" si="29"/>
        <v>352.48</v>
      </c>
      <c r="AJ91" s="5">
        <f t="shared" ca="1" si="29"/>
        <v>365.68</v>
      </c>
      <c r="AK91" s="5">
        <f t="shared" ca="1" si="29"/>
        <v>379.82</v>
      </c>
      <c r="AL91" s="5">
        <f t="shared" ca="1" si="29"/>
        <v>394.64</v>
      </c>
      <c r="AM91" s="5">
        <f t="shared" ca="1" si="29"/>
        <v>490.61</v>
      </c>
      <c r="AN91" s="5">
        <f t="shared" ca="1" si="29"/>
        <v>627.37</v>
      </c>
      <c r="AO91" s="5">
        <f t="shared" ca="1" si="29"/>
        <v>853.30166666666628</v>
      </c>
      <c r="AP91" s="5">
        <f t="shared" ca="1" si="29"/>
        <v>1086.0316666666695</v>
      </c>
    </row>
    <row r="92" spans="1:42">
      <c r="A92" s="61" t="str">
        <f>'[4]TS BYDem'!A31</f>
        <v>*</v>
      </c>
      <c r="B92" s="199" t="s">
        <v>288</v>
      </c>
      <c r="C92" s="199" t="s">
        <v>137</v>
      </c>
      <c r="D92" s="199" t="str">
        <f>'[4]TS BYDem'!D31</f>
        <v>IFAK</v>
      </c>
      <c r="E92" s="199" t="s">
        <v>137</v>
      </c>
      <c r="F92" s="199" t="s">
        <v>137</v>
      </c>
      <c r="G92" s="199" t="s">
        <v>137</v>
      </c>
      <c r="H92" s="199" t="s">
        <v>137</v>
      </c>
      <c r="I92" s="199">
        <v>0</v>
      </c>
      <c r="J92" s="199" t="str">
        <f>INDEX('[4]TS BYDem'!$J$10:$J$203,MATCH(D92,'[4]TS BYDem'!$D$10:$D$203,0))</f>
        <v/>
      </c>
      <c r="K92" s="199" t="e">
        <f ca="1">K$91/J$91*J92</f>
        <v>#VALUE!</v>
      </c>
      <c r="L92" s="199" t="e">
        <f t="shared" ref="L92:AP107" ca="1" si="30">L$91/K$91*K92</f>
        <v>#VALUE!</v>
      </c>
      <c r="M92" s="199" t="e">
        <f t="shared" ca="1" si="30"/>
        <v>#VALUE!</v>
      </c>
      <c r="N92" s="199" t="e">
        <f t="shared" ca="1" si="30"/>
        <v>#VALUE!</v>
      </c>
      <c r="O92" s="199" t="e">
        <f t="shared" ca="1" si="30"/>
        <v>#VALUE!</v>
      </c>
      <c r="P92" s="199" t="e">
        <f t="shared" ca="1" si="30"/>
        <v>#VALUE!</v>
      </c>
      <c r="Q92" s="199" t="e">
        <f t="shared" ca="1" si="30"/>
        <v>#VALUE!</v>
      </c>
      <c r="R92" s="199" t="e">
        <f t="shared" ca="1" si="30"/>
        <v>#VALUE!</v>
      </c>
      <c r="S92" s="199" t="e">
        <f t="shared" ca="1" si="30"/>
        <v>#VALUE!</v>
      </c>
      <c r="T92" s="199" t="e">
        <f t="shared" ca="1" si="30"/>
        <v>#VALUE!</v>
      </c>
      <c r="U92" s="199" t="e">
        <f t="shared" ca="1" si="30"/>
        <v>#VALUE!</v>
      </c>
      <c r="V92" s="199" t="e">
        <f t="shared" ca="1" si="30"/>
        <v>#VALUE!</v>
      </c>
      <c r="W92" s="199" t="e">
        <f t="shared" ca="1" si="30"/>
        <v>#VALUE!</v>
      </c>
      <c r="X92" s="199" t="e">
        <f t="shared" ca="1" si="30"/>
        <v>#VALUE!</v>
      </c>
      <c r="Y92" s="199" t="e">
        <f t="shared" ca="1" si="30"/>
        <v>#VALUE!</v>
      </c>
      <c r="Z92" s="199" t="e">
        <f t="shared" ca="1" si="30"/>
        <v>#VALUE!</v>
      </c>
      <c r="AA92" s="199" t="e">
        <f t="shared" ca="1" si="30"/>
        <v>#VALUE!</v>
      </c>
      <c r="AB92" s="199" t="e">
        <f t="shared" ca="1" si="30"/>
        <v>#VALUE!</v>
      </c>
      <c r="AC92" s="199" t="e">
        <f t="shared" ca="1" si="30"/>
        <v>#VALUE!</v>
      </c>
      <c r="AD92" s="199" t="e">
        <f t="shared" ca="1" si="30"/>
        <v>#VALUE!</v>
      </c>
      <c r="AE92" s="199" t="e">
        <f t="shared" ca="1" si="30"/>
        <v>#VALUE!</v>
      </c>
      <c r="AF92" s="199" t="e">
        <f t="shared" ca="1" si="30"/>
        <v>#VALUE!</v>
      </c>
      <c r="AG92" s="199" t="e">
        <f t="shared" ca="1" si="30"/>
        <v>#VALUE!</v>
      </c>
      <c r="AH92" s="199" t="e">
        <f t="shared" ca="1" si="30"/>
        <v>#VALUE!</v>
      </c>
      <c r="AI92" s="199" t="e">
        <f t="shared" ca="1" si="30"/>
        <v>#VALUE!</v>
      </c>
      <c r="AJ92" s="199" t="e">
        <f t="shared" ca="1" si="30"/>
        <v>#VALUE!</v>
      </c>
      <c r="AK92" s="199" t="e">
        <f t="shared" ca="1" si="30"/>
        <v>#VALUE!</v>
      </c>
      <c r="AL92" s="199" t="e">
        <f t="shared" ca="1" si="30"/>
        <v>#VALUE!</v>
      </c>
      <c r="AM92" s="199" t="e">
        <f t="shared" ca="1" si="30"/>
        <v>#VALUE!</v>
      </c>
      <c r="AN92" s="199" t="e">
        <f t="shared" ca="1" si="30"/>
        <v>#VALUE!</v>
      </c>
      <c r="AO92" s="199" t="e">
        <f t="shared" ca="1" si="30"/>
        <v>#VALUE!</v>
      </c>
      <c r="AP92" s="199" t="e">
        <f t="shared" ca="1" si="30"/>
        <v>#VALUE!</v>
      </c>
    </row>
    <row r="93" spans="1:42">
      <c r="A93" s="61" t="str">
        <f>'[4]TS BYDem'!A32</f>
        <v>*</v>
      </c>
      <c r="B93" s="199" t="s">
        <v>288</v>
      </c>
      <c r="C93" s="199" t="s">
        <v>137</v>
      </c>
      <c r="D93" s="199" t="str">
        <f>'[4]TS BYDem'!D32</f>
        <v>IFAA</v>
      </c>
      <c r="E93" s="199" t="s">
        <v>137</v>
      </c>
      <c r="F93" s="199" t="s">
        <v>137</v>
      </c>
      <c r="G93" s="199" t="s">
        <v>137</v>
      </c>
      <c r="H93" s="199" t="s">
        <v>137</v>
      </c>
      <c r="I93" s="199">
        <v>0</v>
      </c>
      <c r="J93" s="199" t="str">
        <f>INDEX('[4]TS BYDem'!$J$10:$J$203,MATCH(D93,'[4]TS BYDem'!$D$10:$D$203,0))</f>
        <v/>
      </c>
      <c r="K93" s="199" t="e">
        <f t="shared" ref="K93:AH103" ca="1" si="31">K$91/J$91*J93</f>
        <v>#VALUE!</v>
      </c>
      <c r="L93" s="199" t="e">
        <f t="shared" ca="1" si="31"/>
        <v>#VALUE!</v>
      </c>
      <c r="M93" s="199" t="e">
        <f t="shared" ca="1" si="31"/>
        <v>#VALUE!</v>
      </c>
      <c r="N93" s="199" t="e">
        <f t="shared" ca="1" si="31"/>
        <v>#VALUE!</v>
      </c>
      <c r="O93" s="199" t="e">
        <f t="shared" ca="1" si="31"/>
        <v>#VALUE!</v>
      </c>
      <c r="P93" s="199" t="e">
        <f t="shared" ca="1" si="31"/>
        <v>#VALUE!</v>
      </c>
      <c r="Q93" s="199" t="e">
        <f t="shared" ca="1" si="31"/>
        <v>#VALUE!</v>
      </c>
      <c r="R93" s="199" t="e">
        <f t="shared" ca="1" si="31"/>
        <v>#VALUE!</v>
      </c>
      <c r="S93" s="199" t="e">
        <f t="shared" ca="1" si="31"/>
        <v>#VALUE!</v>
      </c>
      <c r="T93" s="199" t="e">
        <f t="shared" ca="1" si="31"/>
        <v>#VALUE!</v>
      </c>
      <c r="U93" s="199" t="e">
        <f t="shared" ca="1" si="31"/>
        <v>#VALUE!</v>
      </c>
      <c r="V93" s="199" t="e">
        <f t="shared" ca="1" si="31"/>
        <v>#VALUE!</v>
      </c>
      <c r="W93" s="199" t="e">
        <f t="shared" ca="1" si="31"/>
        <v>#VALUE!</v>
      </c>
      <c r="X93" s="199" t="e">
        <f t="shared" ca="1" si="31"/>
        <v>#VALUE!</v>
      </c>
      <c r="Y93" s="199" t="e">
        <f t="shared" ca="1" si="31"/>
        <v>#VALUE!</v>
      </c>
      <c r="Z93" s="199" t="e">
        <f t="shared" ca="1" si="31"/>
        <v>#VALUE!</v>
      </c>
      <c r="AA93" s="199" t="e">
        <f t="shared" ca="1" si="31"/>
        <v>#VALUE!</v>
      </c>
      <c r="AB93" s="199" t="e">
        <f t="shared" ca="1" si="31"/>
        <v>#VALUE!</v>
      </c>
      <c r="AC93" s="199" t="e">
        <f t="shared" ca="1" si="31"/>
        <v>#VALUE!</v>
      </c>
      <c r="AD93" s="199" t="e">
        <f t="shared" ca="1" si="31"/>
        <v>#VALUE!</v>
      </c>
      <c r="AE93" s="199" t="e">
        <f t="shared" ca="1" si="31"/>
        <v>#VALUE!</v>
      </c>
      <c r="AF93" s="199" t="e">
        <f t="shared" ca="1" si="31"/>
        <v>#VALUE!</v>
      </c>
      <c r="AG93" s="199" t="e">
        <f t="shared" ca="1" si="31"/>
        <v>#VALUE!</v>
      </c>
      <c r="AH93" s="199" t="e">
        <f t="shared" ca="1" si="31"/>
        <v>#VALUE!</v>
      </c>
      <c r="AI93" s="199" t="e">
        <f t="shared" ca="1" si="30"/>
        <v>#VALUE!</v>
      </c>
      <c r="AJ93" s="199" t="e">
        <f t="shared" ca="1" si="30"/>
        <v>#VALUE!</v>
      </c>
      <c r="AK93" s="199" t="e">
        <f t="shared" ca="1" si="30"/>
        <v>#VALUE!</v>
      </c>
      <c r="AL93" s="199" t="e">
        <f t="shared" ca="1" si="30"/>
        <v>#VALUE!</v>
      </c>
      <c r="AM93" s="199" t="e">
        <f t="shared" ca="1" si="30"/>
        <v>#VALUE!</v>
      </c>
      <c r="AN93" s="199" t="e">
        <f t="shared" ca="1" si="30"/>
        <v>#VALUE!</v>
      </c>
      <c r="AO93" s="199" t="e">
        <f t="shared" ca="1" si="30"/>
        <v>#VALUE!</v>
      </c>
      <c r="AP93" s="199" t="e">
        <f t="shared" ca="1" si="30"/>
        <v>#VALUE!</v>
      </c>
    </row>
    <row r="94" spans="1:42">
      <c r="A94" s="61" t="str">
        <f>'[4]TS BYDem'!A33</f>
        <v>*</v>
      </c>
      <c r="B94" s="199" t="s">
        <v>288</v>
      </c>
      <c r="C94" s="199" t="s">
        <v>137</v>
      </c>
      <c r="D94" s="199" t="str">
        <f>'[4]TS BYDem'!D33</f>
        <v>IFAL</v>
      </c>
      <c r="E94" s="199" t="s">
        <v>137</v>
      </c>
      <c r="F94" s="199" t="s">
        <v>137</v>
      </c>
      <c r="G94" s="199" t="s">
        <v>137</v>
      </c>
      <c r="H94" s="199" t="s">
        <v>137</v>
      </c>
      <c r="I94" s="199">
        <v>0</v>
      </c>
      <c r="J94" s="199" t="str">
        <f>INDEX('[4]TS BYDem'!$J$10:$J$203,MATCH(D94,'[4]TS BYDem'!$D$10:$D$203,0))</f>
        <v/>
      </c>
      <c r="K94" s="199" t="e">
        <f t="shared" ca="1" si="31"/>
        <v>#VALUE!</v>
      </c>
      <c r="L94" s="199" t="e">
        <f t="shared" ca="1" si="31"/>
        <v>#VALUE!</v>
      </c>
      <c r="M94" s="199" t="e">
        <f t="shared" ca="1" si="31"/>
        <v>#VALUE!</v>
      </c>
      <c r="N94" s="199" t="e">
        <f t="shared" ca="1" si="31"/>
        <v>#VALUE!</v>
      </c>
      <c r="O94" s="199" t="e">
        <f t="shared" ca="1" si="31"/>
        <v>#VALUE!</v>
      </c>
      <c r="P94" s="199" t="e">
        <f t="shared" ca="1" si="31"/>
        <v>#VALUE!</v>
      </c>
      <c r="Q94" s="199" t="e">
        <f t="shared" ca="1" si="31"/>
        <v>#VALUE!</v>
      </c>
      <c r="R94" s="199" t="e">
        <f t="shared" ca="1" si="31"/>
        <v>#VALUE!</v>
      </c>
      <c r="S94" s="199" t="e">
        <f t="shared" ca="1" si="31"/>
        <v>#VALUE!</v>
      </c>
      <c r="T94" s="199" t="e">
        <f t="shared" ca="1" si="31"/>
        <v>#VALUE!</v>
      </c>
      <c r="U94" s="199" t="e">
        <f t="shared" ca="1" si="31"/>
        <v>#VALUE!</v>
      </c>
      <c r="V94" s="199" t="e">
        <f t="shared" ca="1" si="31"/>
        <v>#VALUE!</v>
      </c>
      <c r="W94" s="199" t="e">
        <f t="shared" ca="1" si="31"/>
        <v>#VALUE!</v>
      </c>
      <c r="X94" s="199" t="e">
        <f t="shared" ca="1" si="31"/>
        <v>#VALUE!</v>
      </c>
      <c r="Y94" s="199" t="e">
        <f t="shared" ca="1" si="31"/>
        <v>#VALUE!</v>
      </c>
      <c r="Z94" s="199" t="e">
        <f t="shared" ca="1" si="31"/>
        <v>#VALUE!</v>
      </c>
      <c r="AA94" s="199" t="e">
        <f t="shared" ca="1" si="31"/>
        <v>#VALUE!</v>
      </c>
      <c r="AB94" s="199" t="e">
        <f t="shared" ca="1" si="31"/>
        <v>#VALUE!</v>
      </c>
      <c r="AC94" s="199" t="e">
        <f t="shared" ca="1" si="31"/>
        <v>#VALUE!</v>
      </c>
      <c r="AD94" s="199" t="e">
        <f t="shared" ca="1" si="31"/>
        <v>#VALUE!</v>
      </c>
      <c r="AE94" s="199" t="e">
        <f t="shared" ca="1" si="31"/>
        <v>#VALUE!</v>
      </c>
      <c r="AF94" s="199" t="e">
        <f t="shared" ca="1" si="31"/>
        <v>#VALUE!</v>
      </c>
      <c r="AG94" s="199" t="e">
        <f t="shared" ca="1" si="31"/>
        <v>#VALUE!</v>
      </c>
      <c r="AH94" s="199" t="e">
        <f t="shared" ca="1" si="31"/>
        <v>#VALUE!</v>
      </c>
      <c r="AI94" s="199" t="e">
        <f t="shared" ca="1" si="30"/>
        <v>#VALUE!</v>
      </c>
      <c r="AJ94" s="199" t="e">
        <f t="shared" ca="1" si="30"/>
        <v>#VALUE!</v>
      </c>
      <c r="AK94" s="199" t="e">
        <f t="shared" ca="1" si="30"/>
        <v>#VALUE!</v>
      </c>
      <c r="AL94" s="199" t="e">
        <f t="shared" ca="1" si="30"/>
        <v>#VALUE!</v>
      </c>
      <c r="AM94" s="199" t="e">
        <f t="shared" ca="1" si="30"/>
        <v>#VALUE!</v>
      </c>
      <c r="AN94" s="199" t="e">
        <f t="shared" ca="1" si="30"/>
        <v>#VALUE!</v>
      </c>
      <c r="AO94" s="199" t="e">
        <f t="shared" ca="1" si="30"/>
        <v>#VALUE!</v>
      </c>
      <c r="AP94" s="199" t="e">
        <f t="shared" ca="1" si="30"/>
        <v>#VALUE!</v>
      </c>
    </row>
    <row r="95" spans="1:42">
      <c r="A95" s="61" t="str">
        <f>'[4]TS BYDem'!A34</f>
        <v>*</v>
      </c>
      <c r="B95" s="199" t="s">
        <v>288</v>
      </c>
      <c r="C95" s="199" t="s">
        <v>137</v>
      </c>
      <c r="D95" s="199" t="str">
        <f>'[4]TS BYDem'!D34</f>
        <v>IFAC</v>
      </c>
      <c r="E95" s="199" t="s">
        <v>137</v>
      </c>
      <c r="F95" s="199" t="s">
        <v>137</v>
      </c>
      <c r="G95" s="199" t="s">
        <v>137</v>
      </c>
      <c r="H95" s="199" t="s">
        <v>137</v>
      </c>
      <c r="I95" s="199">
        <v>0</v>
      </c>
      <c r="J95" s="199" t="str">
        <f>INDEX('[4]TS BYDem'!$J$10:$J$203,MATCH(D95,'[4]TS BYDem'!$D$10:$D$203,0))</f>
        <v/>
      </c>
      <c r="K95" s="199" t="e">
        <f t="shared" ca="1" si="31"/>
        <v>#VALUE!</v>
      </c>
      <c r="L95" s="199" t="e">
        <f t="shared" ca="1" si="31"/>
        <v>#VALUE!</v>
      </c>
      <c r="M95" s="199" t="e">
        <f t="shared" ca="1" si="31"/>
        <v>#VALUE!</v>
      </c>
      <c r="N95" s="199" t="e">
        <f t="shared" ca="1" si="31"/>
        <v>#VALUE!</v>
      </c>
      <c r="O95" s="199" t="e">
        <f t="shared" ca="1" si="31"/>
        <v>#VALUE!</v>
      </c>
      <c r="P95" s="199" t="e">
        <f t="shared" ca="1" si="31"/>
        <v>#VALUE!</v>
      </c>
      <c r="Q95" s="199" t="e">
        <f t="shared" ca="1" si="31"/>
        <v>#VALUE!</v>
      </c>
      <c r="R95" s="199" t="e">
        <f t="shared" ca="1" si="31"/>
        <v>#VALUE!</v>
      </c>
      <c r="S95" s="199" t="e">
        <f t="shared" ca="1" si="31"/>
        <v>#VALUE!</v>
      </c>
      <c r="T95" s="199" t="e">
        <f t="shared" ca="1" si="31"/>
        <v>#VALUE!</v>
      </c>
      <c r="U95" s="199" t="e">
        <f t="shared" ca="1" si="31"/>
        <v>#VALUE!</v>
      </c>
      <c r="V95" s="199" t="e">
        <f t="shared" ca="1" si="31"/>
        <v>#VALUE!</v>
      </c>
      <c r="W95" s="199" t="e">
        <f t="shared" ca="1" si="31"/>
        <v>#VALUE!</v>
      </c>
      <c r="X95" s="199" t="e">
        <f t="shared" ca="1" si="31"/>
        <v>#VALUE!</v>
      </c>
      <c r="Y95" s="199" t="e">
        <f t="shared" ca="1" si="31"/>
        <v>#VALUE!</v>
      </c>
      <c r="Z95" s="199" t="e">
        <f t="shared" ca="1" si="31"/>
        <v>#VALUE!</v>
      </c>
      <c r="AA95" s="199" t="e">
        <f t="shared" ca="1" si="31"/>
        <v>#VALUE!</v>
      </c>
      <c r="AB95" s="199" t="e">
        <f t="shared" ca="1" si="31"/>
        <v>#VALUE!</v>
      </c>
      <c r="AC95" s="199" t="e">
        <f t="shared" ca="1" si="31"/>
        <v>#VALUE!</v>
      </c>
      <c r="AD95" s="199" t="e">
        <f t="shared" ca="1" si="31"/>
        <v>#VALUE!</v>
      </c>
      <c r="AE95" s="199" t="e">
        <f t="shared" ca="1" si="31"/>
        <v>#VALUE!</v>
      </c>
      <c r="AF95" s="199" t="e">
        <f t="shared" ca="1" si="31"/>
        <v>#VALUE!</v>
      </c>
      <c r="AG95" s="199" t="e">
        <f t="shared" ca="1" si="31"/>
        <v>#VALUE!</v>
      </c>
      <c r="AH95" s="199" t="e">
        <f t="shared" ca="1" si="31"/>
        <v>#VALUE!</v>
      </c>
      <c r="AI95" s="199" t="e">
        <f t="shared" ca="1" si="30"/>
        <v>#VALUE!</v>
      </c>
      <c r="AJ95" s="199" t="e">
        <f t="shared" ca="1" si="30"/>
        <v>#VALUE!</v>
      </c>
      <c r="AK95" s="199" t="e">
        <f t="shared" ca="1" si="30"/>
        <v>#VALUE!</v>
      </c>
      <c r="AL95" s="199" t="e">
        <f t="shared" ca="1" si="30"/>
        <v>#VALUE!</v>
      </c>
      <c r="AM95" s="199" t="e">
        <f t="shared" ca="1" si="30"/>
        <v>#VALUE!</v>
      </c>
      <c r="AN95" s="199" t="e">
        <f t="shared" ca="1" si="30"/>
        <v>#VALUE!</v>
      </c>
      <c r="AO95" s="199" t="e">
        <f t="shared" ca="1" si="30"/>
        <v>#VALUE!</v>
      </c>
      <c r="AP95" s="199" t="e">
        <f t="shared" ca="1" si="30"/>
        <v>#VALUE!</v>
      </c>
    </row>
    <row r="96" spans="1:42">
      <c r="A96" s="61" t="str">
        <f>'[4]TS BYDem'!A35</f>
        <v>*</v>
      </c>
      <c r="B96" s="199" t="s">
        <v>288</v>
      </c>
      <c r="C96" s="199" t="s">
        <v>137</v>
      </c>
      <c r="D96" s="199" t="str">
        <f>'[4]TS BYDem'!D35</f>
        <v>IFAH</v>
      </c>
      <c r="E96" s="199" t="s">
        <v>137</v>
      </c>
      <c r="F96" s="199" t="s">
        <v>137</v>
      </c>
      <c r="G96" s="199" t="s">
        <v>137</v>
      </c>
      <c r="H96" s="199" t="s">
        <v>137</v>
      </c>
      <c r="I96" s="199">
        <v>0</v>
      </c>
      <c r="J96" s="199" t="str">
        <f>INDEX('[4]TS BYDem'!$J$10:$J$203,MATCH(D96,'[4]TS BYDem'!$D$10:$D$203,0))</f>
        <v/>
      </c>
      <c r="K96" s="199" t="e">
        <f t="shared" ca="1" si="31"/>
        <v>#VALUE!</v>
      </c>
      <c r="L96" s="199" t="e">
        <f t="shared" ca="1" si="31"/>
        <v>#VALUE!</v>
      </c>
      <c r="M96" s="199" t="e">
        <f t="shared" ca="1" si="31"/>
        <v>#VALUE!</v>
      </c>
      <c r="N96" s="199" t="e">
        <f t="shared" ca="1" si="31"/>
        <v>#VALUE!</v>
      </c>
      <c r="O96" s="199" t="e">
        <f t="shared" ca="1" si="31"/>
        <v>#VALUE!</v>
      </c>
      <c r="P96" s="199" t="e">
        <f t="shared" ca="1" si="31"/>
        <v>#VALUE!</v>
      </c>
      <c r="Q96" s="199" t="e">
        <f t="shared" ca="1" si="31"/>
        <v>#VALUE!</v>
      </c>
      <c r="R96" s="199" t="e">
        <f t="shared" ca="1" si="31"/>
        <v>#VALUE!</v>
      </c>
      <c r="S96" s="199" t="e">
        <f t="shared" ca="1" si="31"/>
        <v>#VALUE!</v>
      </c>
      <c r="T96" s="199" t="e">
        <f t="shared" ca="1" si="31"/>
        <v>#VALUE!</v>
      </c>
      <c r="U96" s="199" t="e">
        <f t="shared" ca="1" si="31"/>
        <v>#VALUE!</v>
      </c>
      <c r="V96" s="199" t="e">
        <f t="shared" ca="1" si="31"/>
        <v>#VALUE!</v>
      </c>
      <c r="W96" s="199" t="e">
        <f t="shared" ca="1" si="31"/>
        <v>#VALUE!</v>
      </c>
      <c r="X96" s="199" t="e">
        <f t="shared" ca="1" si="31"/>
        <v>#VALUE!</v>
      </c>
      <c r="Y96" s="199" t="e">
        <f t="shared" ca="1" si="31"/>
        <v>#VALUE!</v>
      </c>
      <c r="Z96" s="199" t="e">
        <f t="shared" ca="1" si="31"/>
        <v>#VALUE!</v>
      </c>
      <c r="AA96" s="199" t="e">
        <f t="shared" ca="1" si="31"/>
        <v>#VALUE!</v>
      </c>
      <c r="AB96" s="199" t="e">
        <f t="shared" ca="1" si="31"/>
        <v>#VALUE!</v>
      </c>
      <c r="AC96" s="199" t="e">
        <f t="shared" ca="1" si="31"/>
        <v>#VALUE!</v>
      </c>
      <c r="AD96" s="199" t="e">
        <f t="shared" ca="1" si="31"/>
        <v>#VALUE!</v>
      </c>
      <c r="AE96" s="199" t="e">
        <f t="shared" ca="1" si="31"/>
        <v>#VALUE!</v>
      </c>
      <c r="AF96" s="199" t="e">
        <f t="shared" ca="1" si="31"/>
        <v>#VALUE!</v>
      </c>
      <c r="AG96" s="199" t="e">
        <f t="shared" ca="1" si="31"/>
        <v>#VALUE!</v>
      </c>
      <c r="AH96" s="199" t="e">
        <f t="shared" ca="1" si="31"/>
        <v>#VALUE!</v>
      </c>
      <c r="AI96" s="199" t="e">
        <f t="shared" ca="1" si="30"/>
        <v>#VALUE!</v>
      </c>
      <c r="AJ96" s="199" t="e">
        <f t="shared" ca="1" si="30"/>
        <v>#VALUE!</v>
      </c>
      <c r="AK96" s="199" t="e">
        <f t="shared" ca="1" si="30"/>
        <v>#VALUE!</v>
      </c>
      <c r="AL96" s="199" t="e">
        <f t="shared" ca="1" si="30"/>
        <v>#VALUE!</v>
      </c>
      <c r="AM96" s="199" t="e">
        <f t="shared" ca="1" si="30"/>
        <v>#VALUE!</v>
      </c>
      <c r="AN96" s="199" t="e">
        <f t="shared" ca="1" si="30"/>
        <v>#VALUE!</v>
      </c>
      <c r="AO96" s="199" t="e">
        <f t="shared" ca="1" si="30"/>
        <v>#VALUE!</v>
      </c>
      <c r="AP96" s="199" t="e">
        <f t="shared" ca="1" si="30"/>
        <v>#VALUE!</v>
      </c>
    </row>
    <row r="97" spans="1:42">
      <c r="A97" s="61" t="str">
        <f>'[4]TS BYDem'!A36</f>
        <v>*</v>
      </c>
      <c r="B97" s="199" t="s">
        <v>288</v>
      </c>
      <c r="C97" s="199" t="s">
        <v>137</v>
      </c>
      <c r="D97" s="199" t="str">
        <f>'[4]TS BYDem'!D36</f>
        <v>IFAP</v>
      </c>
      <c r="E97" s="199" t="s">
        <v>137</v>
      </c>
      <c r="F97" s="199" t="s">
        <v>137</v>
      </c>
      <c r="G97" s="199" t="s">
        <v>137</v>
      </c>
      <c r="H97" s="199" t="s">
        <v>137</v>
      </c>
      <c r="I97" s="199">
        <v>0</v>
      </c>
      <c r="J97" s="199" t="str">
        <f>INDEX('[4]TS BYDem'!$J$10:$J$203,MATCH(D97,'[4]TS BYDem'!$D$10:$D$203,0))</f>
        <v/>
      </c>
      <c r="K97" s="199" t="e">
        <f t="shared" ca="1" si="31"/>
        <v>#VALUE!</v>
      </c>
      <c r="L97" s="199" t="e">
        <f t="shared" ca="1" si="31"/>
        <v>#VALUE!</v>
      </c>
      <c r="M97" s="199" t="e">
        <f t="shared" ca="1" si="31"/>
        <v>#VALUE!</v>
      </c>
      <c r="N97" s="199" t="e">
        <f t="shared" ca="1" si="31"/>
        <v>#VALUE!</v>
      </c>
      <c r="O97" s="199" t="e">
        <f t="shared" ca="1" si="31"/>
        <v>#VALUE!</v>
      </c>
      <c r="P97" s="199" t="e">
        <f t="shared" ca="1" si="31"/>
        <v>#VALUE!</v>
      </c>
      <c r="Q97" s="199" t="e">
        <f t="shared" ca="1" si="31"/>
        <v>#VALUE!</v>
      </c>
      <c r="R97" s="199" t="e">
        <f t="shared" ca="1" si="31"/>
        <v>#VALUE!</v>
      </c>
      <c r="S97" s="199" t="e">
        <f t="shared" ca="1" si="31"/>
        <v>#VALUE!</v>
      </c>
      <c r="T97" s="199" t="e">
        <f t="shared" ca="1" si="31"/>
        <v>#VALUE!</v>
      </c>
      <c r="U97" s="199" t="e">
        <f t="shared" ca="1" si="31"/>
        <v>#VALUE!</v>
      </c>
      <c r="V97" s="199" t="e">
        <f t="shared" ca="1" si="31"/>
        <v>#VALUE!</v>
      </c>
      <c r="W97" s="199" t="e">
        <f t="shared" ca="1" si="31"/>
        <v>#VALUE!</v>
      </c>
      <c r="X97" s="199" t="e">
        <f t="shared" ca="1" si="31"/>
        <v>#VALUE!</v>
      </c>
      <c r="Y97" s="199" t="e">
        <f t="shared" ca="1" si="31"/>
        <v>#VALUE!</v>
      </c>
      <c r="Z97" s="199" t="e">
        <f t="shared" ca="1" si="31"/>
        <v>#VALUE!</v>
      </c>
      <c r="AA97" s="199" t="e">
        <f t="shared" ca="1" si="31"/>
        <v>#VALUE!</v>
      </c>
      <c r="AB97" s="199" t="e">
        <f t="shared" ca="1" si="31"/>
        <v>#VALUE!</v>
      </c>
      <c r="AC97" s="199" t="e">
        <f t="shared" ca="1" si="31"/>
        <v>#VALUE!</v>
      </c>
      <c r="AD97" s="199" t="e">
        <f t="shared" ca="1" si="31"/>
        <v>#VALUE!</v>
      </c>
      <c r="AE97" s="199" t="e">
        <f t="shared" ca="1" si="31"/>
        <v>#VALUE!</v>
      </c>
      <c r="AF97" s="199" t="e">
        <f t="shared" ca="1" si="31"/>
        <v>#VALUE!</v>
      </c>
      <c r="AG97" s="199" t="e">
        <f t="shared" ca="1" si="31"/>
        <v>#VALUE!</v>
      </c>
      <c r="AH97" s="199" t="e">
        <f t="shared" ca="1" si="31"/>
        <v>#VALUE!</v>
      </c>
      <c r="AI97" s="199" t="e">
        <f t="shared" ca="1" si="30"/>
        <v>#VALUE!</v>
      </c>
      <c r="AJ97" s="199" t="e">
        <f t="shared" ca="1" si="30"/>
        <v>#VALUE!</v>
      </c>
      <c r="AK97" s="199" t="e">
        <f t="shared" ca="1" si="30"/>
        <v>#VALUE!</v>
      </c>
      <c r="AL97" s="199" t="e">
        <f t="shared" ca="1" si="30"/>
        <v>#VALUE!</v>
      </c>
      <c r="AM97" s="199" t="e">
        <f t="shared" ca="1" si="30"/>
        <v>#VALUE!</v>
      </c>
      <c r="AN97" s="199" t="e">
        <f t="shared" ca="1" si="30"/>
        <v>#VALUE!</v>
      </c>
      <c r="AO97" s="199" t="e">
        <f t="shared" ca="1" si="30"/>
        <v>#VALUE!</v>
      </c>
      <c r="AP97" s="199" t="e">
        <f t="shared" ca="1" si="30"/>
        <v>#VALUE!</v>
      </c>
    </row>
    <row r="98" spans="1:42">
      <c r="A98" s="61" t="str">
        <f>'[4]TS BYDem'!A37</f>
        <v>*</v>
      </c>
      <c r="B98" s="199" t="s">
        <v>288</v>
      </c>
      <c r="C98" s="199" t="s">
        <v>137</v>
      </c>
      <c r="D98" s="199" t="str">
        <f>'[4]TS BYDem'!D37</f>
        <v>IFAF</v>
      </c>
      <c r="E98" s="199" t="s">
        <v>137</v>
      </c>
      <c r="F98" s="199" t="s">
        <v>137</v>
      </c>
      <c r="G98" s="199" t="s">
        <v>137</v>
      </c>
      <c r="H98" s="199" t="s">
        <v>137</v>
      </c>
      <c r="I98" s="199">
        <v>0</v>
      </c>
      <c r="J98" s="199" t="str">
        <f>INDEX('[4]TS BYDem'!$J$10:$J$203,MATCH(D98,'[4]TS BYDem'!$D$10:$D$203,0))</f>
        <v/>
      </c>
      <c r="K98" s="199" t="e">
        <f t="shared" ca="1" si="31"/>
        <v>#VALUE!</v>
      </c>
      <c r="L98" s="199" t="e">
        <f t="shared" ca="1" si="31"/>
        <v>#VALUE!</v>
      </c>
      <c r="M98" s="199" t="e">
        <f t="shared" ca="1" si="31"/>
        <v>#VALUE!</v>
      </c>
      <c r="N98" s="199" t="e">
        <f t="shared" ca="1" si="31"/>
        <v>#VALUE!</v>
      </c>
      <c r="O98" s="199" t="e">
        <f t="shared" ca="1" si="31"/>
        <v>#VALUE!</v>
      </c>
      <c r="P98" s="199" t="e">
        <f t="shared" ca="1" si="31"/>
        <v>#VALUE!</v>
      </c>
      <c r="Q98" s="199" t="e">
        <f t="shared" ca="1" si="31"/>
        <v>#VALUE!</v>
      </c>
      <c r="R98" s="199" t="e">
        <f t="shared" ca="1" si="31"/>
        <v>#VALUE!</v>
      </c>
      <c r="S98" s="199" t="e">
        <f t="shared" ca="1" si="31"/>
        <v>#VALUE!</v>
      </c>
      <c r="T98" s="199" t="e">
        <f t="shared" ca="1" si="31"/>
        <v>#VALUE!</v>
      </c>
      <c r="U98" s="199" t="e">
        <f t="shared" ca="1" si="31"/>
        <v>#VALUE!</v>
      </c>
      <c r="V98" s="199" t="e">
        <f t="shared" ca="1" si="31"/>
        <v>#VALUE!</v>
      </c>
      <c r="W98" s="199" t="e">
        <f t="shared" ca="1" si="31"/>
        <v>#VALUE!</v>
      </c>
      <c r="X98" s="199" t="e">
        <f t="shared" ca="1" si="31"/>
        <v>#VALUE!</v>
      </c>
      <c r="Y98" s="199" t="e">
        <f t="shared" ca="1" si="31"/>
        <v>#VALUE!</v>
      </c>
      <c r="Z98" s="199" t="e">
        <f t="shared" ca="1" si="31"/>
        <v>#VALUE!</v>
      </c>
      <c r="AA98" s="199" t="e">
        <f t="shared" ca="1" si="31"/>
        <v>#VALUE!</v>
      </c>
      <c r="AB98" s="199" t="e">
        <f t="shared" ca="1" si="31"/>
        <v>#VALUE!</v>
      </c>
      <c r="AC98" s="199" t="e">
        <f t="shared" ca="1" si="31"/>
        <v>#VALUE!</v>
      </c>
      <c r="AD98" s="199" t="e">
        <f t="shared" ca="1" si="31"/>
        <v>#VALUE!</v>
      </c>
      <c r="AE98" s="199" t="e">
        <f t="shared" ca="1" si="31"/>
        <v>#VALUE!</v>
      </c>
      <c r="AF98" s="199" t="e">
        <f t="shared" ca="1" si="31"/>
        <v>#VALUE!</v>
      </c>
      <c r="AG98" s="199" t="e">
        <f t="shared" ca="1" si="31"/>
        <v>#VALUE!</v>
      </c>
      <c r="AH98" s="199" t="e">
        <f t="shared" ca="1" si="31"/>
        <v>#VALUE!</v>
      </c>
      <c r="AI98" s="199" t="e">
        <f t="shared" ca="1" si="30"/>
        <v>#VALUE!</v>
      </c>
      <c r="AJ98" s="199" t="e">
        <f t="shared" ca="1" si="30"/>
        <v>#VALUE!</v>
      </c>
      <c r="AK98" s="199" t="e">
        <f t="shared" ca="1" si="30"/>
        <v>#VALUE!</v>
      </c>
      <c r="AL98" s="199" t="e">
        <f t="shared" ca="1" si="30"/>
        <v>#VALUE!</v>
      </c>
      <c r="AM98" s="199" t="e">
        <f t="shared" ca="1" si="30"/>
        <v>#VALUE!</v>
      </c>
      <c r="AN98" s="199" t="e">
        <f t="shared" ca="1" si="30"/>
        <v>#VALUE!</v>
      </c>
      <c r="AO98" s="199" t="e">
        <f t="shared" ca="1" si="30"/>
        <v>#VALUE!</v>
      </c>
      <c r="AP98" s="199" t="e">
        <f t="shared" ca="1" si="30"/>
        <v>#VALUE!</v>
      </c>
    </row>
    <row r="99" spans="1:42">
      <c r="A99" s="61" t="str">
        <f>'[4]TS BYDem'!A38</f>
        <v>*</v>
      </c>
      <c r="B99" s="199" t="s">
        <v>288</v>
      </c>
      <c r="C99" s="199" t="s">
        <v>137</v>
      </c>
      <c r="D99" s="199" t="str">
        <f>'[4]TS BYDem'!D38</f>
        <v>IFAO</v>
      </c>
      <c r="E99" s="199" t="s">
        <v>137</v>
      </c>
      <c r="F99" s="199" t="s">
        <v>137</v>
      </c>
      <c r="G99" s="199" t="s">
        <v>137</v>
      </c>
      <c r="H99" s="199" t="s">
        <v>137</v>
      </c>
      <c r="I99" s="199">
        <v>0</v>
      </c>
      <c r="J99" s="199" t="str">
        <f>INDEX('[4]TS BYDem'!$J$10:$J$203,MATCH(D99,'[4]TS BYDem'!$D$10:$D$203,0))</f>
        <v/>
      </c>
      <c r="K99" s="199" t="e">
        <f t="shared" ca="1" si="31"/>
        <v>#VALUE!</v>
      </c>
      <c r="L99" s="199" t="e">
        <f t="shared" ca="1" si="31"/>
        <v>#VALUE!</v>
      </c>
      <c r="M99" s="199" t="e">
        <f t="shared" ca="1" si="31"/>
        <v>#VALUE!</v>
      </c>
      <c r="N99" s="199" t="e">
        <f t="shared" ca="1" si="31"/>
        <v>#VALUE!</v>
      </c>
      <c r="O99" s="199" t="e">
        <f t="shared" ca="1" si="31"/>
        <v>#VALUE!</v>
      </c>
      <c r="P99" s="199" t="e">
        <f t="shared" ca="1" si="31"/>
        <v>#VALUE!</v>
      </c>
      <c r="Q99" s="199" t="e">
        <f t="shared" ca="1" si="31"/>
        <v>#VALUE!</v>
      </c>
      <c r="R99" s="199" t="e">
        <f t="shared" ca="1" si="31"/>
        <v>#VALUE!</v>
      </c>
      <c r="S99" s="199" t="e">
        <f t="shared" ca="1" si="31"/>
        <v>#VALUE!</v>
      </c>
      <c r="T99" s="199" t="e">
        <f t="shared" ca="1" si="31"/>
        <v>#VALUE!</v>
      </c>
      <c r="U99" s="199" t="e">
        <f t="shared" ca="1" si="31"/>
        <v>#VALUE!</v>
      </c>
      <c r="V99" s="199" t="e">
        <f t="shared" ca="1" si="31"/>
        <v>#VALUE!</v>
      </c>
      <c r="W99" s="199" t="e">
        <f t="shared" ca="1" si="31"/>
        <v>#VALUE!</v>
      </c>
      <c r="X99" s="199" t="e">
        <f t="shared" ca="1" si="31"/>
        <v>#VALUE!</v>
      </c>
      <c r="Y99" s="199" t="e">
        <f t="shared" ca="1" si="31"/>
        <v>#VALUE!</v>
      </c>
      <c r="Z99" s="199" t="e">
        <f t="shared" ca="1" si="31"/>
        <v>#VALUE!</v>
      </c>
      <c r="AA99" s="199" t="e">
        <f t="shared" ca="1" si="31"/>
        <v>#VALUE!</v>
      </c>
      <c r="AB99" s="199" t="e">
        <f t="shared" ca="1" si="31"/>
        <v>#VALUE!</v>
      </c>
      <c r="AC99" s="199" t="e">
        <f t="shared" ca="1" si="31"/>
        <v>#VALUE!</v>
      </c>
      <c r="AD99" s="199" t="e">
        <f t="shared" ca="1" si="31"/>
        <v>#VALUE!</v>
      </c>
      <c r="AE99" s="199" t="e">
        <f t="shared" ca="1" si="31"/>
        <v>#VALUE!</v>
      </c>
      <c r="AF99" s="199" t="e">
        <f t="shared" ca="1" si="31"/>
        <v>#VALUE!</v>
      </c>
      <c r="AG99" s="199" t="e">
        <f t="shared" ca="1" si="31"/>
        <v>#VALUE!</v>
      </c>
      <c r="AH99" s="199" t="e">
        <f t="shared" ca="1" si="31"/>
        <v>#VALUE!</v>
      </c>
      <c r="AI99" s="199" t="e">
        <f t="shared" ca="1" si="30"/>
        <v>#VALUE!</v>
      </c>
      <c r="AJ99" s="199" t="e">
        <f t="shared" ca="1" si="30"/>
        <v>#VALUE!</v>
      </c>
      <c r="AK99" s="199" t="e">
        <f t="shared" ca="1" si="30"/>
        <v>#VALUE!</v>
      </c>
      <c r="AL99" s="199" t="e">
        <f t="shared" ca="1" si="30"/>
        <v>#VALUE!</v>
      </c>
      <c r="AM99" s="199" t="e">
        <f t="shared" ca="1" si="30"/>
        <v>#VALUE!</v>
      </c>
      <c r="AN99" s="199" t="e">
        <f t="shared" ca="1" si="30"/>
        <v>#VALUE!</v>
      </c>
      <c r="AO99" s="199" t="e">
        <f t="shared" ca="1" si="30"/>
        <v>#VALUE!</v>
      </c>
      <c r="AP99" s="199" t="e">
        <f t="shared" ca="1" si="30"/>
        <v>#VALUE!</v>
      </c>
    </row>
    <row r="100" spans="1:42">
      <c r="A100" s="61" t="str">
        <f>'[4]TS BYDem'!A39</f>
        <v>*</v>
      </c>
      <c r="B100" s="199" t="s">
        <v>288</v>
      </c>
      <c r="C100" s="199" t="s">
        <v>137</v>
      </c>
      <c r="D100" s="199" t="str">
        <f>'[4]TS BYDem'!D39</f>
        <v>IFAE</v>
      </c>
      <c r="E100" s="199" t="s">
        <v>137</v>
      </c>
      <c r="F100" s="199" t="s">
        <v>137</v>
      </c>
      <c r="G100" s="199" t="s">
        <v>137</v>
      </c>
      <c r="H100" s="199" t="s">
        <v>137</v>
      </c>
      <c r="I100" s="199">
        <v>0</v>
      </c>
      <c r="J100" s="199" t="str">
        <f>INDEX('[4]TS BYDem'!$J$10:$J$203,MATCH(D100,'[4]TS BYDem'!$D$10:$D$203,0))</f>
        <v/>
      </c>
      <c r="K100" s="199" t="e">
        <f t="shared" ca="1" si="31"/>
        <v>#VALUE!</v>
      </c>
      <c r="L100" s="199" t="e">
        <f t="shared" ca="1" si="31"/>
        <v>#VALUE!</v>
      </c>
      <c r="M100" s="199" t="e">
        <f t="shared" ca="1" si="31"/>
        <v>#VALUE!</v>
      </c>
      <c r="N100" s="199" t="e">
        <f t="shared" ca="1" si="31"/>
        <v>#VALUE!</v>
      </c>
      <c r="O100" s="199" t="e">
        <f t="shared" ca="1" si="31"/>
        <v>#VALUE!</v>
      </c>
      <c r="P100" s="199" t="e">
        <f t="shared" ca="1" si="31"/>
        <v>#VALUE!</v>
      </c>
      <c r="Q100" s="199" t="e">
        <f t="shared" ca="1" si="31"/>
        <v>#VALUE!</v>
      </c>
      <c r="R100" s="199" t="e">
        <f t="shared" ca="1" si="31"/>
        <v>#VALUE!</v>
      </c>
      <c r="S100" s="199" t="e">
        <f t="shared" ca="1" si="31"/>
        <v>#VALUE!</v>
      </c>
      <c r="T100" s="199" t="e">
        <f t="shared" ca="1" si="31"/>
        <v>#VALUE!</v>
      </c>
      <c r="U100" s="199" t="e">
        <f t="shared" ca="1" si="31"/>
        <v>#VALUE!</v>
      </c>
      <c r="V100" s="199" t="e">
        <f t="shared" ca="1" si="31"/>
        <v>#VALUE!</v>
      </c>
      <c r="W100" s="199" t="e">
        <f t="shared" ca="1" si="31"/>
        <v>#VALUE!</v>
      </c>
      <c r="X100" s="199" t="e">
        <f t="shared" ca="1" si="31"/>
        <v>#VALUE!</v>
      </c>
      <c r="Y100" s="199" t="e">
        <f t="shared" ca="1" si="31"/>
        <v>#VALUE!</v>
      </c>
      <c r="Z100" s="199" t="e">
        <f t="shared" ca="1" si="31"/>
        <v>#VALUE!</v>
      </c>
      <c r="AA100" s="199" t="e">
        <f t="shared" ca="1" si="31"/>
        <v>#VALUE!</v>
      </c>
      <c r="AB100" s="199" t="e">
        <f t="shared" ca="1" si="31"/>
        <v>#VALUE!</v>
      </c>
      <c r="AC100" s="199" t="e">
        <f t="shared" ca="1" si="31"/>
        <v>#VALUE!</v>
      </c>
      <c r="AD100" s="199" t="e">
        <f t="shared" ca="1" si="31"/>
        <v>#VALUE!</v>
      </c>
      <c r="AE100" s="199" t="e">
        <f t="shared" ca="1" si="31"/>
        <v>#VALUE!</v>
      </c>
      <c r="AF100" s="199" t="e">
        <f t="shared" ca="1" si="31"/>
        <v>#VALUE!</v>
      </c>
      <c r="AG100" s="199" t="e">
        <f t="shared" ca="1" si="31"/>
        <v>#VALUE!</v>
      </c>
      <c r="AH100" s="199" t="e">
        <f t="shared" ca="1" si="31"/>
        <v>#VALUE!</v>
      </c>
      <c r="AI100" s="199" t="e">
        <f t="shared" ca="1" si="30"/>
        <v>#VALUE!</v>
      </c>
      <c r="AJ100" s="199" t="e">
        <f t="shared" ca="1" si="30"/>
        <v>#VALUE!</v>
      </c>
      <c r="AK100" s="199" t="e">
        <f t="shared" ca="1" si="30"/>
        <v>#VALUE!</v>
      </c>
      <c r="AL100" s="199" t="e">
        <f t="shared" ca="1" si="30"/>
        <v>#VALUE!</v>
      </c>
      <c r="AM100" s="199" t="e">
        <f t="shared" ca="1" si="30"/>
        <v>#VALUE!</v>
      </c>
      <c r="AN100" s="199" t="e">
        <f t="shared" ca="1" si="30"/>
        <v>#VALUE!</v>
      </c>
      <c r="AO100" s="199" t="e">
        <f t="shared" ca="1" si="30"/>
        <v>#VALUE!</v>
      </c>
      <c r="AP100" s="199" t="e">
        <f t="shared" ca="1" si="30"/>
        <v>#VALUE!</v>
      </c>
    </row>
    <row r="101" spans="1:42">
      <c r="A101" s="61" t="str">
        <f>'[4]TS BYDem'!A40</f>
        <v>*</v>
      </c>
      <c r="B101" s="199" t="s">
        <v>288</v>
      </c>
      <c r="C101" s="199" t="s">
        <v>137</v>
      </c>
      <c r="D101" s="199">
        <f>'[4]TS BYDem'!D40</f>
        <v>0</v>
      </c>
      <c r="E101" s="199" t="s">
        <v>137</v>
      </c>
      <c r="F101" s="199" t="s">
        <v>137</v>
      </c>
      <c r="G101" s="199" t="s">
        <v>137</v>
      </c>
      <c r="H101" s="199" t="s">
        <v>137</v>
      </c>
      <c r="I101" s="199">
        <v>0</v>
      </c>
      <c r="J101" s="199" t="str">
        <f>INDEX('[4]TS BYDem'!$J$10:$J$203,MATCH(D101,'[4]TS BYDem'!$D$10:$D$203,0))</f>
        <v/>
      </c>
      <c r="K101" s="199" t="e">
        <f t="shared" ca="1" si="31"/>
        <v>#VALUE!</v>
      </c>
      <c r="L101" s="199" t="e">
        <f t="shared" ca="1" si="31"/>
        <v>#VALUE!</v>
      </c>
      <c r="M101" s="199" t="e">
        <f t="shared" ca="1" si="31"/>
        <v>#VALUE!</v>
      </c>
      <c r="N101" s="199" t="e">
        <f t="shared" ca="1" si="31"/>
        <v>#VALUE!</v>
      </c>
      <c r="O101" s="199" t="e">
        <f t="shared" ca="1" si="31"/>
        <v>#VALUE!</v>
      </c>
      <c r="P101" s="199" t="e">
        <f t="shared" ca="1" si="31"/>
        <v>#VALUE!</v>
      </c>
      <c r="Q101" s="199" t="e">
        <f t="shared" ca="1" si="31"/>
        <v>#VALUE!</v>
      </c>
      <c r="R101" s="199" t="e">
        <f t="shared" ca="1" si="31"/>
        <v>#VALUE!</v>
      </c>
      <c r="S101" s="199" t="e">
        <f t="shared" ca="1" si="31"/>
        <v>#VALUE!</v>
      </c>
      <c r="T101" s="199" t="e">
        <f t="shared" ca="1" si="31"/>
        <v>#VALUE!</v>
      </c>
      <c r="U101" s="199" t="e">
        <f t="shared" ca="1" si="31"/>
        <v>#VALUE!</v>
      </c>
      <c r="V101" s="199" t="e">
        <f t="shared" ca="1" si="31"/>
        <v>#VALUE!</v>
      </c>
      <c r="W101" s="199" t="e">
        <f t="shared" ca="1" si="31"/>
        <v>#VALUE!</v>
      </c>
      <c r="X101" s="199" t="e">
        <f t="shared" ca="1" si="31"/>
        <v>#VALUE!</v>
      </c>
      <c r="Y101" s="199" t="e">
        <f t="shared" ca="1" si="31"/>
        <v>#VALUE!</v>
      </c>
      <c r="Z101" s="199" t="e">
        <f t="shared" ca="1" si="31"/>
        <v>#VALUE!</v>
      </c>
      <c r="AA101" s="199" t="e">
        <f t="shared" ca="1" si="31"/>
        <v>#VALUE!</v>
      </c>
      <c r="AB101" s="199" t="e">
        <f t="shared" ca="1" si="31"/>
        <v>#VALUE!</v>
      </c>
      <c r="AC101" s="199" t="e">
        <f t="shared" ca="1" si="31"/>
        <v>#VALUE!</v>
      </c>
      <c r="AD101" s="199" t="e">
        <f t="shared" ca="1" si="31"/>
        <v>#VALUE!</v>
      </c>
      <c r="AE101" s="199" t="e">
        <f t="shared" ca="1" si="31"/>
        <v>#VALUE!</v>
      </c>
      <c r="AF101" s="199" t="e">
        <f t="shared" ca="1" si="31"/>
        <v>#VALUE!</v>
      </c>
      <c r="AG101" s="199" t="e">
        <f t="shared" ca="1" si="31"/>
        <v>#VALUE!</v>
      </c>
      <c r="AH101" s="199" t="e">
        <f t="shared" ca="1" si="31"/>
        <v>#VALUE!</v>
      </c>
      <c r="AI101" s="199" t="e">
        <f t="shared" ca="1" si="30"/>
        <v>#VALUE!</v>
      </c>
      <c r="AJ101" s="199" t="e">
        <f t="shared" ca="1" si="30"/>
        <v>#VALUE!</v>
      </c>
      <c r="AK101" s="199" t="e">
        <f t="shared" ca="1" si="30"/>
        <v>#VALUE!</v>
      </c>
      <c r="AL101" s="199" t="e">
        <f t="shared" ca="1" si="30"/>
        <v>#VALUE!</v>
      </c>
      <c r="AM101" s="199" t="e">
        <f t="shared" ca="1" si="30"/>
        <v>#VALUE!</v>
      </c>
      <c r="AN101" s="199" t="e">
        <f t="shared" ca="1" si="30"/>
        <v>#VALUE!</v>
      </c>
      <c r="AO101" s="199" t="e">
        <f t="shared" ca="1" si="30"/>
        <v>#VALUE!</v>
      </c>
      <c r="AP101" s="199" t="e">
        <f t="shared" ca="1" si="30"/>
        <v>#VALUE!</v>
      </c>
    </row>
    <row r="102" spans="1:42">
      <c r="A102" s="61" t="str">
        <f>'[4]TS BYDem'!A41</f>
        <v>*</v>
      </c>
      <c r="B102" s="199" t="s">
        <v>288</v>
      </c>
      <c r="C102" s="199" t="s">
        <v>137</v>
      </c>
      <c r="D102" s="199" t="str">
        <f>'[4]TS BYDem'!D41</f>
        <v>IFAS</v>
      </c>
      <c r="E102" s="199" t="s">
        <v>137</v>
      </c>
      <c r="F102" s="199" t="s">
        <v>137</v>
      </c>
      <c r="G102" s="199" t="s">
        <v>137</v>
      </c>
      <c r="H102" s="199" t="s">
        <v>137</v>
      </c>
      <c r="I102" s="199">
        <v>0</v>
      </c>
      <c r="J102" s="199" t="str">
        <f>INDEX('[4]TS BYDem'!$J$10:$J$203,MATCH(D102,'[4]TS BYDem'!$D$10:$D$203,0))</f>
        <v/>
      </c>
      <c r="K102" s="199" t="e">
        <f t="shared" ca="1" si="31"/>
        <v>#VALUE!</v>
      </c>
      <c r="L102" s="199" t="e">
        <f t="shared" ca="1" si="31"/>
        <v>#VALUE!</v>
      </c>
      <c r="M102" s="199" t="e">
        <f t="shared" ca="1" si="31"/>
        <v>#VALUE!</v>
      </c>
      <c r="N102" s="199" t="e">
        <f t="shared" ca="1" si="31"/>
        <v>#VALUE!</v>
      </c>
      <c r="O102" s="199" t="e">
        <f t="shared" ca="1" si="31"/>
        <v>#VALUE!</v>
      </c>
      <c r="P102" s="199" t="e">
        <f t="shared" ca="1" si="31"/>
        <v>#VALUE!</v>
      </c>
      <c r="Q102" s="199" t="e">
        <f t="shared" ca="1" si="31"/>
        <v>#VALUE!</v>
      </c>
      <c r="R102" s="199" t="e">
        <f t="shared" ca="1" si="31"/>
        <v>#VALUE!</v>
      </c>
      <c r="S102" s="199" t="e">
        <f t="shared" ca="1" si="31"/>
        <v>#VALUE!</v>
      </c>
      <c r="T102" s="199" t="e">
        <f t="shared" ca="1" si="31"/>
        <v>#VALUE!</v>
      </c>
      <c r="U102" s="199" t="e">
        <f t="shared" ca="1" si="31"/>
        <v>#VALUE!</v>
      </c>
      <c r="V102" s="199" t="e">
        <f t="shared" ca="1" si="31"/>
        <v>#VALUE!</v>
      </c>
      <c r="W102" s="199" t="e">
        <f t="shared" ca="1" si="31"/>
        <v>#VALUE!</v>
      </c>
      <c r="X102" s="199" t="e">
        <f t="shared" ca="1" si="31"/>
        <v>#VALUE!</v>
      </c>
      <c r="Y102" s="199" t="e">
        <f t="shared" ca="1" si="31"/>
        <v>#VALUE!</v>
      </c>
      <c r="Z102" s="199" t="e">
        <f t="shared" ca="1" si="31"/>
        <v>#VALUE!</v>
      </c>
      <c r="AA102" s="199" t="e">
        <f t="shared" ca="1" si="31"/>
        <v>#VALUE!</v>
      </c>
      <c r="AB102" s="199" t="e">
        <f t="shared" ca="1" si="31"/>
        <v>#VALUE!</v>
      </c>
      <c r="AC102" s="199" t="e">
        <f t="shared" ca="1" si="31"/>
        <v>#VALUE!</v>
      </c>
      <c r="AD102" s="199" t="e">
        <f t="shared" ca="1" si="31"/>
        <v>#VALUE!</v>
      </c>
      <c r="AE102" s="199" t="e">
        <f t="shared" ca="1" si="31"/>
        <v>#VALUE!</v>
      </c>
      <c r="AF102" s="199" t="e">
        <f t="shared" ca="1" si="31"/>
        <v>#VALUE!</v>
      </c>
      <c r="AG102" s="199" t="e">
        <f t="shared" ca="1" si="31"/>
        <v>#VALUE!</v>
      </c>
      <c r="AH102" s="199" t="e">
        <f t="shared" ca="1" si="31"/>
        <v>#VALUE!</v>
      </c>
      <c r="AI102" s="199" t="e">
        <f t="shared" ca="1" si="30"/>
        <v>#VALUE!</v>
      </c>
      <c r="AJ102" s="199" t="e">
        <f t="shared" ca="1" si="30"/>
        <v>#VALUE!</v>
      </c>
      <c r="AK102" s="199" t="e">
        <f t="shared" ca="1" si="30"/>
        <v>#VALUE!</v>
      </c>
      <c r="AL102" s="199" t="e">
        <f t="shared" ca="1" si="30"/>
        <v>#VALUE!</v>
      </c>
      <c r="AM102" s="199" t="e">
        <f t="shared" ca="1" si="30"/>
        <v>#VALUE!</v>
      </c>
      <c r="AN102" s="199" t="e">
        <f t="shared" ca="1" si="30"/>
        <v>#VALUE!</v>
      </c>
      <c r="AO102" s="199" t="e">
        <f t="shared" ca="1" si="30"/>
        <v>#VALUE!</v>
      </c>
      <c r="AP102" s="199" t="e">
        <f t="shared" ca="1" si="30"/>
        <v>#VALUE!</v>
      </c>
    </row>
    <row r="103" spans="1:42">
      <c r="A103" s="61" t="str">
        <f>'[4]TS BYDem'!A42</f>
        <v>*</v>
      </c>
      <c r="B103" s="199" t="s">
        <v>288</v>
      </c>
      <c r="C103" s="199" t="s">
        <v>137</v>
      </c>
      <c r="D103" s="199" t="str">
        <f>'[4]TS BYDem'!D42</f>
        <v>IFAS</v>
      </c>
      <c r="E103" s="199" t="s">
        <v>137</v>
      </c>
      <c r="F103" s="199" t="s">
        <v>137</v>
      </c>
      <c r="G103" s="199" t="s">
        <v>137</v>
      </c>
      <c r="H103" s="199" t="s">
        <v>137</v>
      </c>
      <c r="I103" s="199">
        <v>0</v>
      </c>
      <c r="J103" s="199" t="str">
        <f>INDEX('[4]TS BYDem'!$J$10:$J$203,MATCH(D103,'[4]TS BYDem'!$D$10:$D$203,0))</f>
        <v/>
      </c>
      <c r="K103" s="199" t="e">
        <f t="shared" ca="1" si="31"/>
        <v>#VALUE!</v>
      </c>
      <c r="L103" s="199" t="e">
        <f t="shared" ca="1" si="31"/>
        <v>#VALUE!</v>
      </c>
      <c r="M103" s="199" t="e">
        <f t="shared" ca="1" si="31"/>
        <v>#VALUE!</v>
      </c>
      <c r="N103" s="199" t="e">
        <f t="shared" ca="1" si="31"/>
        <v>#VALUE!</v>
      </c>
      <c r="O103" s="199" t="e">
        <f t="shared" ca="1" si="31"/>
        <v>#VALUE!</v>
      </c>
      <c r="P103" s="199" t="e">
        <f t="shared" ca="1" si="31"/>
        <v>#VALUE!</v>
      </c>
      <c r="Q103" s="199" t="e">
        <f t="shared" ca="1" si="31"/>
        <v>#VALUE!</v>
      </c>
      <c r="R103" s="199" t="e">
        <f t="shared" ca="1" si="31"/>
        <v>#VALUE!</v>
      </c>
      <c r="S103" s="199" t="e">
        <f t="shared" ca="1" si="31"/>
        <v>#VALUE!</v>
      </c>
      <c r="T103" s="199" t="e">
        <f t="shared" ca="1" si="31"/>
        <v>#VALUE!</v>
      </c>
      <c r="U103" s="199" t="e">
        <f t="shared" ca="1" si="31"/>
        <v>#VALUE!</v>
      </c>
      <c r="V103" s="199" t="e">
        <f t="shared" ca="1" si="31"/>
        <v>#VALUE!</v>
      </c>
      <c r="W103" s="199" t="e">
        <f t="shared" ca="1" si="31"/>
        <v>#VALUE!</v>
      </c>
      <c r="X103" s="199" t="e">
        <f t="shared" ca="1" si="31"/>
        <v>#VALUE!</v>
      </c>
      <c r="Y103" s="199" t="e">
        <f t="shared" ca="1" si="31"/>
        <v>#VALUE!</v>
      </c>
      <c r="Z103" s="199" t="e">
        <f t="shared" ref="Z103:AO111" ca="1" si="32">Z$91/Y$91*Y103</f>
        <v>#VALUE!</v>
      </c>
      <c r="AA103" s="199" t="e">
        <f t="shared" ca="1" si="32"/>
        <v>#VALUE!</v>
      </c>
      <c r="AB103" s="199" t="e">
        <f t="shared" ca="1" si="32"/>
        <v>#VALUE!</v>
      </c>
      <c r="AC103" s="199" t="e">
        <f t="shared" ca="1" si="32"/>
        <v>#VALUE!</v>
      </c>
      <c r="AD103" s="199" t="e">
        <f t="shared" ca="1" si="32"/>
        <v>#VALUE!</v>
      </c>
      <c r="AE103" s="199" t="e">
        <f t="shared" ca="1" si="32"/>
        <v>#VALUE!</v>
      </c>
      <c r="AF103" s="199" t="e">
        <f t="shared" ca="1" si="32"/>
        <v>#VALUE!</v>
      </c>
      <c r="AG103" s="199" t="e">
        <f t="shared" ca="1" si="32"/>
        <v>#VALUE!</v>
      </c>
      <c r="AH103" s="199" t="e">
        <f t="shared" ca="1" si="32"/>
        <v>#VALUE!</v>
      </c>
      <c r="AI103" s="199" t="e">
        <f t="shared" ca="1" si="30"/>
        <v>#VALUE!</v>
      </c>
      <c r="AJ103" s="199" t="e">
        <f t="shared" ca="1" si="30"/>
        <v>#VALUE!</v>
      </c>
      <c r="AK103" s="199" t="e">
        <f t="shared" ca="1" si="30"/>
        <v>#VALUE!</v>
      </c>
      <c r="AL103" s="199" t="e">
        <f t="shared" ca="1" si="30"/>
        <v>#VALUE!</v>
      </c>
      <c r="AM103" s="199" t="e">
        <f t="shared" ca="1" si="30"/>
        <v>#VALUE!</v>
      </c>
      <c r="AN103" s="199" t="e">
        <f t="shared" ca="1" si="30"/>
        <v>#VALUE!</v>
      </c>
      <c r="AO103" s="199" t="e">
        <f t="shared" ca="1" si="30"/>
        <v>#VALUE!</v>
      </c>
      <c r="AP103" s="199" t="e">
        <f t="shared" ca="1" si="30"/>
        <v>#VALUE!</v>
      </c>
    </row>
    <row r="104" spans="1:42">
      <c r="A104" s="61" t="str">
        <f>'[4]TS BYDem'!A43</f>
        <v>*</v>
      </c>
      <c r="B104" s="199" t="s">
        <v>288</v>
      </c>
      <c r="C104" s="199" t="s">
        <v>137</v>
      </c>
      <c r="D104" s="199" t="str">
        <f>'[4]TS BYDem'!D43</f>
        <v>IFAS</v>
      </c>
      <c r="E104" s="199" t="s">
        <v>137</v>
      </c>
      <c r="F104" s="199" t="s">
        <v>137</v>
      </c>
      <c r="G104" s="199" t="s">
        <v>137</v>
      </c>
      <c r="H104" s="199" t="s">
        <v>137</v>
      </c>
      <c r="I104" s="199">
        <v>0</v>
      </c>
      <c r="J104" s="199" t="str">
        <f>INDEX('[4]TS BYDem'!$J$10:$J$203,MATCH(D104,'[4]TS BYDem'!$D$10:$D$203,0))</f>
        <v/>
      </c>
      <c r="K104" s="199" t="e">
        <f t="shared" ref="K104:Y111" ca="1" si="33">K$91/J$91*J104</f>
        <v>#VALUE!</v>
      </c>
      <c r="L104" s="199" t="e">
        <f t="shared" ca="1" si="33"/>
        <v>#VALUE!</v>
      </c>
      <c r="M104" s="199" t="e">
        <f t="shared" ca="1" si="33"/>
        <v>#VALUE!</v>
      </c>
      <c r="N104" s="199" t="e">
        <f t="shared" ca="1" si="33"/>
        <v>#VALUE!</v>
      </c>
      <c r="O104" s="199" t="e">
        <f t="shared" ca="1" si="33"/>
        <v>#VALUE!</v>
      </c>
      <c r="P104" s="199" t="e">
        <f t="shared" ca="1" si="33"/>
        <v>#VALUE!</v>
      </c>
      <c r="Q104" s="199" t="e">
        <f t="shared" ca="1" si="33"/>
        <v>#VALUE!</v>
      </c>
      <c r="R104" s="199" t="e">
        <f t="shared" ca="1" si="33"/>
        <v>#VALUE!</v>
      </c>
      <c r="S104" s="199" t="e">
        <f t="shared" ca="1" si="33"/>
        <v>#VALUE!</v>
      </c>
      <c r="T104" s="199" t="e">
        <f t="shared" ca="1" si="33"/>
        <v>#VALUE!</v>
      </c>
      <c r="U104" s="199" t="e">
        <f t="shared" ca="1" si="33"/>
        <v>#VALUE!</v>
      </c>
      <c r="V104" s="199" t="e">
        <f t="shared" ca="1" si="33"/>
        <v>#VALUE!</v>
      </c>
      <c r="W104" s="199" t="e">
        <f t="shared" ca="1" si="33"/>
        <v>#VALUE!</v>
      </c>
      <c r="X104" s="199" t="e">
        <f t="shared" ca="1" si="33"/>
        <v>#VALUE!</v>
      </c>
      <c r="Y104" s="199" t="e">
        <f t="shared" ca="1" si="33"/>
        <v>#VALUE!</v>
      </c>
      <c r="Z104" s="199" t="e">
        <f t="shared" ca="1" si="32"/>
        <v>#VALUE!</v>
      </c>
      <c r="AA104" s="199" t="e">
        <f t="shared" ca="1" si="32"/>
        <v>#VALUE!</v>
      </c>
      <c r="AB104" s="199" t="e">
        <f t="shared" ca="1" si="32"/>
        <v>#VALUE!</v>
      </c>
      <c r="AC104" s="199" t="e">
        <f t="shared" ca="1" si="32"/>
        <v>#VALUE!</v>
      </c>
      <c r="AD104" s="199" t="e">
        <f t="shared" ca="1" si="32"/>
        <v>#VALUE!</v>
      </c>
      <c r="AE104" s="199" t="e">
        <f t="shared" ca="1" si="32"/>
        <v>#VALUE!</v>
      </c>
      <c r="AF104" s="199" t="e">
        <f t="shared" ca="1" si="32"/>
        <v>#VALUE!</v>
      </c>
      <c r="AG104" s="199" t="e">
        <f t="shared" ca="1" si="32"/>
        <v>#VALUE!</v>
      </c>
      <c r="AH104" s="199" t="e">
        <f t="shared" ca="1" si="32"/>
        <v>#VALUE!</v>
      </c>
      <c r="AI104" s="199" t="e">
        <f t="shared" ca="1" si="30"/>
        <v>#VALUE!</v>
      </c>
      <c r="AJ104" s="199" t="e">
        <f t="shared" ca="1" si="30"/>
        <v>#VALUE!</v>
      </c>
      <c r="AK104" s="199" t="e">
        <f t="shared" ca="1" si="30"/>
        <v>#VALUE!</v>
      </c>
      <c r="AL104" s="199" t="e">
        <f t="shared" ca="1" si="30"/>
        <v>#VALUE!</v>
      </c>
      <c r="AM104" s="199" t="e">
        <f t="shared" ca="1" si="30"/>
        <v>#VALUE!</v>
      </c>
      <c r="AN104" s="199" t="e">
        <f t="shared" ca="1" si="30"/>
        <v>#VALUE!</v>
      </c>
      <c r="AO104" s="199" t="e">
        <f t="shared" ca="1" si="30"/>
        <v>#VALUE!</v>
      </c>
      <c r="AP104" s="199" t="e">
        <f t="shared" ca="1" si="30"/>
        <v>#VALUE!</v>
      </c>
    </row>
    <row r="105" spans="1:42">
      <c r="A105" s="61" t="str">
        <f>'[4]TS BYDem'!A44</f>
        <v>*</v>
      </c>
      <c r="B105" s="199" t="s">
        <v>288</v>
      </c>
      <c r="C105" s="199" t="s">
        <v>137</v>
      </c>
      <c r="D105" s="199" t="str">
        <f>'[4]TS BYDem'!D44</f>
        <v>IFAS</v>
      </c>
      <c r="E105" s="199" t="s">
        <v>137</v>
      </c>
      <c r="F105" s="199" t="s">
        <v>137</v>
      </c>
      <c r="G105" s="199" t="s">
        <v>137</v>
      </c>
      <c r="H105" s="199" t="s">
        <v>137</v>
      </c>
      <c r="I105" s="199">
        <v>0</v>
      </c>
      <c r="J105" s="199" t="str">
        <f>INDEX('[4]TS BYDem'!$J$10:$J$203,MATCH(D105,'[4]TS BYDem'!$D$10:$D$203,0))</f>
        <v/>
      </c>
      <c r="K105" s="199" t="e">
        <f t="shared" ca="1" si="33"/>
        <v>#VALUE!</v>
      </c>
      <c r="L105" s="199" t="e">
        <f t="shared" ca="1" si="33"/>
        <v>#VALUE!</v>
      </c>
      <c r="M105" s="199" t="e">
        <f t="shared" ca="1" si="33"/>
        <v>#VALUE!</v>
      </c>
      <c r="N105" s="199" t="e">
        <f t="shared" ca="1" si="33"/>
        <v>#VALUE!</v>
      </c>
      <c r="O105" s="199" t="e">
        <f t="shared" ca="1" si="33"/>
        <v>#VALUE!</v>
      </c>
      <c r="P105" s="199" t="e">
        <f t="shared" ca="1" si="33"/>
        <v>#VALUE!</v>
      </c>
      <c r="Q105" s="199" t="e">
        <f t="shared" ca="1" si="33"/>
        <v>#VALUE!</v>
      </c>
      <c r="R105" s="199" t="e">
        <f t="shared" ca="1" si="33"/>
        <v>#VALUE!</v>
      </c>
      <c r="S105" s="199" t="e">
        <f t="shared" ca="1" si="33"/>
        <v>#VALUE!</v>
      </c>
      <c r="T105" s="199" t="e">
        <f t="shared" ca="1" si="33"/>
        <v>#VALUE!</v>
      </c>
      <c r="U105" s="199" t="e">
        <f t="shared" ca="1" si="33"/>
        <v>#VALUE!</v>
      </c>
      <c r="V105" s="199" t="e">
        <f t="shared" ca="1" si="33"/>
        <v>#VALUE!</v>
      </c>
      <c r="W105" s="199" t="e">
        <f t="shared" ca="1" si="33"/>
        <v>#VALUE!</v>
      </c>
      <c r="X105" s="199" t="e">
        <f t="shared" ca="1" si="33"/>
        <v>#VALUE!</v>
      </c>
      <c r="Y105" s="199" t="e">
        <f t="shared" ca="1" si="33"/>
        <v>#VALUE!</v>
      </c>
      <c r="Z105" s="199" t="e">
        <f t="shared" ca="1" si="32"/>
        <v>#VALUE!</v>
      </c>
      <c r="AA105" s="199" t="e">
        <f t="shared" ca="1" si="32"/>
        <v>#VALUE!</v>
      </c>
      <c r="AB105" s="199" t="e">
        <f t="shared" ca="1" si="32"/>
        <v>#VALUE!</v>
      </c>
      <c r="AC105" s="199" t="e">
        <f t="shared" ca="1" si="32"/>
        <v>#VALUE!</v>
      </c>
      <c r="AD105" s="199" t="e">
        <f t="shared" ca="1" si="32"/>
        <v>#VALUE!</v>
      </c>
      <c r="AE105" s="199" t="e">
        <f t="shared" ca="1" si="32"/>
        <v>#VALUE!</v>
      </c>
      <c r="AF105" s="199" t="e">
        <f t="shared" ca="1" si="32"/>
        <v>#VALUE!</v>
      </c>
      <c r="AG105" s="199" t="e">
        <f t="shared" ca="1" si="32"/>
        <v>#VALUE!</v>
      </c>
      <c r="AH105" s="199" t="e">
        <f t="shared" ca="1" si="32"/>
        <v>#VALUE!</v>
      </c>
      <c r="AI105" s="199" t="e">
        <f t="shared" ca="1" si="30"/>
        <v>#VALUE!</v>
      </c>
      <c r="AJ105" s="199" t="e">
        <f t="shared" ca="1" si="30"/>
        <v>#VALUE!</v>
      </c>
      <c r="AK105" s="199" t="e">
        <f t="shared" ca="1" si="30"/>
        <v>#VALUE!</v>
      </c>
      <c r="AL105" s="199" t="e">
        <f t="shared" ca="1" si="30"/>
        <v>#VALUE!</v>
      </c>
      <c r="AM105" s="199" t="e">
        <f t="shared" ca="1" si="30"/>
        <v>#VALUE!</v>
      </c>
      <c r="AN105" s="199" t="e">
        <f t="shared" ca="1" si="30"/>
        <v>#VALUE!</v>
      </c>
      <c r="AO105" s="199" t="e">
        <f t="shared" ca="1" si="30"/>
        <v>#VALUE!</v>
      </c>
      <c r="AP105" s="199" t="e">
        <f t="shared" ca="1" si="30"/>
        <v>#VALUE!</v>
      </c>
    </row>
    <row r="106" spans="1:42">
      <c r="A106" s="61" t="str">
        <f>'[4]TS BYDem'!A45</f>
        <v>*</v>
      </c>
      <c r="B106" s="199" t="s">
        <v>288</v>
      </c>
      <c r="C106" s="199" t="s">
        <v>137</v>
      </c>
      <c r="D106" s="199" t="str">
        <f>'[4]TS BYDem'!D45</f>
        <v>IFAS</v>
      </c>
      <c r="E106" s="199" t="s">
        <v>137</v>
      </c>
      <c r="F106" s="199" t="s">
        <v>137</v>
      </c>
      <c r="G106" s="199" t="s">
        <v>137</v>
      </c>
      <c r="H106" s="199" t="s">
        <v>137</v>
      </c>
      <c r="I106" s="199">
        <v>0</v>
      </c>
      <c r="J106" s="199" t="str">
        <f>INDEX('[4]TS BYDem'!$J$10:$J$203,MATCH(D106,'[4]TS BYDem'!$D$10:$D$203,0))</f>
        <v/>
      </c>
      <c r="K106" s="199" t="e">
        <f t="shared" ca="1" si="33"/>
        <v>#VALUE!</v>
      </c>
      <c r="L106" s="199" t="e">
        <f t="shared" ca="1" si="33"/>
        <v>#VALUE!</v>
      </c>
      <c r="M106" s="199" t="e">
        <f t="shared" ca="1" si="33"/>
        <v>#VALUE!</v>
      </c>
      <c r="N106" s="199" t="e">
        <f t="shared" ca="1" si="33"/>
        <v>#VALUE!</v>
      </c>
      <c r="O106" s="199" t="e">
        <f t="shared" ca="1" si="33"/>
        <v>#VALUE!</v>
      </c>
      <c r="P106" s="199" t="e">
        <f t="shared" ca="1" si="33"/>
        <v>#VALUE!</v>
      </c>
      <c r="Q106" s="199" t="e">
        <f t="shared" ca="1" si="33"/>
        <v>#VALUE!</v>
      </c>
      <c r="R106" s="199" t="e">
        <f t="shared" ca="1" si="33"/>
        <v>#VALUE!</v>
      </c>
      <c r="S106" s="199" t="e">
        <f t="shared" ca="1" si="33"/>
        <v>#VALUE!</v>
      </c>
      <c r="T106" s="199" t="e">
        <f t="shared" ca="1" si="33"/>
        <v>#VALUE!</v>
      </c>
      <c r="U106" s="199" t="e">
        <f t="shared" ca="1" si="33"/>
        <v>#VALUE!</v>
      </c>
      <c r="V106" s="199" t="e">
        <f t="shared" ca="1" si="33"/>
        <v>#VALUE!</v>
      </c>
      <c r="W106" s="199" t="e">
        <f t="shared" ca="1" si="33"/>
        <v>#VALUE!</v>
      </c>
      <c r="X106" s="199" t="e">
        <f t="shared" ca="1" si="33"/>
        <v>#VALUE!</v>
      </c>
      <c r="Y106" s="199" t="e">
        <f t="shared" ca="1" si="33"/>
        <v>#VALUE!</v>
      </c>
      <c r="Z106" s="199" t="e">
        <f t="shared" ca="1" si="32"/>
        <v>#VALUE!</v>
      </c>
      <c r="AA106" s="199" t="e">
        <f t="shared" ca="1" si="32"/>
        <v>#VALUE!</v>
      </c>
      <c r="AB106" s="199" t="e">
        <f t="shared" ca="1" si="32"/>
        <v>#VALUE!</v>
      </c>
      <c r="AC106" s="199" t="e">
        <f t="shared" ca="1" si="32"/>
        <v>#VALUE!</v>
      </c>
      <c r="AD106" s="199" t="e">
        <f t="shared" ca="1" si="32"/>
        <v>#VALUE!</v>
      </c>
      <c r="AE106" s="199" t="e">
        <f t="shared" ca="1" si="32"/>
        <v>#VALUE!</v>
      </c>
      <c r="AF106" s="199" t="e">
        <f t="shared" ca="1" si="32"/>
        <v>#VALUE!</v>
      </c>
      <c r="AG106" s="199" t="e">
        <f t="shared" ca="1" si="32"/>
        <v>#VALUE!</v>
      </c>
      <c r="AH106" s="199" t="e">
        <f t="shared" ca="1" si="32"/>
        <v>#VALUE!</v>
      </c>
      <c r="AI106" s="199" t="e">
        <f t="shared" ca="1" si="30"/>
        <v>#VALUE!</v>
      </c>
      <c r="AJ106" s="199" t="e">
        <f t="shared" ca="1" si="30"/>
        <v>#VALUE!</v>
      </c>
      <c r="AK106" s="199" t="e">
        <f t="shared" ca="1" si="30"/>
        <v>#VALUE!</v>
      </c>
      <c r="AL106" s="199" t="e">
        <f t="shared" ca="1" si="30"/>
        <v>#VALUE!</v>
      </c>
      <c r="AM106" s="199" t="e">
        <f t="shared" ca="1" si="30"/>
        <v>#VALUE!</v>
      </c>
      <c r="AN106" s="199" t="e">
        <f t="shared" ca="1" si="30"/>
        <v>#VALUE!</v>
      </c>
      <c r="AO106" s="199" t="e">
        <f t="shared" ca="1" si="30"/>
        <v>#VALUE!</v>
      </c>
      <c r="AP106" s="199" t="e">
        <f t="shared" ca="1" si="30"/>
        <v>#VALUE!</v>
      </c>
    </row>
    <row r="107" spans="1:42">
      <c r="A107" s="61" t="str">
        <f>'[4]TS BYDem'!A46</f>
        <v>*</v>
      </c>
      <c r="B107" s="199" t="s">
        <v>288</v>
      </c>
      <c r="C107" s="199" t="s">
        <v>137</v>
      </c>
      <c r="D107" s="199" t="str">
        <f>'[4]TS BYDem'!D46</f>
        <v>IFAS</v>
      </c>
      <c r="E107" s="199" t="s">
        <v>137</v>
      </c>
      <c r="F107" s="199" t="s">
        <v>137</v>
      </c>
      <c r="G107" s="199" t="s">
        <v>137</v>
      </c>
      <c r="H107" s="199" t="s">
        <v>137</v>
      </c>
      <c r="I107" s="199">
        <v>0</v>
      </c>
      <c r="J107" s="199" t="str">
        <f>INDEX('[4]TS BYDem'!$J$10:$J$203,MATCH(D107,'[4]TS BYDem'!$D$10:$D$203,0))</f>
        <v/>
      </c>
      <c r="K107" s="199" t="e">
        <f t="shared" ca="1" si="33"/>
        <v>#VALUE!</v>
      </c>
      <c r="L107" s="199" t="e">
        <f t="shared" ca="1" si="33"/>
        <v>#VALUE!</v>
      </c>
      <c r="M107" s="199" t="e">
        <f t="shared" ca="1" si="33"/>
        <v>#VALUE!</v>
      </c>
      <c r="N107" s="199" t="e">
        <f t="shared" ca="1" si="33"/>
        <v>#VALUE!</v>
      </c>
      <c r="O107" s="199" t="e">
        <f t="shared" ca="1" si="33"/>
        <v>#VALUE!</v>
      </c>
      <c r="P107" s="199" t="e">
        <f t="shared" ca="1" si="33"/>
        <v>#VALUE!</v>
      </c>
      <c r="Q107" s="199" t="e">
        <f t="shared" ca="1" si="33"/>
        <v>#VALUE!</v>
      </c>
      <c r="R107" s="199" t="e">
        <f t="shared" ca="1" si="33"/>
        <v>#VALUE!</v>
      </c>
      <c r="S107" s="199" t="e">
        <f t="shared" ca="1" si="33"/>
        <v>#VALUE!</v>
      </c>
      <c r="T107" s="199" t="e">
        <f t="shared" ca="1" si="33"/>
        <v>#VALUE!</v>
      </c>
      <c r="U107" s="199" t="e">
        <f t="shared" ca="1" si="33"/>
        <v>#VALUE!</v>
      </c>
      <c r="V107" s="199" t="e">
        <f t="shared" ca="1" si="33"/>
        <v>#VALUE!</v>
      </c>
      <c r="W107" s="199" t="e">
        <f t="shared" ca="1" si="33"/>
        <v>#VALUE!</v>
      </c>
      <c r="X107" s="199" t="e">
        <f t="shared" ca="1" si="33"/>
        <v>#VALUE!</v>
      </c>
      <c r="Y107" s="199" t="e">
        <f t="shared" ca="1" si="33"/>
        <v>#VALUE!</v>
      </c>
      <c r="Z107" s="199" t="e">
        <f t="shared" ca="1" si="32"/>
        <v>#VALUE!</v>
      </c>
      <c r="AA107" s="199" t="e">
        <f t="shared" ca="1" si="32"/>
        <v>#VALUE!</v>
      </c>
      <c r="AB107" s="199" t="e">
        <f t="shared" ca="1" si="32"/>
        <v>#VALUE!</v>
      </c>
      <c r="AC107" s="199" t="e">
        <f t="shared" ca="1" si="32"/>
        <v>#VALUE!</v>
      </c>
      <c r="AD107" s="199" t="e">
        <f t="shared" ca="1" si="32"/>
        <v>#VALUE!</v>
      </c>
      <c r="AE107" s="199" t="e">
        <f t="shared" ca="1" si="32"/>
        <v>#VALUE!</v>
      </c>
      <c r="AF107" s="199" t="e">
        <f t="shared" ca="1" si="32"/>
        <v>#VALUE!</v>
      </c>
      <c r="AG107" s="199" t="e">
        <f t="shared" ca="1" si="32"/>
        <v>#VALUE!</v>
      </c>
      <c r="AH107" s="199" t="e">
        <f t="shared" ca="1" si="32"/>
        <v>#VALUE!</v>
      </c>
      <c r="AI107" s="199" t="e">
        <f t="shared" ca="1" si="30"/>
        <v>#VALUE!</v>
      </c>
      <c r="AJ107" s="199" t="e">
        <f t="shared" ca="1" si="30"/>
        <v>#VALUE!</v>
      </c>
      <c r="AK107" s="199" t="e">
        <f t="shared" ca="1" si="30"/>
        <v>#VALUE!</v>
      </c>
      <c r="AL107" s="199" t="e">
        <f t="shared" ca="1" si="30"/>
        <v>#VALUE!</v>
      </c>
      <c r="AM107" s="199" t="e">
        <f t="shared" ca="1" si="30"/>
        <v>#VALUE!</v>
      </c>
      <c r="AN107" s="199" t="e">
        <f t="shared" ca="1" si="30"/>
        <v>#VALUE!</v>
      </c>
      <c r="AO107" s="199" t="e">
        <f t="shared" ca="1" si="30"/>
        <v>#VALUE!</v>
      </c>
      <c r="AP107" s="199" t="e">
        <f t="shared" ca="1" si="30"/>
        <v>#VALUE!</v>
      </c>
    </row>
    <row r="108" spans="1:42">
      <c r="A108" s="61" t="str">
        <f>'[4]TS BYDem'!A47</f>
        <v>*</v>
      </c>
      <c r="B108" s="199" t="s">
        <v>288</v>
      </c>
      <c r="C108" s="199" t="s">
        <v>137</v>
      </c>
      <c r="D108" s="199">
        <f>'[4]TS BYDem'!D47</f>
        <v>0</v>
      </c>
      <c r="E108" s="199" t="s">
        <v>137</v>
      </c>
      <c r="F108" s="199" t="s">
        <v>137</v>
      </c>
      <c r="G108" s="199" t="s">
        <v>137</v>
      </c>
      <c r="H108" s="199" t="s">
        <v>137</v>
      </c>
      <c r="I108" s="199">
        <v>0</v>
      </c>
      <c r="J108" s="199" t="str">
        <f>INDEX('[4]TS BYDem'!$J$10:$J$203,MATCH(D108,'[4]TS BYDem'!$D$10:$D$203,0))</f>
        <v/>
      </c>
      <c r="K108" s="199" t="e">
        <f t="shared" ca="1" si="33"/>
        <v>#VALUE!</v>
      </c>
      <c r="L108" s="199" t="e">
        <f t="shared" ca="1" si="33"/>
        <v>#VALUE!</v>
      </c>
      <c r="M108" s="199" t="e">
        <f t="shared" ca="1" si="33"/>
        <v>#VALUE!</v>
      </c>
      <c r="N108" s="199" t="e">
        <f t="shared" ca="1" si="33"/>
        <v>#VALUE!</v>
      </c>
      <c r="O108" s="199" t="e">
        <f t="shared" ca="1" si="33"/>
        <v>#VALUE!</v>
      </c>
      <c r="P108" s="199" t="e">
        <f t="shared" ca="1" si="33"/>
        <v>#VALUE!</v>
      </c>
      <c r="Q108" s="199" t="e">
        <f t="shared" ca="1" si="33"/>
        <v>#VALUE!</v>
      </c>
      <c r="R108" s="199" t="e">
        <f t="shared" ca="1" si="33"/>
        <v>#VALUE!</v>
      </c>
      <c r="S108" s="199" t="e">
        <f t="shared" ca="1" si="33"/>
        <v>#VALUE!</v>
      </c>
      <c r="T108" s="199" t="e">
        <f t="shared" ca="1" si="33"/>
        <v>#VALUE!</v>
      </c>
      <c r="U108" s="199" t="e">
        <f t="shared" ca="1" si="33"/>
        <v>#VALUE!</v>
      </c>
      <c r="V108" s="199" t="e">
        <f t="shared" ca="1" si="33"/>
        <v>#VALUE!</v>
      </c>
      <c r="W108" s="199" t="e">
        <f t="shared" ca="1" si="33"/>
        <v>#VALUE!</v>
      </c>
      <c r="X108" s="199" t="e">
        <f t="shared" ca="1" si="33"/>
        <v>#VALUE!</v>
      </c>
      <c r="Y108" s="199" t="e">
        <f t="shared" ca="1" si="33"/>
        <v>#VALUE!</v>
      </c>
      <c r="Z108" s="199" t="e">
        <f t="shared" ca="1" si="32"/>
        <v>#VALUE!</v>
      </c>
      <c r="AA108" s="199" t="e">
        <f t="shared" ca="1" si="32"/>
        <v>#VALUE!</v>
      </c>
      <c r="AB108" s="199" t="e">
        <f t="shared" ca="1" si="32"/>
        <v>#VALUE!</v>
      </c>
      <c r="AC108" s="199" t="e">
        <f t="shared" ca="1" si="32"/>
        <v>#VALUE!</v>
      </c>
      <c r="AD108" s="199" t="e">
        <f t="shared" ca="1" si="32"/>
        <v>#VALUE!</v>
      </c>
      <c r="AE108" s="199" t="e">
        <f t="shared" ca="1" si="32"/>
        <v>#VALUE!</v>
      </c>
      <c r="AF108" s="199" t="e">
        <f t="shared" ca="1" si="32"/>
        <v>#VALUE!</v>
      </c>
      <c r="AG108" s="199" t="e">
        <f t="shared" ca="1" si="32"/>
        <v>#VALUE!</v>
      </c>
      <c r="AH108" s="199" t="e">
        <f t="shared" ca="1" si="32"/>
        <v>#VALUE!</v>
      </c>
      <c r="AI108" s="199" t="e">
        <f t="shared" ca="1" si="32"/>
        <v>#VALUE!</v>
      </c>
      <c r="AJ108" s="199" t="e">
        <f t="shared" ca="1" si="32"/>
        <v>#VALUE!</v>
      </c>
      <c r="AK108" s="199" t="e">
        <f t="shared" ca="1" si="32"/>
        <v>#VALUE!</v>
      </c>
      <c r="AL108" s="199" t="e">
        <f t="shared" ca="1" si="32"/>
        <v>#VALUE!</v>
      </c>
      <c r="AM108" s="199" t="e">
        <f t="shared" ca="1" si="32"/>
        <v>#VALUE!</v>
      </c>
      <c r="AN108" s="199" t="e">
        <f t="shared" ca="1" si="32"/>
        <v>#VALUE!</v>
      </c>
      <c r="AO108" s="199" t="e">
        <f t="shared" ca="1" si="32"/>
        <v>#VALUE!</v>
      </c>
      <c r="AP108" s="199" t="e">
        <f t="shared" ref="AP108:AP111" ca="1" si="34">AP$91/AO$91*AO108</f>
        <v>#VALUE!</v>
      </c>
    </row>
    <row r="109" spans="1:42">
      <c r="A109" s="61" t="str">
        <f>'[4]TS BYDem'!A48</f>
        <v>*</v>
      </c>
      <c r="B109" s="199" t="s">
        <v>288</v>
      </c>
      <c r="C109" s="199" t="s">
        <v>137</v>
      </c>
      <c r="D109" s="199" t="str">
        <f>'[4]TS BYDem'!D48</f>
        <v>IFAR</v>
      </c>
      <c r="E109" s="199" t="s">
        <v>137</v>
      </c>
      <c r="F109" s="199" t="s">
        <v>137</v>
      </c>
      <c r="G109" s="199" t="s">
        <v>137</v>
      </c>
      <c r="H109" s="199" t="s">
        <v>137</v>
      </c>
      <c r="I109" s="199">
        <v>0</v>
      </c>
      <c r="J109" s="199" t="str">
        <f>INDEX('[4]TS BYDem'!$J$10:$J$203,MATCH(D109,'[4]TS BYDem'!$D$10:$D$203,0))</f>
        <v/>
      </c>
      <c r="K109" s="199" t="e">
        <f t="shared" ca="1" si="33"/>
        <v>#VALUE!</v>
      </c>
      <c r="L109" s="199" t="e">
        <f t="shared" ca="1" si="33"/>
        <v>#VALUE!</v>
      </c>
      <c r="M109" s="199" t="e">
        <f t="shared" ca="1" si="33"/>
        <v>#VALUE!</v>
      </c>
      <c r="N109" s="199" t="e">
        <f t="shared" ca="1" si="33"/>
        <v>#VALUE!</v>
      </c>
      <c r="O109" s="199" t="e">
        <f t="shared" ca="1" si="33"/>
        <v>#VALUE!</v>
      </c>
      <c r="P109" s="199" t="e">
        <f t="shared" ca="1" si="33"/>
        <v>#VALUE!</v>
      </c>
      <c r="Q109" s="199" t="e">
        <f t="shared" ca="1" si="33"/>
        <v>#VALUE!</v>
      </c>
      <c r="R109" s="199" t="e">
        <f t="shared" ca="1" si="33"/>
        <v>#VALUE!</v>
      </c>
      <c r="S109" s="199" t="e">
        <f t="shared" ca="1" si="33"/>
        <v>#VALUE!</v>
      </c>
      <c r="T109" s="199" t="e">
        <f t="shared" ca="1" si="33"/>
        <v>#VALUE!</v>
      </c>
      <c r="U109" s="199" t="e">
        <f t="shared" ca="1" si="33"/>
        <v>#VALUE!</v>
      </c>
      <c r="V109" s="199" t="e">
        <f t="shared" ca="1" si="33"/>
        <v>#VALUE!</v>
      </c>
      <c r="W109" s="199" t="e">
        <f t="shared" ca="1" si="33"/>
        <v>#VALUE!</v>
      </c>
      <c r="X109" s="199" t="e">
        <f t="shared" ca="1" si="33"/>
        <v>#VALUE!</v>
      </c>
      <c r="Y109" s="199" t="e">
        <f t="shared" ca="1" si="33"/>
        <v>#VALUE!</v>
      </c>
      <c r="Z109" s="199" t="e">
        <f t="shared" ca="1" si="32"/>
        <v>#VALUE!</v>
      </c>
      <c r="AA109" s="199" t="e">
        <f t="shared" ca="1" si="32"/>
        <v>#VALUE!</v>
      </c>
      <c r="AB109" s="199" t="e">
        <f t="shared" ca="1" si="32"/>
        <v>#VALUE!</v>
      </c>
      <c r="AC109" s="199" t="e">
        <f t="shared" ca="1" si="32"/>
        <v>#VALUE!</v>
      </c>
      <c r="AD109" s="199" t="e">
        <f t="shared" ca="1" si="32"/>
        <v>#VALUE!</v>
      </c>
      <c r="AE109" s="199" t="e">
        <f t="shared" ca="1" si="32"/>
        <v>#VALUE!</v>
      </c>
      <c r="AF109" s="199" t="e">
        <f t="shared" ca="1" si="32"/>
        <v>#VALUE!</v>
      </c>
      <c r="AG109" s="199" t="e">
        <f t="shared" ca="1" si="32"/>
        <v>#VALUE!</v>
      </c>
      <c r="AH109" s="199" t="e">
        <f t="shared" ca="1" si="32"/>
        <v>#VALUE!</v>
      </c>
      <c r="AI109" s="199" t="e">
        <f t="shared" ca="1" si="32"/>
        <v>#VALUE!</v>
      </c>
      <c r="AJ109" s="199" t="e">
        <f t="shared" ca="1" si="32"/>
        <v>#VALUE!</v>
      </c>
      <c r="AK109" s="199" t="e">
        <f t="shared" ca="1" si="32"/>
        <v>#VALUE!</v>
      </c>
      <c r="AL109" s="199" t="e">
        <f t="shared" ca="1" si="32"/>
        <v>#VALUE!</v>
      </c>
      <c r="AM109" s="199" t="e">
        <f t="shared" ca="1" si="32"/>
        <v>#VALUE!</v>
      </c>
      <c r="AN109" s="199" t="e">
        <f t="shared" ca="1" si="32"/>
        <v>#VALUE!</v>
      </c>
      <c r="AO109" s="199" t="e">
        <f t="shared" ca="1" si="32"/>
        <v>#VALUE!</v>
      </c>
      <c r="AP109" s="199" t="e">
        <f t="shared" ca="1" si="34"/>
        <v>#VALUE!</v>
      </c>
    </row>
    <row r="110" spans="1:42">
      <c r="A110" s="61" t="str">
        <f>'[4]TS BYDem'!A49</f>
        <v>*</v>
      </c>
      <c r="B110" s="199" t="s">
        <v>288</v>
      </c>
      <c r="C110" s="199" t="s">
        <v>137</v>
      </c>
      <c r="D110" s="199" t="str">
        <f>'[4]TS BYDem'!D49</f>
        <v>Useful Energy Service</v>
      </c>
      <c r="E110" s="199" t="s">
        <v>137</v>
      </c>
      <c r="F110" s="199" t="s">
        <v>137</v>
      </c>
      <c r="G110" s="199" t="s">
        <v>137</v>
      </c>
      <c r="H110" s="199" t="s">
        <v>137</v>
      </c>
      <c r="I110" s="199">
        <v>0</v>
      </c>
      <c r="J110" s="199" t="str">
        <f>INDEX('[4]TS BYDem'!$J$10:$J$203,MATCH(D110,'[4]TS BYDem'!$D$10:$D$203,0))</f>
        <v/>
      </c>
      <c r="K110" s="199" t="e">
        <f t="shared" ca="1" si="33"/>
        <v>#VALUE!</v>
      </c>
      <c r="L110" s="199" t="e">
        <f t="shared" ca="1" si="33"/>
        <v>#VALUE!</v>
      </c>
      <c r="M110" s="199" t="e">
        <f t="shared" ca="1" si="33"/>
        <v>#VALUE!</v>
      </c>
      <c r="N110" s="199" t="e">
        <f t="shared" ca="1" si="33"/>
        <v>#VALUE!</v>
      </c>
      <c r="O110" s="199" t="e">
        <f t="shared" ca="1" si="33"/>
        <v>#VALUE!</v>
      </c>
      <c r="P110" s="199" t="e">
        <f t="shared" ca="1" si="33"/>
        <v>#VALUE!</v>
      </c>
      <c r="Q110" s="199" t="e">
        <f t="shared" ca="1" si="33"/>
        <v>#VALUE!</v>
      </c>
      <c r="R110" s="199" t="e">
        <f t="shared" ca="1" si="33"/>
        <v>#VALUE!</v>
      </c>
      <c r="S110" s="199" t="e">
        <f t="shared" ca="1" si="33"/>
        <v>#VALUE!</v>
      </c>
      <c r="T110" s="199" t="e">
        <f t="shared" ca="1" si="33"/>
        <v>#VALUE!</v>
      </c>
      <c r="U110" s="199" t="e">
        <f t="shared" ca="1" si="33"/>
        <v>#VALUE!</v>
      </c>
      <c r="V110" s="199" t="e">
        <f t="shared" ca="1" si="33"/>
        <v>#VALUE!</v>
      </c>
      <c r="W110" s="199" t="e">
        <f t="shared" ca="1" si="33"/>
        <v>#VALUE!</v>
      </c>
      <c r="X110" s="199" t="e">
        <f t="shared" ca="1" si="33"/>
        <v>#VALUE!</v>
      </c>
      <c r="Y110" s="199" t="e">
        <f t="shared" ca="1" si="33"/>
        <v>#VALUE!</v>
      </c>
      <c r="Z110" s="199" t="e">
        <f t="shared" ca="1" si="32"/>
        <v>#VALUE!</v>
      </c>
      <c r="AA110" s="199" t="e">
        <f t="shared" ca="1" si="32"/>
        <v>#VALUE!</v>
      </c>
      <c r="AB110" s="199" t="e">
        <f t="shared" ca="1" si="32"/>
        <v>#VALUE!</v>
      </c>
      <c r="AC110" s="199" t="e">
        <f t="shared" ca="1" si="32"/>
        <v>#VALUE!</v>
      </c>
      <c r="AD110" s="199" t="e">
        <f t="shared" ca="1" si="32"/>
        <v>#VALUE!</v>
      </c>
      <c r="AE110" s="199" t="e">
        <f t="shared" ca="1" si="32"/>
        <v>#VALUE!</v>
      </c>
      <c r="AF110" s="199" t="e">
        <f t="shared" ca="1" si="32"/>
        <v>#VALUE!</v>
      </c>
      <c r="AG110" s="199" t="e">
        <f t="shared" ca="1" si="32"/>
        <v>#VALUE!</v>
      </c>
      <c r="AH110" s="199" t="e">
        <f t="shared" ca="1" si="32"/>
        <v>#VALUE!</v>
      </c>
      <c r="AI110" s="199" t="e">
        <f t="shared" ca="1" si="32"/>
        <v>#VALUE!</v>
      </c>
      <c r="AJ110" s="199" t="e">
        <f t="shared" ca="1" si="32"/>
        <v>#VALUE!</v>
      </c>
      <c r="AK110" s="199" t="e">
        <f t="shared" ca="1" si="32"/>
        <v>#VALUE!</v>
      </c>
      <c r="AL110" s="199" t="e">
        <f t="shared" ca="1" si="32"/>
        <v>#VALUE!</v>
      </c>
      <c r="AM110" s="199" t="e">
        <f t="shared" ca="1" si="32"/>
        <v>#VALUE!</v>
      </c>
      <c r="AN110" s="199" t="e">
        <f t="shared" ca="1" si="32"/>
        <v>#VALUE!</v>
      </c>
      <c r="AO110" s="199" t="e">
        <f t="shared" ca="1" si="32"/>
        <v>#VALUE!</v>
      </c>
      <c r="AP110" s="199" t="e">
        <f t="shared" ca="1" si="34"/>
        <v>#VALUE!</v>
      </c>
    </row>
    <row r="111" spans="1:42">
      <c r="A111" s="61" t="str">
        <f>'[4]TS BYDem'!A50</f>
        <v>*</v>
      </c>
      <c r="B111" s="199" t="s">
        <v>288</v>
      </c>
      <c r="C111" s="199" t="s">
        <v>137</v>
      </c>
      <c r="D111" s="199">
        <f>'[4]TS BYDem'!D50</f>
        <v>0</v>
      </c>
      <c r="E111" s="199" t="s">
        <v>137</v>
      </c>
      <c r="F111" s="199" t="s">
        <v>137</v>
      </c>
      <c r="G111" s="199" t="s">
        <v>137</v>
      </c>
      <c r="H111" s="199" t="s">
        <v>137</v>
      </c>
      <c r="I111" s="199">
        <v>0</v>
      </c>
      <c r="J111" s="199" t="str">
        <f>INDEX('[4]TS BYDem'!$J$10:$J$203,MATCH(D111,'[4]TS BYDem'!$D$10:$D$203,0))</f>
        <v/>
      </c>
      <c r="K111" s="199" t="e">
        <f t="shared" ca="1" si="33"/>
        <v>#VALUE!</v>
      </c>
      <c r="L111" s="199" t="e">
        <f t="shared" ca="1" si="33"/>
        <v>#VALUE!</v>
      </c>
      <c r="M111" s="199" t="e">
        <f t="shared" ca="1" si="33"/>
        <v>#VALUE!</v>
      </c>
      <c r="N111" s="199" t="e">
        <f t="shared" ca="1" si="33"/>
        <v>#VALUE!</v>
      </c>
      <c r="O111" s="199" t="e">
        <f t="shared" ca="1" si="33"/>
        <v>#VALUE!</v>
      </c>
      <c r="P111" s="199" t="e">
        <f t="shared" ca="1" si="33"/>
        <v>#VALUE!</v>
      </c>
      <c r="Q111" s="199" t="e">
        <f t="shared" ca="1" si="33"/>
        <v>#VALUE!</v>
      </c>
      <c r="R111" s="199" t="e">
        <f t="shared" ca="1" si="33"/>
        <v>#VALUE!</v>
      </c>
      <c r="S111" s="199" t="e">
        <f t="shared" ca="1" si="33"/>
        <v>#VALUE!</v>
      </c>
      <c r="T111" s="199" t="e">
        <f t="shared" ca="1" si="33"/>
        <v>#VALUE!</v>
      </c>
      <c r="U111" s="199" t="e">
        <f t="shared" ca="1" si="33"/>
        <v>#VALUE!</v>
      </c>
      <c r="V111" s="199" t="e">
        <f t="shared" ca="1" si="33"/>
        <v>#VALUE!</v>
      </c>
      <c r="W111" s="199" t="e">
        <f t="shared" ca="1" si="33"/>
        <v>#VALUE!</v>
      </c>
      <c r="X111" s="199" t="e">
        <f t="shared" ca="1" si="33"/>
        <v>#VALUE!</v>
      </c>
      <c r="Y111" s="199" t="e">
        <f t="shared" ca="1" si="33"/>
        <v>#VALUE!</v>
      </c>
      <c r="Z111" s="199" t="e">
        <f t="shared" ca="1" si="32"/>
        <v>#VALUE!</v>
      </c>
      <c r="AA111" s="199" t="e">
        <f t="shared" ca="1" si="32"/>
        <v>#VALUE!</v>
      </c>
      <c r="AB111" s="199" t="e">
        <f t="shared" ca="1" si="32"/>
        <v>#VALUE!</v>
      </c>
      <c r="AC111" s="199" t="e">
        <f t="shared" ca="1" si="32"/>
        <v>#VALUE!</v>
      </c>
      <c r="AD111" s="199" t="e">
        <f t="shared" ca="1" si="32"/>
        <v>#VALUE!</v>
      </c>
      <c r="AE111" s="199" t="e">
        <f t="shared" ca="1" si="32"/>
        <v>#VALUE!</v>
      </c>
      <c r="AF111" s="199" t="e">
        <f t="shared" ca="1" si="32"/>
        <v>#VALUE!</v>
      </c>
      <c r="AG111" s="199" t="e">
        <f t="shared" ca="1" si="32"/>
        <v>#VALUE!</v>
      </c>
      <c r="AH111" s="199" t="e">
        <f t="shared" ca="1" si="32"/>
        <v>#VALUE!</v>
      </c>
      <c r="AI111" s="199" t="e">
        <f t="shared" ca="1" si="32"/>
        <v>#VALUE!</v>
      </c>
      <c r="AJ111" s="199" t="e">
        <f t="shared" ca="1" si="32"/>
        <v>#VALUE!</v>
      </c>
      <c r="AK111" s="199" t="e">
        <f t="shared" ca="1" si="32"/>
        <v>#VALUE!</v>
      </c>
      <c r="AL111" s="199" t="e">
        <f t="shared" ca="1" si="32"/>
        <v>#VALUE!</v>
      </c>
      <c r="AM111" s="199" t="e">
        <f t="shared" ca="1" si="32"/>
        <v>#VALUE!</v>
      </c>
      <c r="AN111" s="199" t="e">
        <f t="shared" ca="1" si="32"/>
        <v>#VALUE!</v>
      </c>
      <c r="AO111" s="199" t="e">
        <f t="shared" ca="1" si="32"/>
        <v>#VALUE!</v>
      </c>
      <c r="AP111" s="199" t="e">
        <f t="shared" ca="1" si="34"/>
        <v>#VALUE!</v>
      </c>
    </row>
    <row r="112" spans="1:42" s="5" customFormat="1">
      <c r="A112" s="61" t="str">
        <f>'[4]TS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13.76</v>
      </c>
      <c r="L112" s="5">
        <f t="shared" ca="1" si="35"/>
        <v>14.01</v>
      </c>
      <c r="M112" s="5">
        <f t="shared" ca="1" si="35"/>
        <v>14.36</v>
      </c>
      <c r="N112" s="5">
        <f t="shared" ca="1" si="35"/>
        <v>14.42</v>
      </c>
      <c r="O112" s="5">
        <f t="shared" ca="1" si="35"/>
        <v>14.53</v>
      </c>
      <c r="P112" s="5">
        <f t="shared" ca="1" si="35"/>
        <v>14.55</v>
      </c>
      <c r="Q112" s="5">
        <f t="shared" ca="1" si="35"/>
        <v>14.49</v>
      </c>
      <c r="R112" s="5">
        <f t="shared" ca="1" si="35"/>
        <v>12.76</v>
      </c>
      <c r="S112" s="5">
        <f t="shared" ca="1" si="35"/>
        <v>13.3</v>
      </c>
      <c r="T112" s="5">
        <f t="shared" ca="1" si="35"/>
        <v>13.7</v>
      </c>
      <c r="U112" s="5">
        <f t="shared" ca="1" si="35"/>
        <v>14.11</v>
      </c>
      <c r="V112" s="5">
        <f t="shared" ca="1" si="35"/>
        <v>14.59</v>
      </c>
      <c r="W112" s="5">
        <f t="shared" ca="1" si="35"/>
        <v>15.11</v>
      </c>
      <c r="X112" s="5">
        <f t="shared" ca="1" si="35"/>
        <v>15.67</v>
      </c>
      <c r="Y112" s="5">
        <f t="shared" ca="1" si="35"/>
        <v>16.27</v>
      </c>
      <c r="Z112" s="5">
        <f t="shared" ca="1" si="35"/>
        <v>16.899999999999999</v>
      </c>
      <c r="AA112" s="5">
        <f t="shared" ca="1" si="35"/>
        <v>17.61</v>
      </c>
      <c r="AB112" s="5">
        <f t="shared" ca="1" si="35"/>
        <v>18.34</v>
      </c>
      <c r="AC112" s="5">
        <f t="shared" ca="1" si="35"/>
        <v>19.02</v>
      </c>
      <c r="AD112" s="5">
        <f t="shared" ca="1" si="35"/>
        <v>19.72</v>
      </c>
      <c r="AE112" s="5">
        <f t="shared" ca="1" si="35"/>
        <v>20.45</v>
      </c>
      <c r="AF112" s="5">
        <f t="shared" ca="1" si="35"/>
        <v>21.19</v>
      </c>
      <c r="AG112" s="5">
        <f t="shared" ca="1" si="35"/>
        <v>21.89</v>
      </c>
      <c r="AH112" s="5">
        <f t="shared" ca="1" si="35"/>
        <v>22.58</v>
      </c>
      <c r="AI112" s="5">
        <f t="shared" ca="1" si="35"/>
        <v>23.26</v>
      </c>
      <c r="AJ112" s="5">
        <f t="shared" ca="1" si="35"/>
        <v>24.08</v>
      </c>
      <c r="AK112" s="5">
        <f t="shared" ca="1" si="35"/>
        <v>24.94</v>
      </c>
      <c r="AL112" s="5">
        <f t="shared" ca="1" si="35"/>
        <v>25.83</v>
      </c>
      <c r="AM112" s="5">
        <f t="shared" ca="1" si="35"/>
        <v>32.130000000000003</v>
      </c>
      <c r="AN112" s="5">
        <f t="shared" ca="1" si="35"/>
        <v>40.78</v>
      </c>
      <c r="AO112" s="5">
        <f t="shared" ca="1" si="35"/>
        <v>55.338333333333594</v>
      </c>
      <c r="AP112" s="5">
        <f t="shared" ca="1" si="35"/>
        <v>70.288333333333412</v>
      </c>
    </row>
    <row r="113" spans="1:42">
      <c r="A113" s="61" t="str">
        <f>'[4]TS BYDem'!A52</f>
        <v>*</v>
      </c>
      <c r="B113" s="199" t="s">
        <v>288</v>
      </c>
      <c r="C113" s="199" t="s">
        <v>137</v>
      </c>
      <c r="D113" s="199" t="str">
        <f>'[4]TS BYDem'!D52</f>
        <v>IISK</v>
      </c>
      <c r="E113" s="199" t="s">
        <v>137</v>
      </c>
      <c r="F113" s="199" t="s">
        <v>137</v>
      </c>
      <c r="G113" s="199" t="s">
        <v>137</v>
      </c>
      <c r="H113" s="199" t="s">
        <v>137</v>
      </c>
      <c r="I113" s="199">
        <v>0</v>
      </c>
      <c r="J113" s="199" t="str">
        <f>INDEX('[4]TS BYDem'!$J$10:$J$203,MATCH(D113,'[4]TS BYDem'!$D$10:$D$203,0))</f>
        <v/>
      </c>
      <c r="K113" s="199" t="e">
        <f t="shared" ref="K113:Z128" ca="1" si="36">K$112/J$112*J113</f>
        <v>#VALUE!</v>
      </c>
      <c r="L113" s="199" t="e">
        <f t="shared" ca="1" si="36"/>
        <v>#VALUE!</v>
      </c>
      <c r="M113" s="199" t="e">
        <f t="shared" ca="1" si="36"/>
        <v>#VALUE!</v>
      </c>
      <c r="N113" s="199" t="e">
        <f t="shared" ca="1" si="36"/>
        <v>#VALUE!</v>
      </c>
      <c r="O113" s="199" t="e">
        <f t="shared" ca="1" si="36"/>
        <v>#VALUE!</v>
      </c>
      <c r="P113" s="199" t="e">
        <f t="shared" ca="1" si="36"/>
        <v>#VALUE!</v>
      </c>
      <c r="Q113" s="199" t="e">
        <f t="shared" ca="1" si="36"/>
        <v>#VALUE!</v>
      </c>
      <c r="R113" s="199" t="e">
        <f t="shared" ca="1" si="36"/>
        <v>#VALUE!</v>
      </c>
      <c r="S113" s="199" t="e">
        <f t="shared" ca="1" si="36"/>
        <v>#VALUE!</v>
      </c>
      <c r="T113" s="199" t="e">
        <f t="shared" ca="1" si="36"/>
        <v>#VALUE!</v>
      </c>
      <c r="U113" s="199" t="e">
        <f t="shared" ca="1" si="36"/>
        <v>#VALUE!</v>
      </c>
      <c r="V113" s="199" t="e">
        <f t="shared" ca="1" si="36"/>
        <v>#VALUE!</v>
      </c>
      <c r="W113" s="199" t="e">
        <f t="shared" ca="1" si="36"/>
        <v>#VALUE!</v>
      </c>
      <c r="X113" s="199" t="e">
        <f t="shared" ca="1" si="36"/>
        <v>#VALUE!</v>
      </c>
      <c r="Y113" s="199" t="e">
        <f t="shared" ca="1" si="36"/>
        <v>#VALUE!</v>
      </c>
      <c r="Z113" s="199" t="e">
        <f t="shared" ca="1" si="36"/>
        <v>#VALUE!</v>
      </c>
      <c r="AA113" s="199" t="e">
        <f t="shared" ref="AA113:AP128" ca="1" si="37">AA$112/Z$112*Z113</f>
        <v>#VALUE!</v>
      </c>
      <c r="AB113" s="199" t="e">
        <f t="shared" ca="1" si="37"/>
        <v>#VALUE!</v>
      </c>
      <c r="AC113" s="199" t="e">
        <f t="shared" ca="1" si="37"/>
        <v>#VALUE!</v>
      </c>
      <c r="AD113" s="199" t="e">
        <f t="shared" ca="1" si="37"/>
        <v>#VALUE!</v>
      </c>
      <c r="AE113" s="199" t="e">
        <f t="shared" ca="1" si="37"/>
        <v>#VALUE!</v>
      </c>
      <c r="AF113" s="199" t="e">
        <f t="shared" ca="1" si="37"/>
        <v>#VALUE!</v>
      </c>
      <c r="AG113" s="199" t="e">
        <f t="shared" ca="1" si="37"/>
        <v>#VALUE!</v>
      </c>
      <c r="AH113" s="199" t="e">
        <f t="shared" ca="1" si="37"/>
        <v>#VALUE!</v>
      </c>
      <c r="AI113" s="199" t="e">
        <f t="shared" ca="1" si="37"/>
        <v>#VALUE!</v>
      </c>
      <c r="AJ113" s="199" t="e">
        <f t="shared" ca="1" si="37"/>
        <v>#VALUE!</v>
      </c>
      <c r="AK113" s="199" t="e">
        <f t="shared" ca="1" si="37"/>
        <v>#VALUE!</v>
      </c>
      <c r="AL113" s="199" t="e">
        <f t="shared" ca="1" si="37"/>
        <v>#VALUE!</v>
      </c>
      <c r="AM113" s="199" t="e">
        <f t="shared" ca="1" si="37"/>
        <v>#VALUE!</v>
      </c>
      <c r="AN113" s="199" t="e">
        <f t="shared" ca="1" si="37"/>
        <v>#VALUE!</v>
      </c>
      <c r="AO113" s="199" t="e">
        <f t="shared" ca="1" si="37"/>
        <v>#VALUE!</v>
      </c>
      <c r="AP113" s="199" t="e">
        <f t="shared" ca="1" si="37"/>
        <v>#VALUE!</v>
      </c>
    </row>
    <row r="114" spans="1:42">
      <c r="A114" s="61" t="str">
        <f>'[4]TS BYDem'!A53</f>
        <v>*</v>
      </c>
      <c r="B114" s="199" t="s">
        <v>288</v>
      </c>
      <c r="C114" s="199" t="s">
        <v>137</v>
      </c>
      <c r="D114" s="199" t="str">
        <f>'[4]TS BYDem'!D53</f>
        <v>IISA</v>
      </c>
      <c r="E114" s="199" t="s">
        <v>137</v>
      </c>
      <c r="F114" s="199" t="s">
        <v>137</v>
      </c>
      <c r="G114" s="199" t="s">
        <v>137</v>
      </c>
      <c r="H114" s="199" t="s">
        <v>137</v>
      </c>
      <c r="I114" s="199">
        <v>0</v>
      </c>
      <c r="J114" s="199" t="str">
        <f>INDEX('[4]TS BYDem'!$J$10:$J$203,MATCH(D114,'[4]TS BYDem'!$D$10:$D$203,0))</f>
        <v/>
      </c>
      <c r="K114" s="199" t="e">
        <f t="shared" ca="1" si="36"/>
        <v>#VALUE!</v>
      </c>
      <c r="L114" s="199" t="e">
        <f t="shared" ca="1" si="36"/>
        <v>#VALUE!</v>
      </c>
      <c r="M114" s="199" t="e">
        <f t="shared" ca="1" si="36"/>
        <v>#VALUE!</v>
      </c>
      <c r="N114" s="199" t="e">
        <f t="shared" ca="1" si="36"/>
        <v>#VALUE!</v>
      </c>
      <c r="O114" s="199" t="e">
        <f t="shared" ca="1" si="36"/>
        <v>#VALUE!</v>
      </c>
      <c r="P114" s="199" t="e">
        <f t="shared" ca="1" si="36"/>
        <v>#VALUE!</v>
      </c>
      <c r="Q114" s="199" t="e">
        <f t="shared" ca="1" si="36"/>
        <v>#VALUE!</v>
      </c>
      <c r="R114" s="199" t="e">
        <f t="shared" ca="1" si="36"/>
        <v>#VALUE!</v>
      </c>
      <c r="S114" s="199" t="e">
        <f t="shared" ca="1" si="36"/>
        <v>#VALUE!</v>
      </c>
      <c r="T114" s="199" t="e">
        <f t="shared" ca="1" si="36"/>
        <v>#VALUE!</v>
      </c>
      <c r="U114" s="199" t="e">
        <f t="shared" ca="1" si="36"/>
        <v>#VALUE!</v>
      </c>
      <c r="V114" s="199" t="e">
        <f t="shared" ca="1" si="36"/>
        <v>#VALUE!</v>
      </c>
      <c r="W114" s="199" t="e">
        <f t="shared" ca="1" si="36"/>
        <v>#VALUE!</v>
      </c>
      <c r="X114" s="199" t="e">
        <f t="shared" ca="1" si="36"/>
        <v>#VALUE!</v>
      </c>
      <c r="Y114" s="199" t="e">
        <f t="shared" ca="1" si="36"/>
        <v>#VALUE!</v>
      </c>
      <c r="Z114" s="199" t="e">
        <f t="shared" ca="1" si="36"/>
        <v>#VALUE!</v>
      </c>
      <c r="AA114" s="199" t="e">
        <f t="shared" ca="1" si="37"/>
        <v>#VALUE!</v>
      </c>
      <c r="AB114" s="199" t="e">
        <f t="shared" ca="1" si="37"/>
        <v>#VALUE!</v>
      </c>
      <c r="AC114" s="199" t="e">
        <f t="shared" ca="1" si="37"/>
        <v>#VALUE!</v>
      </c>
      <c r="AD114" s="199" t="e">
        <f t="shared" ca="1" si="37"/>
        <v>#VALUE!</v>
      </c>
      <c r="AE114" s="199" t="e">
        <f t="shared" ca="1" si="37"/>
        <v>#VALUE!</v>
      </c>
      <c r="AF114" s="199" t="e">
        <f t="shared" ca="1" si="37"/>
        <v>#VALUE!</v>
      </c>
      <c r="AG114" s="199" t="e">
        <f t="shared" ca="1" si="37"/>
        <v>#VALUE!</v>
      </c>
      <c r="AH114" s="199" t="e">
        <f t="shared" ca="1" si="37"/>
        <v>#VALUE!</v>
      </c>
      <c r="AI114" s="199" t="e">
        <f t="shared" ca="1" si="37"/>
        <v>#VALUE!</v>
      </c>
      <c r="AJ114" s="199" t="e">
        <f t="shared" ca="1" si="37"/>
        <v>#VALUE!</v>
      </c>
      <c r="AK114" s="199" t="e">
        <f t="shared" ca="1" si="37"/>
        <v>#VALUE!</v>
      </c>
      <c r="AL114" s="199" t="e">
        <f t="shared" ca="1" si="37"/>
        <v>#VALUE!</v>
      </c>
      <c r="AM114" s="199" t="e">
        <f t="shared" ca="1" si="37"/>
        <v>#VALUE!</v>
      </c>
      <c r="AN114" s="199" t="e">
        <f t="shared" ca="1" si="37"/>
        <v>#VALUE!</v>
      </c>
      <c r="AO114" s="199" t="e">
        <f t="shared" ca="1" si="37"/>
        <v>#VALUE!</v>
      </c>
      <c r="AP114" s="199" t="e">
        <f t="shared" ca="1" si="37"/>
        <v>#VALUE!</v>
      </c>
    </row>
    <row r="115" spans="1:42">
      <c r="A115" s="61" t="str">
        <f>'[4]TS BYDem'!A54</f>
        <v>*</v>
      </c>
      <c r="B115" s="199" t="s">
        <v>288</v>
      </c>
      <c r="C115" s="199" t="s">
        <v>137</v>
      </c>
      <c r="D115" s="199" t="str">
        <f>'[4]TS BYDem'!D54</f>
        <v>IISL</v>
      </c>
      <c r="E115" s="199" t="s">
        <v>137</v>
      </c>
      <c r="F115" s="199" t="s">
        <v>137</v>
      </c>
      <c r="G115" s="199" t="s">
        <v>137</v>
      </c>
      <c r="H115" s="199" t="s">
        <v>137</v>
      </c>
      <c r="I115" s="199">
        <v>0</v>
      </c>
      <c r="J115" s="199" t="str">
        <f>INDEX('[4]TS BYDem'!$J$10:$J$203,MATCH(D115,'[4]TS BYDem'!$D$10:$D$203,0))</f>
        <v/>
      </c>
      <c r="K115" s="199" t="e">
        <f t="shared" ca="1" si="36"/>
        <v>#VALUE!</v>
      </c>
      <c r="L115" s="199" t="e">
        <f t="shared" ca="1" si="36"/>
        <v>#VALUE!</v>
      </c>
      <c r="M115" s="199" t="e">
        <f t="shared" ca="1" si="36"/>
        <v>#VALUE!</v>
      </c>
      <c r="N115" s="199" t="e">
        <f t="shared" ca="1" si="36"/>
        <v>#VALUE!</v>
      </c>
      <c r="O115" s="199" t="e">
        <f t="shared" ca="1" si="36"/>
        <v>#VALUE!</v>
      </c>
      <c r="P115" s="199" t="e">
        <f t="shared" ca="1" si="36"/>
        <v>#VALUE!</v>
      </c>
      <c r="Q115" s="199" t="e">
        <f t="shared" ca="1" si="36"/>
        <v>#VALUE!</v>
      </c>
      <c r="R115" s="199" t="e">
        <f t="shared" ca="1" si="36"/>
        <v>#VALUE!</v>
      </c>
      <c r="S115" s="199" t="e">
        <f t="shared" ca="1" si="36"/>
        <v>#VALUE!</v>
      </c>
      <c r="T115" s="199" t="e">
        <f t="shared" ca="1" si="36"/>
        <v>#VALUE!</v>
      </c>
      <c r="U115" s="199" t="e">
        <f t="shared" ca="1" si="36"/>
        <v>#VALUE!</v>
      </c>
      <c r="V115" s="199" t="e">
        <f t="shared" ca="1" si="36"/>
        <v>#VALUE!</v>
      </c>
      <c r="W115" s="199" t="e">
        <f t="shared" ca="1" si="36"/>
        <v>#VALUE!</v>
      </c>
      <c r="X115" s="199" t="e">
        <f t="shared" ca="1" si="36"/>
        <v>#VALUE!</v>
      </c>
      <c r="Y115" s="199" t="e">
        <f t="shared" ca="1" si="36"/>
        <v>#VALUE!</v>
      </c>
      <c r="Z115" s="199" t="e">
        <f t="shared" ca="1" si="36"/>
        <v>#VALUE!</v>
      </c>
      <c r="AA115" s="199" t="e">
        <f t="shared" ca="1" si="37"/>
        <v>#VALUE!</v>
      </c>
      <c r="AB115" s="199" t="e">
        <f t="shared" ca="1" si="37"/>
        <v>#VALUE!</v>
      </c>
      <c r="AC115" s="199" t="e">
        <f t="shared" ca="1" si="37"/>
        <v>#VALUE!</v>
      </c>
      <c r="AD115" s="199" t="e">
        <f t="shared" ca="1" si="37"/>
        <v>#VALUE!</v>
      </c>
      <c r="AE115" s="199" t="e">
        <f t="shared" ca="1" si="37"/>
        <v>#VALUE!</v>
      </c>
      <c r="AF115" s="199" t="e">
        <f t="shared" ca="1" si="37"/>
        <v>#VALUE!</v>
      </c>
      <c r="AG115" s="199" t="e">
        <f t="shared" ca="1" si="37"/>
        <v>#VALUE!</v>
      </c>
      <c r="AH115" s="199" t="e">
        <f t="shared" ca="1" si="37"/>
        <v>#VALUE!</v>
      </c>
      <c r="AI115" s="199" t="e">
        <f t="shared" ca="1" si="37"/>
        <v>#VALUE!</v>
      </c>
      <c r="AJ115" s="199" t="e">
        <f t="shared" ca="1" si="37"/>
        <v>#VALUE!</v>
      </c>
      <c r="AK115" s="199" t="e">
        <f t="shared" ca="1" si="37"/>
        <v>#VALUE!</v>
      </c>
      <c r="AL115" s="199" t="e">
        <f t="shared" ca="1" si="37"/>
        <v>#VALUE!</v>
      </c>
      <c r="AM115" s="199" t="e">
        <f t="shared" ca="1" si="37"/>
        <v>#VALUE!</v>
      </c>
      <c r="AN115" s="199" t="e">
        <f t="shared" ca="1" si="37"/>
        <v>#VALUE!</v>
      </c>
      <c r="AO115" s="199" t="e">
        <f t="shared" ca="1" si="37"/>
        <v>#VALUE!</v>
      </c>
      <c r="AP115" s="199" t="e">
        <f t="shared" ca="1" si="37"/>
        <v>#VALUE!</v>
      </c>
    </row>
    <row r="116" spans="1:42">
      <c r="A116" s="61" t="str">
        <f>'[4]TS BYDem'!A55</f>
        <v>*</v>
      </c>
      <c r="B116" s="199" t="s">
        <v>288</v>
      </c>
      <c r="C116" s="199" t="s">
        <v>137</v>
      </c>
      <c r="D116" s="199" t="str">
        <f>'[4]TS BYDem'!D55</f>
        <v>IISC</v>
      </c>
      <c r="E116" s="199" t="s">
        <v>137</v>
      </c>
      <c r="F116" s="199" t="s">
        <v>137</v>
      </c>
      <c r="G116" s="199" t="s">
        <v>137</v>
      </c>
      <c r="H116" s="199" t="s">
        <v>137</v>
      </c>
      <c r="I116" s="199">
        <v>0</v>
      </c>
      <c r="J116" s="199" t="str">
        <f>INDEX('[4]TS BYDem'!$J$10:$J$203,MATCH(D116,'[4]TS BYDem'!$D$10:$D$203,0))</f>
        <v/>
      </c>
      <c r="K116" s="199" t="e">
        <f t="shared" ca="1" si="36"/>
        <v>#VALUE!</v>
      </c>
      <c r="L116" s="199" t="e">
        <f t="shared" ca="1" si="36"/>
        <v>#VALUE!</v>
      </c>
      <c r="M116" s="199" t="e">
        <f t="shared" ca="1" si="36"/>
        <v>#VALUE!</v>
      </c>
      <c r="N116" s="199" t="e">
        <f t="shared" ca="1" si="36"/>
        <v>#VALUE!</v>
      </c>
      <c r="O116" s="199" t="e">
        <f t="shared" ca="1" si="36"/>
        <v>#VALUE!</v>
      </c>
      <c r="P116" s="199" t="e">
        <f t="shared" ca="1" si="36"/>
        <v>#VALUE!</v>
      </c>
      <c r="Q116" s="199" t="e">
        <f t="shared" ca="1" si="36"/>
        <v>#VALUE!</v>
      </c>
      <c r="R116" s="199" t="e">
        <f t="shared" ca="1" si="36"/>
        <v>#VALUE!</v>
      </c>
      <c r="S116" s="199" t="e">
        <f t="shared" ca="1" si="36"/>
        <v>#VALUE!</v>
      </c>
      <c r="T116" s="199" t="e">
        <f t="shared" ca="1" si="36"/>
        <v>#VALUE!</v>
      </c>
      <c r="U116" s="199" t="e">
        <f t="shared" ca="1" si="36"/>
        <v>#VALUE!</v>
      </c>
      <c r="V116" s="199" t="e">
        <f t="shared" ca="1" si="36"/>
        <v>#VALUE!</v>
      </c>
      <c r="W116" s="199" t="e">
        <f t="shared" ca="1" si="36"/>
        <v>#VALUE!</v>
      </c>
      <c r="X116" s="199" t="e">
        <f t="shared" ca="1" si="36"/>
        <v>#VALUE!</v>
      </c>
      <c r="Y116" s="199" t="e">
        <f t="shared" ca="1" si="36"/>
        <v>#VALUE!</v>
      </c>
      <c r="Z116" s="199" t="e">
        <f t="shared" ca="1" si="36"/>
        <v>#VALUE!</v>
      </c>
      <c r="AA116" s="199" t="e">
        <f t="shared" ca="1" si="37"/>
        <v>#VALUE!</v>
      </c>
      <c r="AB116" s="199" t="e">
        <f t="shared" ca="1" si="37"/>
        <v>#VALUE!</v>
      </c>
      <c r="AC116" s="199" t="e">
        <f t="shared" ca="1" si="37"/>
        <v>#VALUE!</v>
      </c>
      <c r="AD116" s="199" t="e">
        <f t="shared" ca="1" si="37"/>
        <v>#VALUE!</v>
      </c>
      <c r="AE116" s="199" t="e">
        <f t="shared" ca="1" si="37"/>
        <v>#VALUE!</v>
      </c>
      <c r="AF116" s="199" t="e">
        <f t="shared" ca="1" si="37"/>
        <v>#VALUE!</v>
      </c>
      <c r="AG116" s="199" t="e">
        <f t="shared" ca="1" si="37"/>
        <v>#VALUE!</v>
      </c>
      <c r="AH116" s="199" t="e">
        <f t="shared" ca="1" si="37"/>
        <v>#VALUE!</v>
      </c>
      <c r="AI116" s="199" t="e">
        <f t="shared" ca="1" si="37"/>
        <v>#VALUE!</v>
      </c>
      <c r="AJ116" s="199" t="e">
        <f t="shared" ca="1" si="37"/>
        <v>#VALUE!</v>
      </c>
      <c r="AK116" s="199" t="e">
        <f t="shared" ca="1" si="37"/>
        <v>#VALUE!</v>
      </c>
      <c r="AL116" s="199" t="e">
        <f t="shared" ca="1" si="37"/>
        <v>#VALUE!</v>
      </c>
      <c r="AM116" s="199" t="e">
        <f t="shared" ca="1" si="37"/>
        <v>#VALUE!</v>
      </c>
      <c r="AN116" s="199" t="e">
        <f t="shared" ca="1" si="37"/>
        <v>#VALUE!</v>
      </c>
      <c r="AO116" s="199" t="e">
        <f t="shared" ca="1" si="37"/>
        <v>#VALUE!</v>
      </c>
      <c r="AP116" s="199" t="e">
        <f t="shared" ca="1" si="37"/>
        <v>#VALUE!</v>
      </c>
    </row>
    <row r="117" spans="1:42">
      <c r="A117" s="61" t="str">
        <f>'[4]TS BYDem'!A56</f>
        <v>*</v>
      </c>
      <c r="B117" s="199" t="s">
        <v>288</v>
      </c>
      <c r="C117" s="199" t="s">
        <v>137</v>
      </c>
      <c r="D117" s="199" t="str">
        <f>'[4]TS BYDem'!D56</f>
        <v>IISH</v>
      </c>
      <c r="E117" s="199" t="s">
        <v>137</v>
      </c>
      <c r="F117" s="199" t="s">
        <v>137</v>
      </c>
      <c r="G117" s="199" t="s">
        <v>137</v>
      </c>
      <c r="H117" s="199" t="s">
        <v>137</v>
      </c>
      <c r="I117" s="199">
        <v>0</v>
      </c>
      <c r="J117" s="199" t="str">
        <f>INDEX('[4]TS BYDem'!$J$10:$J$203,MATCH(D117,'[4]TS BYDem'!$D$10:$D$203,0))</f>
        <v/>
      </c>
      <c r="K117" s="199" t="e">
        <f t="shared" ca="1" si="36"/>
        <v>#VALUE!</v>
      </c>
      <c r="L117" s="199" t="e">
        <f t="shared" ca="1" si="36"/>
        <v>#VALUE!</v>
      </c>
      <c r="M117" s="199" t="e">
        <f t="shared" ca="1" si="36"/>
        <v>#VALUE!</v>
      </c>
      <c r="N117" s="199" t="e">
        <f t="shared" ca="1" si="36"/>
        <v>#VALUE!</v>
      </c>
      <c r="O117" s="199" t="e">
        <f t="shared" ca="1" si="36"/>
        <v>#VALUE!</v>
      </c>
      <c r="P117" s="199" t="e">
        <f t="shared" ca="1" si="36"/>
        <v>#VALUE!</v>
      </c>
      <c r="Q117" s="199" t="e">
        <f t="shared" ca="1" si="36"/>
        <v>#VALUE!</v>
      </c>
      <c r="R117" s="199" t="e">
        <f t="shared" ca="1" si="36"/>
        <v>#VALUE!</v>
      </c>
      <c r="S117" s="199" t="e">
        <f t="shared" ca="1" si="36"/>
        <v>#VALUE!</v>
      </c>
      <c r="T117" s="199" t="e">
        <f t="shared" ca="1" si="36"/>
        <v>#VALUE!</v>
      </c>
      <c r="U117" s="199" t="e">
        <f t="shared" ca="1" si="36"/>
        <v>#VALUE!</v>
      </c>
      <c r="V117" s="199" t="e">
        <f t="shared" ca="1" si="36"/>
        <v>#VALUE!</v>
      </c>
      <c r="W117" s="199" t="e">
        <f t="shared" ca="1" si="36"/>
        <v>#VALUE!</v>
      </c>
      <c r="X117" s="199" t="e">
        <f t="shared" ca="1" si="36"/>
        <v>#VALUE!</v>
      </c>
      <c r="Y117" s="199" t="e">
        <f t="shared" ca="1" si="36"/>
        <v>#VALUE!</v>
      </c>
      <c r="Z117" s="199" t="e">
        <f t="shared" ca="1" si="36"/>
        <v>#VALUE!</v>
      </c>
      <c r="AA117" s="199" t="e">
        <f t="shared" ca="1" si="37"/>
        <v>#VALUE!</v>
      </c>
      <c r="AB117" s="199" t="e">
        <f t="shared" ca="1" si="37"/>
        <v>#VALUE!</v>
      </c>
      <c r="AC117" s="199" t="e">
        <f t="shared" ca="1" si="37"/>
        <v>#VALUE!</v>
      </c>
      <c r="AD117" s="199" t="e">
        <f t="shared" ca="1" si="37"/>
        <v>#VALUE!</v>
      </c>
      <c r="AE117" s="199" t="e">
        <f t="shared" ca="1" si="37"/>
        <v>#VALUE!</v>
      </c>
      <c r="AF117" s="199" t="e">
        <f t="shared" ca="1" si="37"/>
        <v>#VALUE!</v>
      </c>
      <c r="AG117" s="199" t="e">
        <f t="shared" ca="1" si="37"/>
        <v>#VALUE!</v>
      </c>
      <c r="AH117" s="199" t="e">
        <f t="shared" ca="1" si="37"/>
        <v>#VALUE!</v>
      </c>
      <c r="AI117" s="199" t="e">
        <f t="shared" ca="1" si="37"/>
        <v>#VALUE!</v>
      </c>
      <c r="AJ117" s="199" t="e">
        <f t="shared" ca="1" si="37"/>
        <v>#VALUE!</v>
      </c>
      <c r="AK117" s="199" t="e">
        <f t="shared" ca="1" si="37"/>
        <v>#VALUE!</v>
      </c>
      <c r="AL117" s="199" t="e">
        <f t="shared" ca="1" si="37"/>
        <v>#VALUE!</v>
      </c>
      <c r="AM117" s="199" t="e">
        <f t="shared" ca="1" si="37"/>
        <v>#VALUE!</v>
      </c>
      <c r="AN117" s="199" t="e">
        <f t="shared" ca="1" si="37"/>
        <v>#VALUE!</v>
      </c>
      <c r="AO117" s="199" t="e">
        <f t="shared" ca="1" si="37"/>
        <v>#VALUE!</v>
      </c>
      <c r="AP117" s="199" t="e">
        <f t="shared" ca="1" si="37"/>
        <v>#VALUE!</v>
      </c>
    </row>
    <row r="118" spans="1:42">
      <c r="A118" s="61" t="str">
        <f>'[4]TS BYDem'!A57</f>
        <v>*</v>
      </c>
      <c r="B118" s="199" t="s">
        <v>288</v>
      </c>
      <c r="C118" s="199" t="s">
        <v>137</v>
      </c>
      <c r="D118" s="199" t="str">
        <f>'[4]TS BYDem'!D57</f>
        <v>IISP</v>
      </c>
      <c r="E118" s="199" t="s">
        <v>137</v>
      </c>
      <c r="F118" s="199" t="s">
        <v>137</v>
      </c>
      <c r="G118" s="199" t="s">
        <v>137</v>
      </c>
      <c r="H118" s="199" t="s">
        <v>137</v>
      </c>
      <c r="I118" s="199">
        <v>0</v>
      </c>
      <c r="J118" s="199" t="str">
        <f>INDEX('[4]TS BYDem'!$J$10:$J$203,MATCH(D118,'[4]TS BYDem'!$D$10:$D$203,0))</f>
        <v/>
      </c>
      <c r="K118" s="199" t="e">
        <f t="shared" ca="1" si="36"/>
        <v>#VALUE!</v>
      </c>
      <c r="L118" s="199" t="e">
        <f t="shared" ca="1" si="36"/>
        <v>#VALUE!</v>
      </c>
      <c r="M118" s="199" t="e">
        <f t="shared" ca="1" si="36"/>
        <v>#VALUE!</v>
      </c>
      <c r="N118" s="199" t="e">
        <f t="shared" ca="1" si="36"/>
        <v>#VALUE!</v>
      </c>
      <c r="O118" s="199" t="e">
        <f t="shared" ca="1" si="36"/>
        <v>#VALUE!</v>
      </c>
      <c r="P118" s="199" t="e">
        <f t="shared" ca="1" si="36"/>
        <v>#VALUE!</v>
      </c>
      <c r="Q118" s="199" t="e">
        <f t="shared" ca="1" si="36"/>
        <v>#VALUE!</v>
      </c>
      <c r="R118" s="199" t="e">
        <f t="shared" ca="1" si="36"/>
        <v>#VALUE!</v>
      </c>
      <c r="S118" s="199" t="e">
        <f t="shared" ca="1" si="36"/>
        <v>#VALUE!</v>
      </c>
      <c r="T118" s="199" t="e">
        <f t="shared" ca="1" si="36"/>
        <v>#VALUE!</v>
      </c>
      <c r="U118" s="199" t="e">
        <f t="shared" ca="1" si="36"/>
        <v>#VALUE!</v>
      </c>
      <c r="V118" s="199" t="e">
        <f t="shared" ca="1" si="36"/>
        <v>#VALUE!</v>
      </c>
      <c r="W118" s="199" t="e">
        <f t="shared" ca="1" si="36"/>
        <v>#VALUE!</v>
      </c>
      <c r="X118" s="199" t="e">
        <f t="shared" ca="1" si="36"/>
        <v>#VALUE!</v>
      </c>
      <c r="Y118" s="199" t="e">
        <f t="shared" ca="1" si="36"/>
        <v>#VALUE!</v>
      </c>
      <c r="Z118" s="199" t="e">
        <f t="shared" ca="1" si="36"/>
        <v>#VALUE!</v>
      </c>
      <c r="AA118" s="199" t="e">
        <f t="shared" ca="1" si="37"/>
        <v>#VALUE!</v>
      </c>
      <c r="AB118" s="199" t="e">
        <f t="shared" ca="1" si="37"/>
        <v>#VALUE!</v>
      </c>
      <c r="AC118" s="199" t="e">
        <f t="shared" ca="1" si="37"/>
        <v>#VALUE!</v>
      </c>
      <c r="AD118" s="199" t="e">
        <f t="shared" ca="1" si="37"/>
        <v>#VALUE!</v>
      </c>
      <c r="AE118" s="199" t="e">
        <f t="shared" ca="1" si="37"/>
        <v>#VALUE!</v>
      </c>
      <c r="AF118" s="199" t="e">
        <f t="shared" ca="1" si="37"/>
        <v>#VALUE!</v>
      </c>
      <c r="AG118" s="199" t="e">
        <f t="shared" ca="1" si="37"/>
        <v>#VALUE!</v>
      </c>
      <c r="AH118" s="199" t="e">
        <f t="shared" ca="1" si="37"/>
        <v>#VALUE!</v>
      </c>
      <c r="AI118" s="199" t="e">
        <f t="shared" ca="1" si="37"/>
        <v>#VALUE!</v>
      </c>
      <c r="AJ118" s="199" t="e">
        <f t="shared" ca="1" si="37"/>
        <v>#VALUE!</v>
      </c>
      <c r="AK118" s="199" t="e">
        <f t="shared" ca="1" si="37"/>
        <v>#VALUE!</v>
      </c>
      <c r="AL118" s="199" t="e">
        <f t="shared" ca="1" si="37"/>
        <v>#VALUE!</v>
      </c>
      <c r="AM118" s="199" t="e">
        <f t="shared" ca="1" si="37"/>
        <v>#VALUE!</v>
      </c>
      <c r="AN118" s="199" t="e">
        <f t="shared" ca="1" si="37"/>
        <v>#VALUE!</v>
      </c>
      <c r="AO118" s="199" t="e">
        <f t="shared" ca="1" si="37"/>
        <v>#VALUE!</v>
      </c>
      <c r="AP118" s="199" t="e">
        <f t="shared" ca="1" si="37"/>
        <v>#VALUE!</v>
      </c>
    </row>
    <row r="119" spans="1:42">
      <c r="A119" s="61" t="str">
        <f>'[4]TS BYDem'!A58</f>
        <v>*</v>
      </c>
      <c r="B119" s="199" t="s">
        <v>288</v>
      </c>
      <c r="C119" s="199" t="s">
        <v>137</v>
      </c>
      <c r="D119" s="199" t="str">
        <f>'[4]TS BYDem'!D58</f>
        <v>IISF</v>
      </c>
      <c r="E119" s="199" t="s">
        <v>137</v>
      </c>
      <c r="F119" s="199" t="s">
        <v>137</v>
      </c>
      <c r="G119" s="199" t="s">
        <v>137</v>
      </c>
      <c r="H119" s="199" t="s">
        <v>137</v>
      </c>
      <c r="I119" s="199">
        <v>0</v>
      </c>
      <c r="J119" s="199" t="str">
        <f>INDEX('[4]TS BYDem'!$J$10:$J$203,MATCH(D119,'[4]TS BYDem'!$D$10:$D$203,0))</f>
        <v/>
      </c>
      <c r="K119" s="199" t="e">
        <f t="shared" ca="1" si="36"/>
        <v>#VALUE!</v>
      </c>
      <c r="L119" s="199" t="e">
        <f t="shared" ca="1" si="36"/>
        <v>#VALUE!</v>
      </c>
      <c r="M119" s="199" t="e">
        <f t="shared" ca="1" si="36"/>
        <v>#VALUE!</v>
      </c>
      <c r="N119" s="199" t="e">
        <f t="shared" ca="1" si="36"/>
        <v>#VALUE!</v>
      </c>
      <c r="O119" s="199" t="e">
        <f t="shared" ca="1" si="36"/>
        <v>#VALUE!</v>
      </c>
      <c r="P119" s="199" t="e">
        <f t="shared" ca="1" si="36"/>
        <v>#VALUE!</v>
      </c>
      <c r="Q119" s="199" t="e">
        <f t="shared" ca="1" si="36"/>
        <v>#VALUE!</v>
      </c>
      <c r="R119" s="199" t="e">
        <f t="shared" ca="1" si="36"/>
        <v>#VALUE!</v>
      </c>
      <c r="S119" s="199" t="e">
        <f t="shared" ca="1" si="36"/>
        <v>#VALUE!</v>
      </c>
      <c r="T119" s="199" t="e">
        <f t="shared" ca="1" si="36"/>
        <v>#VALUE!</v>
      </c>
      <c r="U119" s="199" t="e">
        <f t="shared" ca="1" si="36"/>
        <v>#VALUE!</v>
      </c>
      <c r="V119" s="199" t="e">
        <f t="shared" ca="1" si="36"/>
        <v>#VALUE!</v>
      </c>
      <c r="W119" s="199" t="e">
        <f t="shared" ca="1" si="36"/>
        <v>#VALUE!</v>
      </c>
      <c r="X119" s="199" t="e">
        <f t="shared" ca="1" si="36"/>
        <v>#VALUE!</v>
      </c>
      <c r="Y119" s="199" t="e">
        <f t="shared" ca="1" si="36"/>
        <v>#VALUE!</v>
      </c>
      <c r="Z119" s="199" t="e">
        <f t="shared" ca="1" si="36"/>
        <v>#VALUE!</v>
      </c>
      <c r="AA119" s="199" t="e">
        <f t="shared" ca="1" si="37"/>
        <v>#VALUE!</v>
      </c>
      <c r="AB119" s="199" t="e">
        <f t="shared" ca="1" si="37"/>
        <v>#VALUE!</v>
      </c>
      <c r="AC119" s="199" t="e">
        <f t="shared" ca="1" si="37"/>
        <v>#VALUE!</v>
      </c>
      <c r="AD119" s="199" t="e">
        <f t="shared" ca="1" si="37"/>
        <v>#VALUE!</v>
      </c>
      <c r="AE119" s="199" t="e">
        <f t="shared" ca="1" si="37"/>
        <v>#VALUE!</v>
      </c>
      <c r="AF119" s="199" t="e">
        <f t="shared" ca="1" si="37"/>
        <v>#VALUE!</v>
      </c>
      <c r="AG119" s="199" t="e">
        <f t="shared" ca="1" si="37"/>
        <v>#VALUE!</v>
      </c>
      <c r="AH119" s="199" t="e">
        <f t="shared" ca="1" si="37"/>
        <v>#VALUE!</v>
      </c>
      <c r="AI119" s="199" t="e">
        <f t="shared" ca="1" si="37"/>
        <v>#VALUE!</v>
      </c>
      <c r="AJ119" s="199" t="e">
        <f t="shared" ca="1" si="37"/>
        <v>#VALUE!</v>
      </c>
      <c r="AK119" s="199" t="e">
        <f t="shared" ca="1" si="37"/>
        <v>#VALUE!</v>
      </c>
      <c r="AL119" s="199" t="e">
        <f t="shared" ca="1" si="37"/>
        <v>#VALUE!</v>
      </c>
      <c r="AM119" s="199" t="e">
        <f t="shared" ca="1" si="37"/>
        <v>#VALUE!</v>
      </c>
      <c r="AN119" s="199" t="e">
        <f t="shared" ca="1" si="37"/>
        <v>#VALUE!</v>
      </c>
      <c r="AO119" s="199" t="e">
        <f t="shared" ca="1" si="37"/>
        <v>#VALUE!</v>
      </c>
      <c r="AP119" s="199" t="e">
        <f t="shared" ca="1" si="37"/>
        <v>#VALUE!</v>
      </c>
    </row>
    <row r="120" spans="1:42">
      <c r="A120" s="61" t="str">
        <f>'[4]TS BYDem'!A59</f>
        <v>*</v>
      </c>
      <c r="B120" s="199" t="s">
        <v>288</v>
      </c>
      <c r="C120" s="199" t="s">
        <v>137</v>
      </c>
      <c r="D120" s="199" t="str">
        <f>'[4]TS BYDem'!D59</f>
        <v>IISO</v>
      </c>
      <c r="E120" s="199" t="s">
        <v>137</v>
      </c>
      <c r="F120" s="199" t="s">
        <v>137</v>
      </c>
      <c r="G120" s="199" t="s">
        <v>137</v>
      </c>
      <c r="H120" s="199" t="s">
        <v>137</v>
      </c>
      <c r="I120" s="199">
        <v>0</v>
      </c>
      <c r="J120" s="199" t="str">
        <f>INDEX('[4]TS BYDem'!$J$10:$J$203,MATCH(D120,'[4]TS BYDem'!$D$10:$D$203,0))</f>
        <v/>
      </c>
      <c r="K120" s="199" t="e">
        <f t="shared" ca="1" si="36"/>
        <v>#VALUE!</v>
      </c>
      <c r="L120" s="199" t="e">
        <f t="shared" ca="1" si="36"/>
        <v>#VALUE!</v>
      </c>
      <c r="M120" s="199" t="e">
        <f t="shared" ca="1" si="36"/>
        <v>#VALUE!</v>
      </c>
      <c r="N120" s="199" t="e">
        <f t="shared" ca="1" si="36"/>
        <v>#VALUE!</v>
      </c>
      <c r="O120" s="199" t="e">
        <f t="shared" ca="1" si="36"/>
        <v>#VALUE!</v>
      </c>
      <c r="P120" s="199" t="e">
        <f t="shared" ca="1" si="36"/>
        <v>#VALUE!</v>
      </c>
      <c r="Q120" s="199" t="e">
        <f t="shared" ca="1" si="36"/>
        <v>#VALUE!</v>
      </c>
      <c r="R120" s="199" t="e">
        <f t="shared" ca="1" si="36"/>
        <v>#VALUE!</v>
      </c>
      <c r="S120" s="199" t="e">
        <f t="shared" ca="1" si="36"/>
        <v>#VALUE!</v>
      </c>
      <c r="T120" s="199" t="e">
        <f t="shared" ca="1" si="36"/>
        <v>#VALUE!</v>
      </c>
      <c r="U120" s="199" t="e">
        <f t="shared" ca="1" si="36"/>
        <v>#VALUE!</v>
      </c>
      <c r="V120" s="199" t="e">
        <f t="shared" ca="1" si="36"/>
        <v>#VALUE!</v>
      </c>
      <c r="W120" s="199" t="e">
        <f t="shared" ca="1" si="36"/>
        <v>#VALUE!</v>
      </c>
      <c r="X120" s="199" t="e">
        <f t="shared" ca="1" si="36"/>
        <v>#VALUE!</v>
      </c>
      <c r="Y120" s="199" t="e">
        <f t="shared" ca="1" si="36"/>
        <v>#VALUE!</v>
      </c>
      <c r="Z120" s="199" t="e">
        <f t="shared" ca="1" si="36"/>
        <v>#VALUE!</v>
      </c>
      <c r="AA120" s="199" t="e">
        <f t="shared" ca="1" si="37"/>
        <v>#VALUE!</v>
      </c>
      <c r="AB120" s="199" t="e">
        <f t="shared" ca="1" si="37"/>
        <v>#VALUE!</v>
      </c>
      <c r="AC120" s="199" t="e">
        <f t="shared" ca="1" si="37"/>
        <v>#VALUE!</v>
      </c>
      <c r="AD120" s="199" t="e">
        <f t="shared" ca="1" si="37"/>
        <v>#VALUE!</v>
      </c>
      <c r="AE120" s="199" t="e">
        <f t="shared" ca="1" si="37"/>
        <v>#VALUE!</v>
      </c>
      <c r="AF120" s="199" t="e">
        <f t="shared" ca="1" si="37"/>
        <v>#VALUE!</v>
      </c>
      <c r="AG120" s="199" t="e">
        <f t="shared" ca="1" si="37"/>
        <v>#VALUE!</v>
      </c>
      <c r="AH120" s="199" t="e">
        <f t="shared" ca="1" si="37"/>
        <v>#VALUE!</v>
      </c>
      <c r="AI120" s="199" t="e">
        <f t="shared" ca="1" si="37"/>
        <v>#VALUE!</v>
      </c>
      <c r="AJ120" s="199" t="e">
        <f t="shared" ca="1" si="37"/>
        <v>#VALUE!</v>
      </c>
      <c r="AK120" s="199" t="e">
        <f t="shared" ca="1" si="37"/>
        <v>#VALUE!</v>
      </c>
      <c r="AL120" s="199" t="e">
        <f t="shared" ca="1" si="37"/>
        <v>#VALUE!</v>
      </c>
      <c r="AM120" s="199" t="e">
        <f t="shared" ca="1" si="37"/>
        <v>#VALUE!</v>
      </c>
      <c r="AN120" s="199" t="e">
        <f t="shared" ca="1" si="37"/>
        <v>#VALUE!</v>
      </c>
      <c r="AO120" s="199" t="e">
        <f t="shared" ca="1" si="37"/>
        <v>#VALUE!</v>
      </c>
      <c r="AP120" s="199" t="e">
        <f t="shared" ca="1" si="37"/>
        <v>#VALUE!</v>
      </c>
    </row>
    <row r="121" spans="1:42">
      <c r="A121" s="61" t="str">
        <f>'[4]TS BYDem'!A60</f>
        <v>*</v>
      </c>
      <c r="B121" s="199" t="s">
        <v>288</v>
      </c>
      <c r="C121" s="199" t="s">
        <v>137</v>
      </c>
      <c r="D121" s="199" t="str">
        <f>'[4]TS BYDem'!D60</f>
        <v>IISE</v>
      </c>
      <c r="E121" s="199" t="s">
        <v>137</v>
      </c>
      <c r="F121" s="199" t="s">
        <v>137</v>
      </c>
      <c r="G121" s="199" t="s">
        <v>137</v>
      </c>
      <c r="H121" s="199" t="s">
        <v>137</v>
      </c>
      <c r="I121" s="199">
        <v>0</v>
      </c>
      <c r="J121" s="199" t="str">
        <f>INDEX('[4]TS BYDem'!$J$10:$J$203,MATCH(D121,'[4]TS BYDem'!$D$10:$D$203,0))</f>
        <v/>
      </c>
      <c r="K121" s="199" t="e">
        <f t="shared" ca="1" si="36"/>
        <v>#VALUE!</v>
      </c>
      <c r="L121" s="199" t="e">
        <f t="shared" ca="1" si="36"/>
        <v>#VALUE!</v>
      </c>
      <c r="M121" s="199" t="e">
        <f t="shared" ca="1" si="36"/>
        <v>#VALUE!</v>
      </c>
      <c r="N121" s="199" t="e">
        <f t="shared" ca="1" si="36"/>
        <v>#VALUE!</v>
      </c>
      <c r="O121" s="199" t="e">
        <f t="shared" ca="1" si="36"/>
        <v>#VALUE!</v>
      </c>
      <c r="P121" s="199" t="e">
        <f t="shared" ca="1" si="36"/>
        <v>#VALUE!</v>
      </c>
      <c r="Q121" s="199" t="e">
        <f t="shared" ca="1" si="36"/>
        <v>#VALUE!</v>
      </c>
      <c r="R121" s="199" t="e">
        <f t="shared" ca="1" si="36"/>
        <v>#VALUE!</v>
      </c>
      <c r="S121" s="199" t="e">
        <f t="shared" ca="1" si="36"/>
        <v>#VALUE!</v>
      </c>
      <c r="T121" s="199" t="e">
        <f t="shared" ca="1" si="36"/>
        <v>#VALUE!</v>
      </c>
      <c r="U121" s="199" t="e">
        <f t="shared" ca="1" si="36"/>
        <v>#VALUE!</v>
      </c>
      <c r="V121" s="199" t="e">
        <f t="shared" ca="1" si="36"/>
        <v>#VALUE!</v>
      </c>
      <c r="W121" s="199" t="e">
        <f t="shared" ca="1" si="36"/>
        <v>#VALUE!</v>
      </c>
      <c r="X121" s="199" t="e">
        <f t="shared" ca="1" si="36"/>
        <v>#VALUE!</v>
      </c>
      <c r="Y121" s="199" t="e">
        <f t="shared" ca="1" si="36"/>
        <v>#VALUE!</v>
      </c>
      <c r="Z121" s="199" t="e">
        <f t="shared" ca="1" si="36"/>
        <v>#VALUE!</v>
      </c>
      <c r="AA121" s="199" t="e">
        <f t="shared" ca="1" si="37"/>
        <v>#VALUE!</v>
      </c>
      <c r="AB121" s="199" t="e">
        <f t="shared" ca="1" si="37"/>
        <v>#VALUE!</v>
      </c>
      <c r="AC121" s="199" t="e">
        <f t="shared" ca="1" si="37"/>
        <v>#VALUE!</v>
      </c>
      <c r="AD121" s="199" t="e">
        <f t="shared" ca="1" si="37"/>
        <v>#VALUE!</v>
      </c>
      <c r="AE121" s="199" t="e">
        <f t="shared" ca="1" si="37"/>
        <v>#VALUE!</v>
      </c>
      <c r="AF121" s="199" t="e">
        <f t="shared" ca="1" si="37"/>
        <v>#VALUE!</v>
      </c>
      <c r="AG121" s="199" t="e">
        <f t="shared" ca="1" si="37"/>
        <v>#VALUE!</v>
      </c>
      <c r="AH121" s="199" t="e">
        <f t="shared" ca="1" si="37"/>
        <v>#VALUE!</v>
      </c>
      <c r="AI121" s="199" t="e">
        <f t="shared" ca="1" si="37"/>
        <v>#VALUE!</v>
      </c>
      <c r="AJ121" s="199" t="e">
        <f t="shared" ca="1" si="37"/>
        <v>#VALUE!</v>
      </c>
      <c r="AK121" s="199" t="e">
        <f t="shared" ca="1" si="37"/>
        <v>#VALUE!</v>
      </c>
      <c r="AL121" s="199" t="e">
        <f t="shared" ca="1" si="37"/>
        <v>#VALUE!</v>
      </c>
      <c r="AM121" s="199" t="e">
        <f t="shared" ca="1" si="37"/>
        <v>#VALUE!</v>
      </c>
      <c r="AN121" s="199" t="e">
        <f t="shared" ca="1" si="37"/>
        <v>#VALUE!</v>
      </c>
      <c r="AO121" s="199" t="e">
        <f t="shared" ca="1" si="37"/>
        <v>#VALUE!</v>
      </c>
      <c r="AP121" s="199" t="e">
        <f t="shared" ca="1" si="37"/>
        <v>#VALUE!</v>
      </c>
    </row>
    <row r="122" spans="1:42">
      <c r="A122" s="61" t="str">
        <f>'[4]TS BYDem'!A61</f>
        <v>*</v>
      </c>
      <c r="B122" s="199" t="s">
        <v>288</v>
      </c>
      <c r="C122" s="199" t="s">
        <v>137</v>
      </c>
      <c r="D122" s="199" t="str">
        <f>'[4]TS BYDem'!D61</f>
        <v xml:space="preserve"> </v>
      </c>
      <c r="E122" s="199" t="s">
        <v>137</v>
      </c>
      <c r="F122" s="199" t="s">
        <v>137</v>
      </c>
      <c r="G122" s="199" t="s">
        <v>137</v>
      </c>
      <c r="H122" s="199" t="s">
        <v>137</v>
      </c>
      <c r="I122" s="199">
        <v>0</v>
      </c>
      <c r="J122" s="199" t="str">
        <f>INDEX('[4]TS BYDem'!$J$10:$J$203,MATCH(D122,'[4]TS BYDem'!$D$10:$D$203,0))</f>
        <v/>
      </c>
      <c r="K122" s="199" t="e">
        <f t="shared" ca="1" si="36"/>
        <v>#VALUE!</v>
      </c>
      <c r="L122" s="199" t="e">
        <f t="shared" ca="1" si="36"/>
        <v>#VALUE!</v>
      </c>
      <c r="M122" s="199" t="e">
        <f t="shared" ca="1" si="36"/>
        <v>#VALUE!</v>
      </c>
      <c r="N122" s="199" t="e">
        <f t="shared" ca="1" si="36"/>
        <v>#VALUE!</v>
      </c>
      <c r="O122" s="199" t="e">
        <f t="shared" ca="1" si="36"/>
        <v>#VALUE!</v>
      </c>
      <c r="P122" s="199" t="e">
        <f t="shared" ca="1" si="36"/>
        <v>#VALUE!</v>
      </c>
      <c r="Q122" s="199" t="e">
        <f t="shared" ca="1" si="36"/>
        <v>#VALUE!</v>
      </c>
      <c r="R122" s="199" t="e">
        <f t="shared" ca="1" si="36"/>
        <v>#VALUE!</v>
      </c>
      <c r="S122" s="199" t="e">
        <f t="shared" ca="1" si="36"/>
        <v>#VALUE!</v>
      </c>
      <c r="T122" s="199" t="e">
        <f t="shared" ca="1" si="36"/>
        <v>#VALUE!</v>
      </c>
      <c r="U122" s="199" t="e">
        <f t="shared" ca="1" si="36"/>
        <v>#VALUE!</v>
      </c>
      <c r="V122" s="199" t="e">
        <f t="shared" ca="1" si="36"/>
        <v>#VALUE!</v>
      </c>
      <c r="W122" s="199" t="e">
        <f t="shared" ca="1" si="36"/>
        <v>#VALUE!</v>
      </c>
      <c r="X122" s="199" t="e">
        <f t="shared" ca="1" si="36"/>
        <v>#VALUE!</v>
      </c>
      <c r="Y122" s="199" t="e">
        <f t="shared" ca="1" si="36"/>
        <v>#VALUE!</v>
      </c>
      <c r="Z122" s="199" t="e">
        <f t="shared" ca="1" si="36"/>
        <v>#VALUE!</v>
      </c>
      <c r="AA122" s="199" t="e">
        <f t="shared" ca="1" si="37"/>
        <v>#VALUE!</v>
      </c>
      <c r="AB122" s="199" t="e">
        <f t="shared" ca="1" si="37"/>
        <v>#VALUE!</v>
      </c>
      <c r="AC122" s="199" t="e">
        <f t="shared" ca="1" si="37"/>
        <v>#VALUE!</v>
      </c>
      <c r="AD122" s="199" t="e">
        <f t="shared" ca="1" si="37"/>
        <v>#VALUE!</v>
      </c>
      <c r="AE122" s="199" t="e">
        <f t="shared" ca="1" si="37"/>
        <v>#VALUE!</v>
      </c>
      <c r="AF122" s="199" t="e">
        <f t="shared" ca="1" si="37"/>
        <v>#VALUE!</v>
      </c>
      <c r="AG122" s="199" t="e">
        <f t="shared" ca="1" si="37"/>
        <v>#VALUE!</v>
      </c>
      <c r="AH122" s="199" t="e">
        <f t="shared" ca="1" si="37"/>
        <v>#VALUE!</v>
      </c>
      <c r="AI122" s="199" t="e">
        <f t="shared" ca="1" si="37"/>
        <v>#VALUE!</v>
      </c>
      <c r="AJ122" s="199" t="e">
        <f t="shared" ca="1" si="37"/>
        <v>#VALUE!</v>
      </c>
      <c r="AK122" s="199" t="e">
        <f t="shared" ca="1" si="37"/>
        <v>#VALUE!</v>
      </c>
      <c r="AL122" s="199" t="e">
        <f t="shared" ca="1" si="37"/>
        <v>#VALUE!</v>
      </c>
      <c r="AM122" s="199" t="e">
        <f t="shared" ca="1" si="37"/>
        <v>#VALUE!</v>
      </c>
      <c r="AN122" s="199" t="e">
        <f t="shared" ca="1" si="37"/>
        <v>#VALUE!</v>
      </c>
      <c r="AO122" s="199" t="e">
        <f t="shared" ca="1" si="37"/>
        <v>#VALUE!</v>
      </c>
      <c r="AP122" s="199" t="e">
        <f t="shared" ca="1" si="37"/>
        <v>#VALUE!</v>
      </c>
    </row>
    <row r="123" spans="1:42">
      <c r="A123" s="61" t="str">
        <f>'[4]TS BYDem'!A62</f>
        <v>*</v>
      </c>
      <c r="B123" s="199" t="s">
        <v>288</v>
      </c>
      <c r="C123" s="199" t="s">
        <v>137</v>
      </c>
      <c r="D123" s="199" t="str">
        <f>'[4]TS BYDem'!D62</f>
        <v>IISS</v>
      </c>
      <c r="E123" s="199" t="s">
        <v>137</v>
      </c>
      <c r="F123" s="199" t="s">
        <v>137</v>
      </c>
      <c r="G123" s="199" t="s">
        <v>137</v>
      </c>
      <c r="H123" s="199" t="s">
        <v>137</v>
      </c>
      <c r="I123" s="199">
        <v>0</v>
      </c>
      <c r="J123" s="199" t="str">
        <f>INDEX('[4]TS BYDem'!$J$10:$J$203,MATCH(D123,'[4]TS BYDem'!$D$10:$D$203,0))</f>
        <v/>
      </c>
      <c r="K123" s="199" t="e">
        <f t="shared" ca="1" si="36"/>
        <v>#VALUE!</v>
      </c>
      <c r="L123" s="199" t="e">
        <f t="shared" ca="1" si="36"/>
        <v>#VALUE!</v>
      </c>
      <c r="M123" s="199" t="e">
        <f t="shared" ca="1" si="36"/>
        <v>#VALUE!</v>
      </c>
      <c r="N123" s="199" t="e">
        <f t="shared" ca="1" si="36"/>
        <v>#VALUE!</v>
      </c>
      <c r="O123" s="199" t="e">
        <f t="shared" ca="1" si="36"/>
        <v>#VALUE!</v>
      </c>
      <c r="P123" s="199" t="e">
        <f t="shared" ca="1" si="36"/>
        <v>#VALUE!</v>
      </c>
      <c r="Q123" s="199" t="e">
        <f t="shared" ca="1" si="36"/>
        <v>#VALUE!</v>
      </c>
      <c r="R123" s="199" t="e">
        <f t="shared" ca="1" si="36"/>
        <v>#VALUE!</v>
      </c>
      <c r="S123" s="199" t="e">
        <f t="shared" ca="1" si="36"/>
        <v>#VALUE!</v>
      </c>
      <c r="T123" s="199" t="e">
        <f t="shared" ca="1" si="36"/>
        <v>#VALUE!</v>
      </c>
      <c r="U123" s="199" t="e">
        <f t="shared" ca="1" si="36"/>
        <v>#VALUE!</v>
      </c>
      <c r="V123" s="199" t="e">
        <f t="shared" ca="1" si="36"/>
        <v>#VALUE!</v>
      </c>
      <c r="W123" s="199" t="e">
        <f t="shared" ca="1" si="36"/>
        <v>#VALUE!</v>
      </c>
      <c r="X123" s="199" t="e">
        <f t="shared" ca="1" si="36"/>
        <v>#VALUE!</v>
      </c>
      <c r="Y123" s="199" t="e">
        <f t="shared" ca="1" si="36"/>
        <v>#VALUE!</v>
      </c>
      <c r="Z123" s="199" t="e">
        <f t="shared" ca="1" si="36"/>
        <v>#VALUE!</v>
      </c>
      <c r="AA123" s="199" t="e">
        <f t="shared" ca="1" si="37"/>
        <v>#VALUE!</v>
      </c>
      <c r="AB123" s="199" t="e">
        <f t="shared" ca="1" si="37"/>
        <v>#VALUE!</v>
      </c>
      <c r="AC123" s="199" t="e">
        <f t="shared" ca="1" si="37"/>
        <v>#VALUE!</v>
      </c>
      <c r="AD123" s="199" t="e">
        <f t="shared" ca="1" si="37"/>
        <v>#VALUE!</v>
      </c>
      <c r="AE123" s="199" t="e">
        <f t="shared" ca="1" si="37"/>
        <v>#VALUE!</v>
      </c>
      <c r="AF123" s="199" t="e">
        <f t="shared" ca="1" si="37"/>
        <v>#VALUE!</v>
      </c>
      <c r="AG123" s="199" t="e">
        <f t="shared" ca="1" si="37"/>
        <v>#VALUE!</v>
      </c>
      <c r="AH123" s="199" t="e">
        <f t="shared" ca="1" si="37"/>
        <v>#VALUE!</v>
      </c>
      <c r="AI123" s="199" t="e">
        <f t="shared" ca="1" si="37"/>
        <v>#VALUE!</v>
      </c>
      <c r="AJ123" s="199" t="e">
        <f t="shared" ca="1" si="37"/>
        <v>#VALUE!</v>
      </c>
      <c r="AK123" s="199" t="e">
        <f t="shared" ca="1" si="37"/>
        <v>#VALUE!</v>
      </c>
      <c r="AL123" s="199" t="e">
        <f t="shared" ca="1" si="37"/>
        <v>#VALUE!</v>
      </c>
      <c r="AM123" s="199" t="e">
        <f t="shared" ca="1" si="37"/>
        <v>#VALUE!</v>
      </c>
      <c r="AN123" s="199" t="e">
        <f t="shared" ca="1" si="37"/>
        <v>#VALUE!</v>
      </c>
      <c r="AO123" s="199" t="e">
        <f t="shared" ca="1" si="37"/>
        <v>#VALUE!</v>
      </c>
      <c r="AP123" s="199" t="e">
        <f t="shared" ca="1" si="37"/>
        <v>#VALUE!</v>
      </c>
    </row>
    <row r="124" spans="1:42">
      <c r="A124" s="61" t="str">
        <f>'[4]TS BYDem'!A63</f>
        <v>*</v>
      </c>
      <c r="B124" s="199" t="s">
        <v>288</v>
      </c>
      <c r="C124" s="199" t="s">
        <v>137</v>
      </c>
      <c r="D124" s="199" t="str">
        <f>'[4]TS BYDem'!D63</f>
        <v>IISS</v>
      </c>
      <c r="E124" s="199" t="s">
        <v>137</v>
      </c>
      <c r="F124" s="199" t="s">
        <v>137</v>
      </c>
      <c r="G124" s="199" t="s">
        <v>137</v>
      </c>
      <c r="H124" s="199" t="s">
        <v>137</v>
      </c>
      <c r="I124" s="199">
        <v>0</v>
      </c>
      <c r="J124" s="199" t="str">
        <f>INDEX('[4]TS BYDem'!$J$10:$J$203,MATCH(D124,'[4]TS BYDem'!$D$10:$D$203,0))</f>
        <v/>
      </c>
      <c r="K124" s="199" t="e">
        <f t="shared" ca="1" si="36"/>
        <v>#VALUE!</v>
      </c>
      <c r="L124" s="199" t="e">
        <f t="shared" ca="1" si="36"/>
        <v>#VALUE!</v>
      </c>
      <c r="M124" s="199" t="e">
        <f t="shared" ca="1" si="36"/>
        <v>#VALUE!</v>
      </c>
      <c r="N124" s="199" t="e">
        <f t="shared" ca="1" si="36"/>
        <v>#VALUE!</v>
      </c>
      <c r="O124" s="199" t="e">
        <f t="shared" ca="1" si="36"/>
        <v>#VALUE!</v>
      </c>
      <c r="P124" s="199" t="e">
        <f t="shared" ca="1" si="36"/>
        <v>#VALUE!</v>
      </c>
      <c r="Q124" s="199" t="e">
        <f t="shared" ca="1" si="36"/>
        <v>#VALUE!</v>
      </c>
      <c r="R124" s="199" t="e">
        <f t="shared" ca="1" si="36"/>
        <v>#VALUE!</v>
      </c>
      <c r="S124" s="199" t="e">
        <f t="shared" ca="1" si="36"/>
        <v>#VALUE!</v>
      </c>
      <c r="T124" s="199" t="e">
        <f t="shared" ca="1" si="36"/>
        <v>#VALUE!</v>
      </c>
      <c r="U124" s="199" t="e">
        <f t="shared" ca="1" si="36"/>
        <v>#VALUE!</v>
      </c>
      <c r="V124" s="199" t="e">
        <f t="shared" ca="1" si="36"/>
        <v>#VALUE!</v>
      </c>
      <c r="W124" s="199" t="e">
        <f t="shared" ca="1" si="36"/>
        <v>#VALUE!</v>
      </c>
      <c r="X124" s="199" t="e">
        <f t="shared" ca="1" si="36"/>
        <v>#VALUE!</v>
      </c>
      <c r="Y124" s="199" t="e">
        <f t="shared" ca="1" si="36"/>
        <v>#VALUE!</v>
      </c>
      <c r="Z124" s="199" t="e">
        <f t="shared" ca="1" si="36"/>
        <v>#VALUE!</v>
      </c>
      <c r="AA124" s="199" t="e">
        <f t="shared" ca="1" si="37"/>
        <v>#VALUE!</v>
      </c>
      <c r="AB124" s="199" t="e">
        <f t="shared" ca="1" si="37"/>
        <v>#VALUE!</v>
      </c>
      <c r="AC124" s="199" t="e">
        <f t="shared" ca="1" si="37"/>
        <v>#VALUE!</v>
      </c>
      <c r="AD124" s="199" t="e">
        <f t="shared" ca="1" si="37"/>
        <v>#VALUE!</v>
      </c>
      <c r="AE124" s="199" t="e">
        <f t="shared" ca="1" si="37"/>
        <v>#VALUE!</v>
      </c>
      <c r="AF124" s="199" t="e">
        <f t="shared" ca="1" si="37"/>
        <v>#VALUE!</v>
      </c>
      <c r="AG124" s="199" t="e">
        <f t="shared" ca="1" si="37"/>
        <v>#VALUE!</v>
      </c>
      <c r="AH124" s="199" t="e">
        <f t="shared" ca="1" si="37"/>
        <v>#VALUE!</v>
      </c>
      <c r="AI124" s="199" t="e">
        <f t="shared" ca="1" si="37"/>
        <v>#VALUE!</v>
      </c>
      <c r="AJ124" s="199" t="e">
        <f t="shared" ca="1" si="37"/>
        <v>#VALUE!</v>
      </c>
      <c r="AK124" s="199" t="e">
        <f t="shared" ca="1" si="37"/>
        <v>#VALUE!</v>
      </c>
      <c r="AL124" s="199" t="e">
        <f t="shared" ca="1" si="37"/>
        <v>#VALUE!</v>
      </c>
      <c r="AM124" s="199" t="e">
        <f t="shared" ca="1" si="37"/>
        <v>#VALUE!</v>
      </c>
      <c r="AN124" s="199" t="e">
        <f t="shared" ca="1" si="37"/>
        <v>#VALUE!</v>
      </c>
      <c r="AO124" s="199" t="e">
        <f t="shared" ca="1" si="37"/>
        <v>#VALUE!</v>
      </c>
      <c r="AP124" s="199" t="e">
        <f t="shared" ca="1" si="37"/>
        <v>#VALUE!</v>
      </c>
    </row>
    <row r="125" spans="1:42">
      <c r="A125" s="61" t="str">
        <f>'[4]TS BYDem'!A64</f>
        <v>*</v>
      </c>
      <c r="B125" s="199" t="s">
        <v>288</v>
      </c>
      <c r="C125" s="199" t="s">
        <v>137</v>
      </c>
      <c r="D125" s="199" t="str">
        <f>'[4]TS BYDem'!D64</f>
        <v>IISS</v>
      </c>
      <c r="E125" s="199" t="s">
        <v>137</v>
      </c>
      <c r="F125" s="199" t="s">
        <v>137</v>
      </c>
      <c r="G125" s="199" t="s">
        <v>137</v>
      </c>
      <c r="H125" s="199" t="s">
        <v>137</v>
      </c>
      <c r="I125" s="199">
        <v>0</v>
      </c>
      <c r="J125" s="199" t="str">
        <f>INDEX('[4]TS BYDem'!$J$10:$J$203,MATCH(D125,'[4]TS BYDem'!$D$10:$D$203,0))</f>
        <v/>
      </c>
      <c r="K125" s="199" t="e">
        <f t="shared" ca="1" si="36"/>
        <v>#VALUE!</v>
      </c>
      <c r="L125" s="199" t="e">
        <f t="shared" ca="1" si="36"/>
        <v>#VALUE!</v>
      </c>
      <c r="M125" s="199" t="e">
        <f t="shared" ca="1" si="36"/>
        <v>#VALUE!</v>
      </c>
      <c r="N125" s="199" t="e">
        <f t="shared" ca="1" si="36"/>
        <v>#VALUE!</v>
      </c>
      <c r="O125" s="199" t="e">
        <f t="shared" ca="1" si="36"/>
        <v>#VALUE!</v>
      </c>
      <c r="P125" s="199" t="e">
        <f t="shared" ca="1" si="36"/>
        <v>#VALUE!</v>
      </c>
      <c r="Q125" s="199" t="e">
        <f t="shared" ca="1" si="36"/>
        <v>#VALUE!</v>
      </c>
      <c r="R125" s="199" t="e">
        <f t="shared" ca="1" si="36"/>
        <v>#VALUE!</v>
      </c>
      <c r="S125" s="199" t="e">
        <f t="shared" ca="1" si="36"/>
        <v>#VALUE!</v>
      </c>
      <c r="T125" s="199" t="e">
        <f t="shared" ca="1" si="36"/>
        <v>#VALUE!</v>
      </c>
      <c r="U125" s="199" t="e">
        <f t="shared" ca="1" si="36"/>
        <v>#VALUE!</v>
      </c>
      <c r="V125" s="199" t="e">
        <f t="shared" ca="1" si="36"/>
        <v>#VALUE!</v>
      </c>
      <c r="W125" s="199" t="e">
        <f t="shared" ca="1" si="36"/>
        <v>#VALUE!</v>
      </c>
      <c r="X125" s="199" t="e">
        <f t="shared" ca="1" si="36"/>
        <v>#VALUE!</v>
      </c>
      <c r="Y125" s="199" t="e">
        <f t="shared" ca="1" si="36"/>
        <v>#VALUE!</v>
      </c>
      <c r="Z125" s="199" t="e">
        <f t="shared" ca="1" si="36"/>
        <v>#VALUE!</v>
      </c>
      <c r="AA125" s="199" t="e">
        <f t="shared" ca="1" si="37"/>
        <v>#VALUE!</v>
      </c>
      <c r="AB125" s="199" t="e">
        <f t="shared" ca="1" si="37"/>
        <v>#VALUE!</v>
      </c>
      <c r="AC125" s="199" t="e">
        <f t="shared" ca="1" si="37"/>
        <v>#VALUE!</v>
      </c>
      <c r="AD125" s="199" t="e">
        <f t="shared" ca="1" si="37"/>
        <v>#VALUE!</v>
      </c>
      <c r="AE125" s="199" t="e">
        <f t="shared" ca="1" si="37"/>
        <v>#VALUE!</v>
      </c>
      <c r="AF125" s="199" t="e">
        <f t="shared" ca="1" si="37"/>
        <v>#VALUE!</v>
      </c>
      <c r="AG125" s="199" t="e">
        <f t="shared" ca="1" si="37"/>
        <v>#VALUE!</v>
      </c>
      <c r="AH125" s="199" t="e">
        <f t="shared" ca="1" si="37"/>
        <v>#VALUE!</v>
      </c>
      <c r="AI125" s="199" t="e">
        <f t="shared" ca="1" si="37"/>
        <v>#VALUE!</v>
      </c>
      <c r="AJ125" s="199" t="e">
        <f t="shared" ca="1" si="37"/>
        <v>#VALUE!</v>
      </c>
      <c r="AK125" s="199" t="e">
        <f t="shared" ca="1" si="37"/>
        <v>#VALUE!</v>
      </c>
      <c r="AL125" s="199" t="e">
        <f t="shared" ca="1" si="37"/>
        <v>#VALUE!</v>
      </c>
      <c r="AM125" s="199" t="e">
        <f t="shared" ca="1" si="37"/>
        <v>#VALUE!</v>
      </c>
      <c r="AN125" s="199" t="e">
        <f t="shared" ca="1" si="37"/>
        <v>#VALUE!</v>
      </c>
      <c r="AO125" s="199" t="e">
        <f t="shared" ca="1" si="37"/>
        <v>#VALUE!</v>
      </c>
      <c r="AP125" s="199" t="e">
        <f t="shared" ca="1" si="37"/>
        <v>#VALUE!</v>
      </c>
    </row>
    <row r="126" spans="1:42">
      <c r="A126" s="61" t="str">
        <f>'[4]TS BYDem'!A65</f>
        <v>*</v>
      </c>
      <c r="B126" s="199" t="s">
        <v>288</v>
      </c>
      <c r="C126" s="199" t="s">
        <v>137</v>
      </c>
      <c r="D126" s="199" t="str">
        <f>'[4]TS BYDem'!D65</f>
        <v>IISS</v>
      </c>
      <c r="E126" s="199" t="s">
        <v>137</v>
      </c>
      <c r="F126" s="199" t="s">
        <v>137</v>
      </c>
      <c r="G126" s="199" t="s">
        <v>137</v>
      </c>
      <c r="H126" s="199" t="s">
        <v>137</v>
      </c>
      <c r="I126" s="199">
        <v>0</v>
      </c>
      <c r="J126" s="199" t="str">
        <f>INDEX('[4]TS BYDem'!$J$10:$J$203,MATCH(D126,'[4]TS BYDem'!$D$10:$D$203,0))</f>
        <v/>
      </c>
      <c r="K126" s="199" t="e">
        <f t="shared" ca="1" si="36"/>
        <v>#VALUE!</v>
      </c>
      <c r="L126" s="199" t="e">
        <f t="shared" ca="1" si="36"/>
        <v>#VALUE!</v>
      </c>
      <c r="M126" s="199" t="e">
        <f t="shared" ca="1" si="36"/>
        <v>#VALUE!</v>
      </c>
      <c r="N126" s="199" t="e">
        <f t="shared" ca="1" si="36"/>
        <v>#VALUE!</v>
      </c>
      <c r="O126" s="199" t="e">
        <f t="shared" ca="1" si="36"/>
        <v>#VALUE!</v>
      </c>
      <c r="P126" s="199" t="e">
        <f t="shared" ca="1" si="36"/>
        <v>#VALUE!</v>
      </c>
      <c r="Q126" s="199" t="e">
        <f t="shared" ca="1" si="36"/>
        <v>#VALUE!</v>
      </c>
      <c r="R126" s="199" t="e">
        <f t="shared" ca="1" si="36"/>
        <v>#VALUE!</v>
      </c>
      <c r="S126" s="199" t="e">
        <f t="shared" ca="1" si="36"/>
        <v>#VALUE!</v>
      </c>
      <c r="T126" s="199" t="e">
        <f t="shared" ca="1" si="36"/>
        <v>#VALUE!</v>
      </c>
      <c r="U126" s="199" t="e">
        <f t="shared" ca="1" si="36"/>
        <v>#VALUE!</v>
      </c>
      <c r="V126" s="199" t="e">
        <f t="shared" ca="1" si="36"/>
        <v>#VALUE!</v>
      </c>
      <c r="W126" s="199" t="e">
        <f t="shared" ca="1" si="36"/>
        <v>#VALUE!</v>
      </c>
      <c r="X126" s="199" t="e">
        <f t="shared" ca="1" si="36"/>
        <v>#VALUE!</v>
      </c>
      <c r="Y126" s="199" t="e">
        <f t="shared" ca="1" si="36"/>
        <v>#VALUE!</v>
      </c>
      <c r="Z126" s="199" t="e">
        <f t="shared" ca="1" si="36"/>
        <v>#VALUE!</v>
      </c>
      <c r="AA126" s="199" t="e">
        <f t="shared" ca="1" si="37"/>
        <v>#VALUE!</v>
      </c>
      <c r="AB126" s="199" t="e">
        <f t="shared" ca="1" si="37"/>
        <v>#VALUE!</v>
      </c>
      <c r="AC126" s="199" t="e">
        <f t="shared" ca="1" si="37"/>
        <v>#VALUE!</v>
      </c>
      <c r="AD126" s="199" t="e">
        <f t="shared" ca="1" si="37"/>
        <v>#VALUE!</v>
      </c>
      <c r="AE126" s="199" t="e">
        <f t="shared" ca="1" si="37"/>
        <v>#VALUE!</v>
      </c>
      <c r="AF126" s="199" t="e">
        <f t="shared" ca="1" si="37"/>
        <v>#VALUE!</v>
      </c>
      <c r="AG126" s="199" t="e">
        <f t="shared" ca="1" si="37"/>
        <v>#VALUE!</v>
      </c>
      <c r="AH126" s="199" t="e">
        <f t="shared" ca="1" si="37"/>
        <v>#VALUE!</v>
      </c>
      <c r="AI126" s="199" t="e">
        <f t="shared" ca="1" si="37"/>
        <v>#VALUE!</v>
      </c>
      <c r="AJ126" s="199" t="e">
        <f t="shared" ca="1" si="37"/>
        <v>#VALUE!</v>
      </c>
      <c r="AK126" s="199" t="e">
        <f t="shared" ca="1" si="37"/>
        <v>#VALUE!</v>
      </c>
      <c r="AL126" s="199" t="e">
        <f t="shared" ca="1" si="37"/>
        <v>#VALUE!</v>
      </c>
      <c r="AM126" s="199" t="e">
        <f t="shared" ca="1" si="37"/>
        <v>#VALUE!</v>
      </c>
      <c r="AN126" s="199" t="e">
        <f t="shared" ca="1" si="37"/>
        <v>#VALUE!</v>
      </c>
      <c r="AO126" s="199" t="e">
        <f t="shared" ca="1" si="37"/>
        <v>#VALUE!</v>
      </c>
      <c r="AP126" s="199" t="e">
        <f t="shared" ca="1" si="37"/>
        <v>#VALUE!</v>
      </c>
    </row>
    <row r="127" spans="1:42">
      <c r="A127" s="61" t="str">
        <f>'[4]TS BYDem'!A66</f>
        <v>*</v>
      </c>
      <c r="B127" s="199" t="s">
        <v>288</v>
      </c>
      <c r="C127" s="199" t="s">
        <v>137</v>
      </c>
      <c r="D127" s="199" t="str">
        <f>'[4]TS BYDem'!D66</f>
        <v>IISS</v>
      </c>
      <c r="E127" s="199" t="s">
        <v>137</v>
      </c>
      <c r="F127" s="199" t="s">
        <v>137</v>
      </c>
      <c r="G127" s="199" t="s">
        <v>137</v>
      </c>
      <c r="H127" s="199" t="s">
        <v>137</v>
      </c>
      <c r="I127" s="199">
        <v>0</v>
      </c>
      <c r="J127" s="199" t="str">
        <f>INDEX('[4]TS BYDem'!$J$10:$J$203,MATCH(D127,'[4]TS BYDem'!$D$10:$D$203,0))</f>
        <v/>
      </c>
      <c r="K127" s="199" t="e">
        <f t="shared" ca="1" si="36"/>
        <v>#VALUE!</v>
      </c>
      <c r="L127" s="199" t="e">
        <f t="shared" ca="1" si="36"/>
        <v>#VALUE!</v>
      </c>
      <c r="M127" s="199" t="e">
        <f t="shared" ca="1" si="36"/>
        <v>#VALUE!</v>
      </c>
      <c r="N127" s="199" t="e">
        <f t="shared" ca="1" si="36"/>
        <v>#VALUE!</v>
      </c>
      <c r="O127" s="199" t="e">
        <f t="shared" ca="1" si="36"/>
        <v>#VALUE!</v>
      </c>
      <c r="P127" s="199" t="e">
        <f t="shared" ca="1" si="36"/>
        <v>#VALUE!</v>
      </c>
      <c r="Q127" s="199" t="e">
        <f t="shared" ca="1" si="36"/>
        <v>#VALUE!</v>
      </c>
      <c r="R127" s="199" t="e">
        <f t="shared" ca="1" si="36"/>
        <v>#VALUE!</v>
      </c>
      <c r="S127" s="199" t="e">
        <f t="shared" ca="1" si="36"/>
        <v>#VALUE!</v>
      </c>
      <c r="T127" s="199" t="e">
        <f t="shared" ca="1" si="36"/>
        <v>#VALUE!</v>
      </c>
      <c r="U127" s="199" t="e">
        <f t="shared" ca="1" si="36"/>
        <v>#VALUE!</v>
      </c>
      <c r="V127" s="199" t="e">
        <f t="shared" ca="1" si="36"/>
        <v>#VALUE!</v>
      </c>
      <c r="W127" s="199" t="e">
        <f t="shared" ca="1" si="36"/>
        <v>#VALUE!</v>
      </c>
      <c r="X127" s="199" t="e">
        <f t="shared" ca="1" si="36"/>
        <v>#VALUE!</v>
      </c>
      <c r="Y127" s="199" t="e">
        <f t="shared" ca="1" si="36"/>
        <v>#VALUE!</v>
      </c>
      <c r="Z127" s="199" t="e">
        <f t="shared" ca="1" si="36"/>
        <v>#VALUE!</v>
      </c>
      <c r="AA127" s="199" t="e">
        <f t="shared" ca="1" si="37"/>
        <v>#VALUE!</v>
      </c>
      <c r="AB127" s="199" t="e">
        <f t="shared" ca="1" si="37"/>
        <v>#VALUE!</v>
      </c>
      <c r="AC127" s="199" t="e">
        <f t="shared" ca="1" si="37"/>
        <v>#VALUE!</v>
      </c>
      <c r="AD127" s="199" t="e">
        <f t="shared" ca="1" si="37"/>
        <v>#VALUE!</v>
      </c>
      <c r="AE127" s="199" t="e">
        <f t="shared" ca="1" si="37"/>
        <v>#VALUE!</v>
      </c>
      <c r="AF127" s="199" t="e">
        <f t="shared" ca="1" si="37"/>
        <v>#VALUE!</v>
      </c>
      <c r="AG127" s="199" t="e">
        <f t="shared" ca="1" si="37"/>
        <v>#VALUE!</v>
      </c>
      <c r="AH127" s="199" t="e">
        <f t="shared" ca="1" si="37"/>
        <v>#VALUE!</v>
      </c>
      <c r="AI127" s="199" t="e">
        <f t="shared" ca="1" si="37"/>
        <v>#VALUE!</v>
      </c>
      <c r="AJ127" s="199" t="e">
        <f t="shared" ca="1" si="37"/>
        <v>#VALUE!</v>
      </c>
      <c r="AK127" s="199" t="e">
        <f t="shared" ca="1" si="37"/>
        <v>#VALUE!</v>
      </c>
      <c r="AL127" s="199" t="e">
        <f t="shared" ca="1" si="37"/>
        <v>#VALUE!</v>
      </c>
      <c r="AM127" s="199" t="e">
        <f t="shared" ca="1" si="37"/>
        <v>#VALUE!</v>
      </c>
      <c r="AN127" s="199" t="e">
        <f t="shared" ca="1" si="37"/>
        <v>#VALUE!</v>
      </c>
      <c r="AO127" s="199" t="e">
        <f t="shared" ca="1" si="37"/>
        <v>#VALUE!</v>
      </c>
      <c r="AP127" s="199" t="e">
        <f t="shared" ca="1" si="37"/>
        <v>#VALUE!</v>
      </c>
    </row>
    <row r="128" spans="1:42">
      <c r="A128" s="61" t="str">
        <f>'[4]TS BYDem'!A67</f>
        <v>*</v>
      </c>
      <c r="B128" s="199" t="s">
        <v>288</v>
      </c>
      <c r="C128" s="199" t="s">
        <v>137</v>
      </c>
      <c r="D128" s="199" t="str">
        <f>'[4]TS BYDem'!D67</f>
        <v>IISS</v>
      </c>
      <c r="E128" s="199" t="s">
        <v>137</v>
      </c>
      <c r="F128" s="199" t="s">
        <v>137</v>
      </c>
      <c r="G128" s="199" t="s">
        <v>137</v>
      </c>
      <c r="H128" s="199" t="s">
        <v>137</v>
      </c>
      <c r="I128" s="199">
        <v>0</v>
      </c>
      <c r="J128" s="199" t="str">
        <f>INDEX('[4]TS BYDem'!$J$10:$J$203,MATCH(D128,'[4]TS BYDem'!$D$10:$D$203,0))</f>
        <v/>
      </c>
      <c r="K128" s="199" t="e">
        <f t="shared" ca="1" si="36"/>
        <v>#VALUE!</v>
      </c>
      <c r="L128" s="199" t="e">
        <f t="shared" ca="1" si="36"/>
        <v>#VALUE!</v>
      </c>
      <c r="M128" s="199" t="e">
        <f t="shared" ca="1" si="36"/>
        <v>#VALUE!</v>
      </c>
      <c r="N128" s="199" t="e">
        <f t="shared" ca="1" si="36"/>
        <v>#VALUE!</v>
      </c>
      <c r="O128" s="199" t="e">
        <f t="shared" ca="1" si="36"/>
        <v>#VALUE!</v>
      </c>
      <c r="P128" s="199" t="e">
        <f t="shared" ca="1" si="36"/>
        <v>#VALUE!</v>
      </c>
      <c r="Q128" s="199" t="e">
        <f t="shared" ca="1" si="36"/>
        <v>#VALUE!</v>
      </c>
      <c r="R128" s="199" t="e">
        <f t="shared" ca="1" si="36"/>
        <v>#VALUE!</v>
      </c>
      <c r="S128" s="199" t="e">
        <f t="shared" ca="1" si="36"/>
        <v>#VALUE!</v>
      </c>
      <c r="T128" s="199" t="e">
        <f t="shared" ca="1" si="36"/>
        <v>#VALUE!</v>
      </c>
      <c r="U128" s="199" t="e">
        <f t="shared" ca="1" si="36"/>
        <v>#VALUE!</v>
      </c>
      <c r="V128" s="199" t="e">
        <f t="shared" ca="1" si="36"/>
        <v>#VALUE!</v>
      </c>
      <c r="W128" s="199" t="e">
        <f t="shared" ca="1" si="36"/>
        <v>#VALUE!</v>
      </c>
      <c r="X128" s="199" t="e">
        <f t="shared" ca="1" si="36"/>
        <v>#VALUE!</v>
      </c>
      <c r="Y128" s="199" t="e">
        <f t="shared" ca="1" si="36"/>
        <v>#VALUE!</v>
      </c>
      <c r="Z128" s="199" t="e">
        <f t="shared" ref="Z128:AO132" ca="1" si="38">Z$112/Y$112*Y128</f>
        <v>#VALUE!</v>
      </c>
      <c r="AA128" s="199" t="e">
        <f t="shared" ca="1" si="37"/>
        <v>#VALUE!</v>
      </c>
      <c r="AB128" s="199" t="e">
        <f t="shared" ca="1" si="37"/>
        <v>#VALUE!</v>
      </c>
      <c r="AC128" s="199" t="e">
        <f t="shared" ca="1" si="37"/>
        <v>#VALUE!</v>
      </c>
      <c r="AD128" s="199" t="e">
        <f t="shared" ca="1" si="37"/>
        <v>#VALUE!</v>
      </c>
      <c r="AE128" s="199" t="e">
        <f t="shared" ca="1" si="37"/>
        <v>#VALUE!</v>
      </c>
      <c r="AF128" s="199" t="e">
        <f t="shared" ca="1" si="37"/>
        <v>#VALUE!</v>
      </c>
      <c r="AG128" s="199" t="e">
        <f t="shared" ca="1" si="37"/>
        <v>#VALUE!</v>
      </c>
      <c r="AH128" s="199" t="e">
        <f t="shared" ca="1" si="37"/>
        <v>#VALUE!</v>
      </c>
      <c r="AI128" s="199" t="e">
        <f t="shared" ca="1" si="37"/>
        <v>#VALUE!</v>
      </c>
      <c r="AJ128" s="199" t="e">
        <f t="shared" ca="1" si="37"/>
        <v>#VALUE!</v>
      </c>
      <c r="AK128" s="199" t="e">
        <f t="shared" ca="1" si="37"/>
        <v>#VALUE!</v>
      </c>
      <c r="AL128" s="199" t="e">
        <f t="shared" ca="1" si="37"/>
        <v>#VALUE!</v>
      </c>
      <c r="AM128" s="199" t="e">
        <f t="shared" ca="1" si="37"/>
        <v>#VALUE!</v>
      </c>
      <c r="AN128" s="199" t="e">
        <f t="shared" ca="1" si="37"/>
        <v>#VALUE!</v>
      </c>
      <c r="AO128" s="199" t="e">
        <f t="shared" ca="1" si="37"/>
        <v>#VALUE!</v>
      </c>
      <c r="AP128" s="199" t="e">
        <f t="shared" ref="AP128:AP132" ca="1" si="39">AP$112/AO$112*AO128</f>
        <v>#VALUE!</v>
      </c>
    </row>
    <row r="129" spans="1:42">
      <c r="A129" s="61" t="str">
        <f>'[4]TS BYDem'!A68</f>
        <v>*</v>
      </c>
      <c r="B129" s="199" t="s">
        <v>288</v>
      </c>
      <c r="C129" s="199" t="s">
        <v>137</v>
      </c>
      <c r="D129" s="199">
        <f>'[4]TS BYDem'!D68</f>
        <v>0</v>
      </c>
      <c r="E129" s="199" t="s">
        <v>137</v>
      </c>
      <c r="F129" s="199" t="s">
        <v>137</v>
      </c>
      <c r="G129" s="199" t="s">
        <v>137</v>
      </c>
      <c r="H129" s="199" t="s">
        <v>137</v>
      </c>
      <c r="I129" s="199">
        <v>0</v>
      </c>
      <c r="J129" s="199" t="str">
        <f>INDEX('[4]TS BYDem'!$J$10:$J$203,MATCH(D129,'[4]TS BYDem'!$D$10:$D$203,0))</f>
        <v/>
      </c>
      <c r="K129" s="199" t="e">
        <f t="shared" ref="K129:Z132" ca="1" si="40">K$112/J$112*J129</f>
        <v>#VALUE!</v>
      </c>
      <c r="L129" s="199" t="e">
        <f t="shared" ca="1" si="40"/>
        <v>#VALUE!</v>
      </c>
      <c r="M129" s="199" t="e">
        <f t="shared" ca="1" si="40"/>
        <v>#VALUE!</v>
      </c>
      <c r="N129" s="199" t="e">
        <f t="shared" ca="1" si="40"/>
        <v>#VALUE!</v>
      </c>
      <c r="O129" s="199" t="e">
        <f t="shared" ca="1" si="40"/>
        <v>#VALUE!</v>
      </c>
      <c r="P129" s="199" t="e">
        <f t="shared" ca="1" si="40"/>
        <v>#VALUE!</v>
      </c>
      <c r="Q129" s="199" t="e">
        <f t="shared" ca="1" si="40"/>
        <v>#VALUE!</v>
      </c>
      <c r="R129" s="199" t="e">
        <f t="shared" ca="1" si="40"/>
        <v>#VALUE!</v>
      </c>
      <c r="S129" s="199" t="e">
        <f t="shared" ca="1" si="40"/>
        <v>#VALUE!</v>
      </c>
      <c r="T129" s="199" t="e">
        <f t="shared" ca="1" si="40"/>
        <v>#VALUE!</v>
      </c>
      <c r="U129" s="199" t="e">
        <f t="shared" ca="1" si="40"/>
        <v>#VALUE!</v>
      </c>
      <c r="V129" s="199" t="e">
        <f t="shared" ca="1" si="40"/>
        <v>#VALUE!</v>
      </c>
      <c r="W129" s="199" t="e">
        <f t="shared" ca="1" si="40"/>
        <v>#VALUE!</v>
      </c>
      <c r="X129" s="199" t="e">
        <f t="shared" ca="1" si="40"/>
        <v>#VALUE!</v>
      </c>
      <c r="Y129" s="199" t="e">
        <f t="shared" ca="1" si="40"/>
        <v>#VALUE!</v>
      </c>
      <c r="Z129" s="199" t="e">
        <f t="shared" ca="1" si="38"/>
        <v>#VALUE!</v>
      </c>
      <c r="AA129" s="199" t="e">
        <f t="shared" ca="1" si="38"/>
        <v>#VALUE!</v>
      </c>
      <c r="AB129" s="199" t="e">
        <f t="shared" ca="1" si="38"/>
        <v>#VALUE!</v>
      </c>
      <c r="AC129" s="199" t="e">
        <f t="shared" ca="1" si="38"/>
        <v>#VALUE!</v>
      </c>
      <c r="AD129" s="199" t="e">
        <f t="shared" ca="1" si="38"/>
        <v>#VALUE!</v>
      </c>
      <c r="AE129" s="199" t="e">
        <f t="shared" ca="1" si="38"/>
        <v>#VALUE!</v>
      </c>
      <c r="AF129" s="199" t="e">
        <f t="shared" ca="1" si="38"/>
        <v>#VALUE!</v>
      </c>
      <c r="AG129" s="199" t="e">
        <f t="shared" ca="1" si="38"/>
        <v>#VALUE!</v>
      </c>
      <c r="AH129" s="199" t="e">
        <f t="shared" ca="1" si="38"/>
        <v>#VALUE!</v>
      </c>
      <c r="AI129" s="199" t="e">
        <f t="shared" ca="1" si="38"/>
        <v>#VALUE!</v>
      </c>
      <c r="AJ129" s="199" t="e">
        <f t="shared" ca="1" si="38"/>
        <v>#VALUE!</v>
      </c>
      <c r="AK129" s="199" t="e">
        <f t="shared" ca="1" si="38"/>
        <v>#VALUE!</v>
      </c>
      <c r="AL129" s="199" t="e">
        <f t="shared" ca="1" si="38"/>
        <v>#VALUE!</v>
      </c>
      <c r="AM129" s="199" t="e">
        <f t="shared" ca="1" si="38"/>
        <v>#VALUE!</v>
      </c>
      <c r="AN129" s="199" t="e">
        <f t="shared" ca="1" si="38"/>
        <v>#VALUE!</v>
      </c>
      <c r="AO129" s="199" t="e">
        <f t="shared" ca="1" si="38"/>
        <v>#VALUE!</v>
      </c>
      <c r="AP129" s="199" t="e">
        <f t="shared" ca="1" si="39"/>
        <v>#VALUE!</v>
      </c>
    </row>
    <row r="130" spans="1:42">
      <c r="A130" s="61" t="str">
        <f>'[4]TS BYDem'!A69</f>
        <v>*</v>
      </c>
      <c r="B130" s="199" t="s">
        <v>288</v>
      </c>
      <c r="C130" s="199" t="s">
        <v>137</v>
      </c>
      <c r="D130" s="199" t="str">
        <f>'[4]TS BYDem'!D69</f>
        <v>IIST</v>
      </c>
      <c r="E130" s="199" t="s">
        <v>137</v>
      </c>
      <c r="F130" s="199" t="s">
        <v>137</v>
      </c>
      <c r="G130" s="199" t="s">
        <v>137</v>
      </c>
      <c r="H130" s="199" t="s">
        <v>137</v>
      </c>
      <c r="I130" s="199">
        <v>0</v>
      </c>
      <c r="J130" s="199" t="str">
        <f>INDEX('[4]TS BYDem'!$J$10:$J$203,MATCH(D130,'[4]TS BYDem'!$D$10:$D$203,0))</f>
        <v/>
      </c>
      <c r="K130" s="199" t="e">
        <f t="shared" ca="1" si="40"/>
        <v>#VALUE!</v>
      </c>
      <c r="L130" s="199" t="e">
        <f t="shared" ca="1" si="40"/>
        <v>#VALUE!</v>
      </c>
      <c r="M130" s="199" t="e">
        <f t="shared" ca="1" si="40"/>
        <v>#VALUE!</v>
      </c>
      <c r="N130" s="199" t="e">
        <f t="shared" ca="1" si="40"/>
        <v>#VALUE!</v>
      </c>
      <c r="O130" s="199" t="e">
        <f t="shared" ca="1" si="40"/>
        <v>#VALUE!</v>
      </c>
      <c r="P130" s="199" t="e">
        <f t="shared" ca="1" si="40"/>
        <v>#VALUE!</v>
      </c>
      <c r="Q130" s="199" t="e">
        <f t="shared" ca="1" si="40"/>
        <v>#VALUE!</v>
      </c>
      <c r="R130" s="199" t="e">
        <f t="shared" ca="1" si="40"/>
        <v>#VALUE!</v>
      </c>
      <c r="S130" s="199" t="e">
        <f t="shared" ca="1" si="40"/>
        <v>#VALUE!</v>
      </c>
      <c r="T130" s="199" t="e">
        <f t="shared" ca="1" si="40"/>
        <v>#VALUE!</v>
      </c>
      <c r="U130" s="199" t="e">
        <f t="shared" ca="1" si="40"/>
        <v>#VALUE!</v>
      </c>
      <c r="V130" s="199" t="e">
        <f t="shared" ca="1" si="40"/>
        <v>#VALUE!</v>
      </c>
      <c r="W130" s="199" t="e">
        <f t="shared" ca="1" si="40"/>
        <v>#VALUE!</v>
      </c>
      <c r="X130" s="199" t="e">
        <f t="shared" ca="1" si="40"/>
        <v>#VALUE!</v>
      </c>
      <c r="Y130" s="199" t="e">
        <f t="shared" ca="1" si="40"/>
        <v>#VALUE!</v>
      </c>
      <c r="Z130" s="199" t="e">
        <f t="shared" ca="1" si="38"/>
        <v>#VALUE!</v>
      </c>
      <c r="AA130" s="199" t="e">
        <f t="shared" ca="1" si="38"/>
        <v>#VALUE!</v>
      </c>
      <c r="AB130" s="199" t="e">
        <f t="shared" ca="1" si="38"/>
        <v>#VALUE!</v>
      </c>
      <c r="AC130" s="199" t="e">
        <f t="shared" ca="1" si="38"/>
        <v>#VALUE!</v>
      </c>
      <c r="AD130" s="199" t="e">
        <f t="shared" ca="1" si="38"/>
        <v>#VALUE!</v>
      </c>
      <c r="AE130" s="199" t="e">
        <f t="shared" ca="1" si="38"/>
        <v>#VALUE!</v>
      </c>
      <c r="AF130" s="199" t="e">
        <f t="shared" ca="1" si="38"/>
        <v>#VALUE!</v>
      </c>
      <c r="AG130" s="199" t="e">
        <f t="shared" ca="1" si="38"/>
        <v>#VALUE!</v>
      </c>
      <c r="AH130" s="199" t="e">
        <f t="shared" ca="1" si="38"/>
        <v>#VALUE!</v>
      </c>
      <c r="AI130" s="199" t="e">
        <f t="shared" ca="1" si="38"/>
        <v>#VALUE!</v>
      </c>
      <c r="AJ130" s="199" t="e">
        <f t="shared" ca="1" si="38"/>
        <v>#VALUE!</v>
      </c>
      <c r="AK130" s="199" t="e">
        <f t="shared" ca="1" si="38"/>
        <v>#VALUE!</v>
      </c>
      <c r="AL130" s="199" t="e">
        <f t="shared" ca="1" si="38"/>
        <v>#VALUE!</v>
      </c>
      <c r="AM130" s="199" t="e">
        <f t="shared" ca="1" si="38"/>
        <v>#VALUE!</v>
      </c>
      <c r="AN130" s="199" t="e">
        <f t="shared" ca="1" si="38"/>
        <v>#VALUE!</v>
      </c>
      <c r="AO130" s="199" t="e">
        <f t="shared" ca="1" si="38"/>
        <v>#VALUE!</v>
      </c>
      <c r="AP130" s="199" t="e">
        <f t="shared" ca="1" si="39"/>
        <v>#VALUE!</v>
      </c>
    </row>
    <row r="131" spans="1:42">
      <c r="A131" s="61" t="str">
        <f>'[4]TS BYDem'!A70</f>
        <v>*</v>
      </c>
      <c r="B131" s="199" t="s">
        <v>288</v>
      </c>
      <c r="C131" s="199" t="s">
        <v>137</v>
      </c>
      <c r="D131" s="199" t="str">
        <f>'[4]TS BYDem'!D70</f>
        <v>Useful Energy Service</v>
      </c>
      <c r="E131" s="199" t="s">
        <v>137</v>
      </c>
      <c r="F131" s="199" t="s">
        <v>137</v>
      </c>
      <c r="G131" s="199" t="s">
        <v>137</v>
      </c>
      <c r="H131" s="199" t="s">
        <v>137</v>
      </c>
      <c r="I131" s="199">
        <v>0</v>
      </c>
      <c r="J131" s="199" t="str">
        <f>INDEX('[4]TS BYDem'!$J$10:$J$203,MATCH(D131,'[4]TS BYDem'!$D$10:$D$203,0))</f>
        <v/>
      </c>
      <c r="K131" s="199" t="e">
        <f t="shared" ca="1" si="40"/>
        <v>#VALUE!</v>
      </c>
      <c r="L131" s="199" t="e">
        <f t="shared" ca="1" si="40"/>
        <v>#VALUE!</v>
      </c>
      <c r="M131" s="199" t="e">
        <f t="shared" ca="1" si="40"/>
        <v>#VALUE!</v>
      </c>
      <c r="N131" s="199" t="e">
        <f t="shared" ca="1" si="40"/>
        <v>#VALUE!</v>
      </c>
      <c r="O131" s="199" t="e">
        <f t="shared" ca="1" si="40"/>
        <v>#VALUE!</v>
      </c>
      <c r="P131" s="199" t="e">
        <f t="shared" ca="1" si="40"/>
        <v>#VALUE!</v>
      </c>
      <c r="Q131" s="199" t="e">
        <f t="shared" ca="1" si="40"/>
        <v>#VALUE!</v>
      </c>
      <c r="R131" s="199" t="e">
        <f t="shared" ca="1" si="40"/>
        <v>#VALUE!</v>
      </c>
      <c r="S131" s="199" t="e">
        <f t="shared" ca="1" si="40"/>
        <v>#VALUE!</v>
      </c>
      <c r="T131" s="199" t="e">
        <f t="shared" ca="1" si="40"/>
        <v>#VALUE!</v>
      </c>
      <c r="U131" s="199" t="e">
        <f t="shared" ca="1" si="40"/>
        <v>#VALUE!</v>
      </c>
      <c r="V131" s="199" t="e">
        <f t="shared" ca="1" si="40"/>
        <v>#VALUE!</v>
      </c>
      <c r="W131" s="199" t="e">
        <f t="shared" ca="1" si="40"/>
        <v>#VALUE!</v>
      </c>
      <c r="X131" s="199" t="e">
        <f t="shared" ca="1" si="40"/>
        <v>#VALUE!</v>
      </c>
      <c r="Y131" s="199" t="e">
        <f t="shared" ca="1" si="40"/>
        <v>#VALUE!</v>
      </c>
      <c r="Z131" s="199" t="e">
        <f t="shared" ca="1" si="38"/>
        <v>#VALUE!</v>
      </c>
      <c r="AA131" s="199" t="e">
        <f t="shared" ca="1" si="38"/>
        <v>#VALUE!</v>
      </c>
      <c r="AB131" s="199" t="e">
        <f t="shared" ca="1" si="38"/>
        <v>#VALUE!</v>
      </c>
      <c r="AC131" s="199" t="e">
        <f t="shared" ca="1" si="38"/>
        <v>#VALUE!</v>
      </c>
      <c r="AD131" s="199" t="e">
        <f t="shared" ca="1" si="38"/>
        <v>#VALUE!</v>
      </c>
      <c r="AE131" s="199" t="e">
        <f t="shared" ca="1" si="38"/>
        <v>#VALUE!</v>
      </c>
      <c r="AF131" s="199" t="e">
        <f t="shared" ca="1" si="38"/>
        <v>#VALUE!</v>
      </c>
      <c r="AG131" s="199" t="e">
        <f t="shared" ca="1" si="38"/>
        <v>#VALUE!</v>
      </c>
      <c r="AH131" s="199" t="e">
        <f t="shared" ca="1" si="38"/>
        <v>#VALUE!</v>
      </c>
      <c r="AI131" s="199" t="e">
        <f t="shared" ca="1" si="38"/>
        <v>#VALUE!</v>
      </c>
      <c r="AJ131" s="199" t="e">
        <f t="shared" ca="1" si="38"/>
        <v>#VALUE!</v>
      </c>
      <c r="AK131" s="199" t="e">
        <f t="shared" ca="1" si="38"/>
        <v>#VALUE!</v>
      </c>
      <c r="AL131" s="199" t="e">
        <f t="shared" ca="1" si="38"/>
        <v>#VALUE!</v>
      </c>
      <c r="AM131" s="199" t="e">
        <f t="shared" ca="1" si="38"/>
        <v>#VALUE!</v>
      </c>
      <c r="AN131" s="199" t="e">
        <f t="shared" ca="1" si="38"/>
        <v>#VALUE!</v>
      </c>
      <c r="AO131" s="199" t="e">
        <f t="shared" ca="1" si="38"/>
        <v>#VALUE!</v>
      </c>
      <c r="AP131" s="199" t="e">
        <f t="shared" ca="1" si="39"/>
        <v>#VALUE!</v>
      </c>
    </row>
    <row r="132" spans="1:42">
      <c r="A132" s="61" t="str">
        <f>'[4]TS BYDem'!A71</f>
        <v>*</v>
      </c>
      <c r="B132" s="199" t="s">
        <v>288</v>
      </c>
      <c r="C132" s="199" t="s">
        <v>137</v>
      </c>
      <c r="D132" s="199">
        <f>'[4]TS BYDem'!D71</f>
        <v>0</v>
      </c>
      <c r="E132" s="199" t="s">
        <v>137</v>
      </c>
      <c r="F132" s="199" t="s">
        <v>137</v>
      </c>
      <c r="G132" s="199" t="s">
        <v>137</v>
      </c>
      <c r="H132" s="199" t="s">
        <v>137</v>
      </c>
      <c r="I132" s="199">
        <v>0</v>
      </c>
      <c r="J132" s="199" t="str">
        <f>INDEX('[4]TS BYDem'!$J$10:$J$203,MATCH(D132,'[4]TS BYDem'!$D$10:$D$203,0))</f>
        <v/>
      </c>
      <c r="K132" s="199" t="e">
        <f t="shared" ca="1" si="40"/>
        <v>#VALUE!</v>
      </c>
      <c r="L132" s="199" t="e">
        <f t="shared" ca="1" si="40"/>
        <v>#VALUE!</v>
      </c>
      <c r="M132" s="199" t="e">
        <f t="shared" ca="1" si="40"/>
        <v>#VALUE!</v>
      </c>
      <c r="N132" s="199" t="e">
        <f t="shared" ca="1" si="40"/>
        <v>#VALUE!</v>
      </c>
      <c r="O132" s="199" t="e">
        <f t="shared" ca="1" si="40"/>
        <v>#VALUE!</v>
      </c>
      <c r="P132" s="199" t="e">
        <f t="shared" ca="1" si="40"/>
        <v>#VALUE!</v>
      </c>
      <c r="Q132" s="199" t="e">
        <f t="shared" ca="1" si="40"/>
        <v>#VALUE!</v>
      </c>
      <c r="R132" s="199" t="e">
        <f t="shared" ca="1" si="40"/>
        <v>#VALUE!</v>
      </c>
      <c r="S132" s="199" t="e">
        <f t="shared" ca="1" si="40"/>
        <v>#VALUE!</v>
      </c>
      <c r="T132" s="199" t="e">
        <f t="shared" ca="1" si="40"/>
        <v>#VALUE!</v>
      </c>
      <c r="U132" s="199" t="e">
        <f t="shared" ca="1" si="40"/>
        <v>#VALUE!</v>
      </c>
      <c r="V132" s="199" t="e">
        <f t="shared" ca="1" si="40"/>
        <v>#VALUE!</v>
      </c>
      <c r="W132" s="199" t="e">
        <f t="shared" ca="1" si="40"/>
        <v>#VALUE!</v>
      </c>
      <c r="X132" s="199" t="e">
        <f t="shared" ca="1" si="40"/>
        <v>#VALUE!</v>
      </c>
      <c r="Y132" s="199" t="e">
        <f t="shared" ca="1" si="40"/>
        <v>#VALUE!</v>
      </c>
      <c r="Z132" s="199" t="e">
        <f t="shared" ca="1" si="40"/>
        <v>#VALUE!</v>
      </c>
      <c r="AA132" s="199" t="e">
        <f t="shared" ca="1" si="38"/>
        <v>#VALUE!</v>
      </c>
      <c r="AB132" s="199" t="e">
        <f t="shared" ca="1" si="38"/>
        <v>#VALUE!</v>
      </c>
      <c r="AC132" s="199" t="e">
        <f t="shared" ca="1" si="38"/>
        <v>#VALUE!</v>
      </c>
      <c r="AD132" s="199" t="e">
        <f t="shared" ca="1" si="38"/>
        <v>#VALUE!</v>
      </c>
      <c r="AE132" s="199" t="e">
        <f t="shared" ca="1" si="38"/>
        <v>#VALUE!</v>
      </c>
      <c r="AF132" s="199" t="e">
        <f t="shared" ca="1" si="38"/>
        <v>#VALUE!</v>
      </c>
      <c r="AG132" s="199" t="e">
        <f t="shared" ca="1" si="38"/>
        <v>#VALUE!</v>
      </c>
      <c r="AH132" s="199" t="e">
        <f t="shared" ca="1" si="38"/>
        <v>#VALUE!</v>
      </c>
      <c r="AI132" s="199" t="e">
        <f t="shared" ca="1" si="38"/>
        <v>#VALUE!</v>
      </c>
      <c r="AJ132" s="199" t="e">
        <f t="shared" ca="1" si="38"/>
        <v>#VALUE!</v>
      </c>
      <c r="AK132" s="199" t="e">
        <f t="shared" ca="1" si="38"/>
        <v>#VALUE!</v>
      </c>
      <c r="AL132" s="199" t="e">
        <f t="shared" ca="1" si="38"/>
        <v>#VALUE!</v>
      </c>
      <c r="AM132" s="199" t="e">
        <f t="shared" ca="1" si="38"/>
        <v>#VALUE!</v>
      </c>
      <c r="AN132" s="199" t="e">
        <f t="shared" ca="1" si="38"/>
        <v>#VALUE!</v>
      </c>
      <c r="AO132" s="199" t="e">
        <f t="shared" ca="1" si="38"/>
        <v>#VALUE!</v>
      </c>
      <c r="AP132" s="199" t="e">
        <f t="shared" ca="1" si="39"/>
        <v>#VALUE!</v>
      </c>
    </row>
    <row r="133" spans="1:42" s="5" customFormat="1">
      <c r="A133" s="61" t="str">
        <f>'[4]TS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54.42</v>
      </c>
      <c r="L133" s="5">
        <f t="shared" ca="1" si="41"/>
        <v>55.54</v>
      </c>
      <c r="M133" s="5">
        <f t="shared" ca="1" si="41"/>
        <v>56.23</v>
      </c>
      <c r="N133" s="5">
        <f t="shared" ca="1" si="41"/>
        <v>56.92</v>
      </c>
      <c r="O133" s="5">
        <f t="shared" ca="1" si="41"/>
        <v>57.4</v>
      </c>
      <c r="P133" s="5">
        <f t="shared" ca="1" si="41"/>
        <v>58.26</v>
      </c>
      <c r="Q133" s="5">
        <f t="shared" ca="1" si="41"/>
        <v>58.61</v>
      </c>
      <c r="R133" s="5">
        <f t="shared" ca="1" si="41"/>
        <v>54.23</v>
      </c>
      <c r="S133" s="5">
        <f t="shared" ca="1" si="41"/>
        <v>56.56</v>
      </c>
      <c r="T133" s="5">
        <f t="shared" ca="1" si="41"/>
        <v>58.58</v>
      </c>
      <c r="U133" s="5">
        <f t="shared" ca="1" si="41"/>
        <v>60.71</v>
      </c>
      <c r="V133" s="5">
        <f t="shared" ca="1" si="41"/>
        <v>63.17</v>
      </c>
      <c r="W133" s="5">
        <f t="shared" ca="1" si="41"/>
        <v>65.87</v>
      </c>
      <c r="X133" s="5">
        <f t="shared" ca="1" si="41"/>
        <v>68.75</v>
      </c>
      <c r="Y133" s="5">
        <f t="shared" ca="1" si="41"/>
        <v>71.84</v>
      </c>
      <c r="Z133" s="5">
        <f t="shared" ca="1" si="41"/>
        <v>75.19</v>
      </c>
      <c r="AA133" s="5">
        <f t="shared" ca="1" si="41"/>
        <v>78.97</v>
      </c>
      <c r="AB133" s="5">
        <f t="shared" ca="1" si="41"/>
        <v>82.97</v>
      </c>
      <c r="AC133" s="5">
        <f t="shared" ca="1" si="41"/>
        <v>86.85</v>
      </c>
      <c r="AD133" s="5">
        <f t="shared" ca="1" si="41"/>
        <v>90.96</v>
      </c>
      <c r="AE133" s="5">
        <f t="shared" ca="1" si="41"/>
        <v>95.23</v>
      </c>
      <c r="AF133" s="5">
        <f t="shared" ca="1" si="41"/>
        <v>99.76</v>
      </c>
      <c r="AG133" s="5">
        <f t="shared" ca="1" si="41"/>
        <v>104.17</v>
      </c>
      <c r="AH133" s="5">
        <f t="shared" ca="1" si="41"/>
        <v>108.73</v>
      </c>
      <c r="AI133" s="5">
        <f t="shared" ca="1" si="41"/>
        <v>113.82</v>
      </c>
      <c r="AJ133" s="5">
        <f t="shared" ca="1" si="41"/>
        <v>119.24</v>
      </c>
      <c r="AK133" s="5">
        <f t="shared" ca="1" si="41"/>
        <v>125</v>
      </c>
      <c r="AL133" s="5">
        <f t="shared" ca="1" si="41"/>
        <v>131.04</v>
      </c>
      <c r="AM133" s="5">
        <f t="shared" ca="1" si="41"/>
        <v>168.26</v>
      </c>
      <c r="AN133" s="5">
        <f t="shared" ca="1" si="41"/>
        <v>216.25</v>
      </c>
      <c r="AO133" s="5">
        <f t="shared" ca="1" si="41"/>
        <v>299.66499999999724</v>
      </c>
      <c r="AP133" s="5">
        <f t="shared" ca="1" si="41"/>
        <v>384.87499999999636</v>
      </c>
    </row>
    <row r="134" spans="1:42">
      <c r="A134" s="61" t="str">
        <f>'[4]TS BYDem'!A73</f>
        <v/>
      </c>
      <c r="B134" s="199" t="s">
        <v>288</v>
      </c>
      <c r="C134" s="199" t="s">
        <v>137</v>
      </c>
      <c r="D134" s="199" t="str">
        <f>'[4]TS BYDem'!D73</f>
        <v>ICPK</v>
      </c>
      <c r="E134" s="199" t="s">
        <v>137</v>
      </c>
      <c r="F134" s="199" t="s">
        <v>137</v>
      </c>
      <c r="G134" s="199" t="s">
        <v>137</v>
      </c>
      <c r="H134" s="199" t="s">
        <v>137</v>
      </c>
      <c r="I134" s="199">
        <v>0</v>
      </c>
      <c r="J134" s="199">
        <f>INDEX('[4]TS BYDem'!$J$10:$J$203,MATCH(D134,'[4]TS BYDem'!$D$10:$D$203,0))</f>
        <v>0.55647663194961794</v>
      </c>
      <c r="K134" s="199">
        <f ca="1">K$133/J$133*J134</f>
        <v>0.57344174040329876</v>
      </c>
      <c r="L134" s="199">
        <f t="shared" ref="L134:AA134" ca="1" si="42">L$133/K$133*K134</f>
        <v>0.58524355497977232</v>
      </c>
      <c r="M134" s="206">
        <f t="shared" ref="M134:M142" si="43">O134</f>
        <v>0.80918000000000012</v>
      </c>
      <c r="N134" s="206">
        <f t="shared" ref="N134:N142" si="44">O134</f>
        <v>0.80918000000000012</v>
      </c>
      <c r="O134" s="206">
        <f>INDEX('[4]TS BYDem'!$O$10:$O$203,MATCH(D134,'[4]TS BYDem'!$D$10:$D$203,0))</f>
        <v>0.80918000000000012</v>
      </c>
      <c r="P134" s="199">
        <f t="shared" ca="1" si="42"/>
        <v>0.82130360278745662</v>
      </c>
      <c r="Q134" s="199">
        <f t="shared" ca="1" si="42"/>
        <v>0.82623762717770055</v>
      </c>
      <c r="R134" s="199">
        <f t="shared" ca="1" si="42"/>
        <v>0.76449183623693395</v>
      </c>
      <c r="S134" s="199">
        <f t="shared" ca="1" si="42"/>
        <v>0.79733834146341476</v>
      </c>
      <c r="T134" s="199">
        <f t="shared" ca="1" si="42"/>
        <v>0.82581471080139379</v>
      </c>
      <c r="U134" s="199">
        <f t="shared" ca="1" si="42"/>
        <v>0.85584177351916391</v>
      </c>
      <c r="V134" s="199">
        <f t="shared" ca="1" si="42"/>
        <v>0.89052091637630693</v>
      </c>
      <c r="W134" s="199">
        <f t="shared" ca="1" si="42"/>
        <v>0.9285833902439028</v>
      </c>
      <c r="X134" s="199">
        <f t="shared" ca="1" si="42"/>
        <v>0.96918336236933833</v>
      </c>
      <c r="Y134" s="199">
        <f t="shared" ca="1" si="42"/>
        <v>1.0127437491289204</v>
      </c>
      <c r="Z134" s="199">
        <f t="shared" ca="1" si="42"/>
        <v>1.0599694111498261</v>
      </c>
      <c r="AA134" s="199">
        <f t="shared" ca="1" si="42"/>
        <v>1.1132568745644604</v>
      </c>
      <c r="AB134" s="199">
        <f t="shared" ref="AA134:AP149" ca="1" si="45">AB$133/AA$133*AA134</f>
        <v>1.1696457247386765</v>
      </c>
      <c r="AC134" s="199">
        <f t="shared" ca="1" si="45"/>
        <v>1.2243429094076659</v>
      </c>
      <c r="AD134" s="199">
        <f t="shared" ca="1" si="45"/>
        <v>1.2822824529616728</v>
      </c>
      <c r="AE134" s="199">
        <f t="shared" ca="1" si="45"/>
        <v>1.3424775505226485</v>
      </c>
      <c r="AF134" s="199">
        <f t="shared" ca="1" si="45"/>
        <v>1.4063379233449482</v>
      </c>
      <c r="AG134" s="199">
        <f t="shared" ca="1" si="45"/>
        <v>1.4685066306620214</v>
      </c>
      <c r="AH134" s="199">
        <f t="shared" ca="1" si="45"/>
        <v>1.5327899198606276</v>
      </c>
      <c r="AI134" s="199">
        <f t="shared" ca="1" si="45"/>
        <v>1.6045447317073174</v>
      </c>
      <c r="AJ134" s="199">
        <f t="shared" ca="1" si="45"/>
        <v>1.6809516236933801</v>
      </c>
      <c r="AK134" s="199">
        <f t="shared" ca="1" si="45"/>
        <v>1.7621515679442514</v>
      </c>
      <c r="AL134" s="199">
        <f t="shared" ca="1" si="45"/>
        <v>1.8472987317073175</v>
      </c>
      <c r="AM134" s="199">
        <f t="shared" ca="1" si="45"/>
        <v>2.371996982578398</v>
      </c>
      <c r="AN134" s="199">
        <f t="shared" ca="1" si="45"/>
        <v>3.0485222125435554</v>
      </c>
      <c r="AO134" s="199">
        <f t="shared" ca="1" si="45"/>
        <v>4.2244411968640749</v>
      </c>
      <c r="AP134" s="199">
        <f t="shared" ca="1" si="45"/>
        <v>5.4256646777003006</v>
      </c>
    </row>
    <row r="135" spans="1:42">
      <c r="A135" s="61" t="str">
        <f>'[4]TS BYDem'!A74</f>
        <v/>
      </c>
      <c r="B135" s="199" t="s">
        <v>288</v>
      </c>
      <c r="C135" s="199" t="s">
        <v>137</v>
      </c>
      <c r="D135" s="199" t="str">
        <f>'[4]TS BYDem'!D74</f>
        <v>ICPA</v>
      </c>
      <c r="E135" s="199" t="s">
        <v>137</v>
      </c>
      <c r="F135" s="199" t="s">
        <v>137</v>
      </c>
      <c r="G135" s="199" t="s">
        <v>137</v>
      </c>
      <c r="H135" s="199" t="s">
        <v>137</v>
      </c>
      <c r="I135" s="199">
        <v>0</v>
      </c>
      <c r="J135" s="199">
        <f>INDEX('[4]TS BYDem'!$J$10:$J$203,MATCH(D135,'[4]TS BYDem'!$D$10:$D$203,0))</f>
        <v>0.2086787369811067</v>
      </c>
      <c r="K135" s="199">
        <f t="shared" ref="K135:Z150" ca="1" si="46">K$133/J$133*J135</f>
        <v>0.21504065265123701</v>
      </c>
      <c r="L135" s="199">
        <f t="shared" ca="1" si="46"/>
        <v>0.21946633311741459</v>
      </c>
      <c r="M135" s="206">
        <f t="shared" si="43"/>
        <v>0.30344250000000006</v>
      </c>
      <c r="N135" s="206">
        <f t="shared" si="44"/>
        <v>0.30344250000000006</v>
      </c>
      <c r="O135" s="206">
        <f>INDEX('[4]TS BYDem'!$O$10:$O$203,MATCH(D135,'[4]TS BYDem'!$D$10:$D$203,0))</f>
        <v>0.30344250000000006</v>
      </c>
      <c r="P135" s="199">
        <f t="shared" ca="1" si="46"/>
        <v>0.30798885104529627</v>
      </c>
      <c r="Q135" s="199">
        <f t="shared" ca="1" si="46"/>
        <v>0.30983911019163779</v>
      </c>
      <c r="R135" s="199">
        <f t="shared" ca="1" si="46"/>
        <v>0.28668443858885029</v>
      </c>
      <c r="S135" s="199">
        <f t="shared" ca="1" si="46"/>
        <v>0.29900187804878059</v>
      </c>
      <c r="T135" s="199">
        <f t="shared" ca="1" si="46"/>
        <v>0.3096805165505227</v>
      </c>
      <c r="U135" s="199">
        <f t="shared" ca="1" si="46"/>
        <v>0.32094066506968649</v>
      </c>
      <c r="V135" s="199">
        <f t="shared" ca="1" si="46"/>
        <v>0.33394534364111511</v>
      </c>
      <c r="W135" s="199">
        <f t="shared" ca="1" si="46"/>
        <v>0.34821877134146356</v>
      </c>
      <c r="X135" s="199">
        <f t="shared" ca="1" si="46"/>
        <v>0.36344376088850189</v>
      </c>
      <c r="Y135" s="199">
        <f t="shared" ca="1" si="46"/>
        <v>0.37977890592334512</v>
      </c>
      <c r="Z135" s="199">
        <f t="shared" ca="1" si="46"/>
        <v>0.39748852918118477</v>
      </c>
      <c r="AA135" s="199">
        <f t="shared" ca="1" si="45"/>
        <v>0.41747132796167263</v>
      </c>
      <c r="AB135" s="199">
        <f t="shared" ca="1" si="45"/>
        <v>0.43861714677700359</v>
      </c>
      <c r="AC135" s="199">
        <f t="shared" ca="1" si="45"/>
        <v>0.45912859102787468</v>
      </c>
      <c r="AD135" s="199">
        <f t="shared" ca="1" si="45"/>
        <v>0.48085591986062731</v>
      </c>
      <c r="AE135" s="199">
        <f t="shared" ca="1" si="45"/>
        <v>0.5034290814459933</v>
      </c>
      <c r="AF135" s="199">
        <f t="shared" ca="1" si="45"/>
        <v>0.52737672125435575</v>
      </c>
      <c r="AG135" s="199">
        <f t="shared" ca="1" si="45"/>
        <v>0.55068998649825818</v>
      </c>
      <c r="AH135" s="199">
        <f t="shared" ca="1" si="45"/>
        <v>0.57479621994773555</v>
      </c>
      <c r="AI135" s="199">
        <f t="shared" ca="1" si="45"/>
        <v>0.60170427439024421</v>
      </c>
      <c r="AJ135" s="199">
        <f t="shared" ca="1" si="45"/>
        <v>0.6303568588850178</v>
      </c>
      <c r="AK135" s="199">
        <f t="shared" ca="1" si="45"/>
        <v>0.66080683797909456</v>
      </c>
      <c r="AL135" s="199">
        <f t="shared" ca="1" si="45"/>
        <v>0.69273702439024432</v>
      </c>
      <c r="AM135" s="199">
        <f t="shared" ca="1" si="45"/>
        <v>0.88949886846689952</v>
      </c>
      <c r="AN135" s="199">
        <f t="shared" ca="1" si="45"/>
        <v>1.1431958297038336</v>
      </c>
      <c r="AO135" s="199">
        <f t="shared" ca="1" si="45"/>
        <v>1.5841654488240284</v>
      </c>
      <c r="AP135" s="199">
        <f t="shared" ca="1" si="45"/>
        <v>2.0346242541376132</v>
      </c>
    </row>
    <row r="136" spans="1:42">
      <c r="A136" s="61" t="str">
        <f>'[4]TS BYDem'!A75</f>
        <v/>
      </c>
      <c r="B136" s="199" t="s">
        <v>288</v>
      </c>
      <c r="C136" s="199" t="s">
        <v>137</v>
      </c>
      <c r="D136" s="199" t="str">
        <f>'[4]TS BYDem'!D75</f>
        <v>ICPL</v>
      </c>
      <c r="E136" s="199" t="s">
        <v>137</v>
      </c>
      <c r="F136" s="199" t="s">
        <v>137</v>
      </c>
      <c r="G136" s="199" t="s">
        <v>137</v>
      </c>
      <c r="H136" s="199" t="s">
        <v>137</v>
      </c>
      <c r="I136" s="199">
        <v>0</v>
      </c>
      <c r="J136" s="199">
        <f>INDEX('[4]TS BYDem'!$J$10:$J$203,MATCH(D136,'[4]TS BYDem'!$D$10:$D$203,0))</f>
        <v>0.3338859791697707</v>
      </c>
      <c r="K136" s="199">
        <f t="shared" ca="1" si="46"/>
        <v>0.3440650442419792</v>
      </c>
      <c r="L136" s="199">
        <f t="shared" ca="1" si="46"/>
        <v>0.35114613298786335</v>
      </c>
      <c r="M136" s="206">
        <f t="shared" si="43"/>
        <v>0.48550800000000005</v>
      </c>
      <c r="N136" s="206">
        <f t="shared" si="44"/>
        <v>0.48550800000000005</v>
      </c>
      <c r="O136" s="206">
        <f>INDEX('[4]TS BYDem'!$O$10:$O$203,MATCH(D136,'[4]TS BYDem'!$D$10:$D$203,0))</f>
        <v>0.48550800000000005</v>
      </c>
      <c r="P136" s="199">
        <f t="shared" ca="1" si="46"/>
        <v>0.49278216167247396</v>
      </c>
      <c r="Q136" s="199">
        <f t="shared" ca="1" si="46"/>
        <v>0.49574257630662033</v>
      </c>
      <c r="R136" s="199">
        <f t="shared" ca="1" si="46"/>
        <v>0.45869510174216033</v>
      </c>
      <c r="S136" s="199">
        <f t="shared" ca="1" si="46"/>
        <v>0.47840300487804882</v>
      </c>
      <c r="T136" s="199">
        <f t="shared" ca="1" si="46"/>
        <v>0.4954888264808362</v>
      </c>
      <c r="U136" s="199">
        <f t="shared" ca="1" si="46"/>
        <v>0.51350506411149821</v>
      </c>
      <c r="V136" s="199">
        <f t="shared" ca="1" si="46"/>
        <v>0.53431254982578402</v>
      </c>
      <c r="W136" s="199">
        <f t="shared" ca="1" si="46"/>
        <v>0.55715003414634146</v>
      </c>
      <c r="X136" s="199">
        <f t="shared" ca="1" si="46"/>
        <v>0.5815100174216028</v>
      </c>
      <c r="Y136" s="199">
        <f t="shared" ca="1" si="46"/>
        <v>0.60764624947735202</v>
      </c>
      <c r="Z136" s="199">
        <f t="shared" ca="1" si="46"/>
        <v>0.63598164668989543</v>
      </c>
      <c r="AA136" s="199">
        <f t="shared" ca="1" si="45"/>
        <v>0.66795412473867599</v>
      </c>
      <c r="AB136" s="199">
        <f t="shared" ca="1" si="45"/>
        <v>0.70178743484320549</v>
      </c>
      <c r="AC136" s="199">
        <f t="shared" ca="1" si="45"/>
        <v>0.73460574564459924</v>
      </c>
      <c r="AD136" s="199">
        <f t="shared" ca="1" si="45"/>
        <v>0.76936947177700343</v>
      </c>
      <c r="AE136" s="199">
        <f t="shared" ca="1" si="45"/>
        <v>0.80548653031358886</v>
      </c>
      <c r="AF136" s="199">
        <f t="shared" ca="1" si="45"/>
        <v>0.84380275400696869</v>
      </c>
      <c r="AG136" s="199">
        <f t="shared" ca="1" si="45"/>
        <v>0.88110397839721255</v>
      </c>
      <c r="AH136" s="199">
        <f t="shared" ca="1" si="45"/>
        <v>0.91967395191637624</v>
      </c>
      <c r="AI136" s="199">
        <f t="shared" ca="1" si="45"/>
        <v>0.96272683902439005</v>
      </c>
      <c r="AJ136" s="199">
        <f t="shared" ca="1" si="45"/>
        <v>1.0085709742160278</v>
      </c>
      <c r="AK136" s="199">
        <f t="shared" ca="1" si="45"/>
        <v>1.0572909407665505</v>
      </c>
      <c r="AL136" s="199">
        <f t="shared" ca="1" si="45"/>
        <v>1.1083792390243901</v>
      </c>
      <c r="AM136" s="199">
        <f t="shared" ca="1" si="45"/>
        <v>1.4231981895470383</v>
      </c>
      <c r="AN136" s="199">
        <f t="shared" ca="1" si="45"/>
        <v>1.8291133275261324</v>
      </c>
      <c r="AO136" s="199">
        <f t="shared" ca="1" si="45"/>
        <v>2.5346647181184436</v>
      </c>
      <c r="AP136" s="199">
        <f t="shared" ca="1" si="45"/>
        <v>3.2553988066201787</v>
      </c>
    </row>
    <row r="137" spans="1:42">
      <c r="A137" s="61" t="str">
        <f>'[4]TS BYDem'!A76</f>
        <v/>
      </c>
      <c r="B137" s="199" t="s">
        <v>288</v>
      </c>
      <c r="C137" s="199" t="s">
        <v>137</v>
      </c>
      <c r="D137" s="199" t="str">
        <f>'[4]TS BYDem'!D76</f>
        <v>ICPC</v>
      </c>
      <c r="E137" s="199" t="s">
        <v>137</v>
      </c>
      <c r="F137" s="199" t="s">
        <v>137</v>
      </c>
      <c r="G137" s="199" t="s">
        <v>137</v>
      </c>
      <c r="H137" s="199" t="s">
        <v>137</v>
      </c>
      <c r="I137" s="199">
        <v>0</v>
      </c>
      <c r="J137" s="199">
        <f>INDEX('[4]TS BYDem'!$J$10:$J$203,MATCH(D137,'[4]TS BYDem'!$D$10:$D$203,0))</f>
        <v>2.7823831597480893</v>
      </c>
      <c r="K137" s="199">
        <f ca="1">K$133/J$133*J137</f>
        <v>2.8672087020164931</v>
      </c>
      <c r="L137" s="199">
        <f t="shared" ca="1" si="46"/>
        <v>2.9262177748988609</v>
      </c>
      <c r="M137" s="206">
        <f t="shared" si="43"/>
        <v>4.0459000000000005</v>
      </c>
      <c r="N137" s="206">
        <f t="shared" si="44"/>
        <v>4.0459000000000005</v>
      </c>
      <c r="O137" s="206">
        <f>INDEX('[4]TS BYDem'!$O$10:$O$203,MATCH(D137,'[4]TS BYDem'!$D$10:$D$203,0))</f>
        <v>4.0459000000000005</v>
      </c>
      <c r="P137" s="199">
        <f t="shared" ca="1" si="46"/>
        <v>4.1065180139372828</v>
      </c>
      <c r="Q137" s="199">
        <f t="shared" ca="1" si="46"/>
        <v>4.131188135888503</v>
      </c>
      <c r="R137" s="199">
        <f t="shared" ca="1" si="46"/>
        <v>3.8224591811846698</v>
      </c>
      <c r="S137" s="199">
        <f t="shared" ca="1" si="46"/>
        <v>3.9866917073170738</v>
      </c>
      <c r="T137" s="199">
        <f t="shared" ca="1" si="46"/>
        <v>4.1290735540069692</v>
      </c>
      <c r="U137" s="199">
        <f t="shared" ca="1" si="46"/>
        <v>4.2792088675958198</v>
      </c>
      <c r="V137" s="199">
        <f t="shared" ca="1" si="46"/>
        <v>4.452604581881535</v>
      </c>
      <c r="W137" s="199">
        <f t="shared" ca="1" si="46"/>
        <v>4.6429169512195143</v>
      </c>
      <c r="X137" s="199">
        <f t="shared" ca="1" si="46"/>
        <v>4.845916811846692</v>
      </c>
      <c r="Y137" s="199">
        <f t="shared" ca="1" si="46"/>
        <v>5.0637187456446018</v>
      </c>
      <c r="Z137" s="199">
        <f t="shared" ca="1" si="46"/>
        <v>5.2998470557491304</v>
      </c>
      <c r="AA137" s="199">
        <f t="shared" ca="1" si="45"/>
        <v>5.5662843728223015</v>
      </c>
      <c r="AB137" s="199">
        <f t="shared" ca="1" si="45"/>
        <v>5.8482286236933811</v>
      </c>
      <c r="AC137" s="199">
        <f t="shared" ca="1" si="45"/>
        <v>6.1217145470383292</v>
      </c>
      <c r="AD137" s="199">
        <f t="shared" ca="1" si="45"/>
        <v>6.411412264808364</v>
      </c>
      <c r="AE137" s="199">
        <f t="shared" ca="1" si="45"/>
        <v>6.7123877526132434</v>
      </c>
      <c r="AF137" s="199">
        <f t="shared" ca="1" si="45"/>
        <v>7.0316896167247425</v>
      </c>
      <c r="AG137" s="199">
        <f t="shared" ca="1" si="45"/>
        <v>7.3425331533101081</v>
      </c>
      <c r="AH137" s="199">
        <f t="shared" ca="1" si="45"/>
        <v>7.6639495993031392</v>
      </c>
      <c r="AI137" s="199">
        <f t="shared" ca="1" si="45"/>
        <v>8.022723658536588</v>
      </c>
      <c r="AJ137" s="199">
        <f t="shared" ca="1" si="45"/>
        <v>8.4047581184669014</v>
      </c>
      <c r="AK137" s="199">
        <f t="shared" ca="1" si="45"/>
        <v>8.8107578397212585</v>
      </c>
      <c r="AL137" s="199">
        <f t="shared" ca="1" si="45"/>
        <v>9.2364936585365882</v>
      </c>
      <c r="AM137" s="199">
        <f t="shared" ca="1" si="45"/>
        <v>11.85998491289199</v>
      </c>
      <c r="AN137" s="199">
        <f t="shared" ca="1" si="45"/>
        <v>15.242611062717778</v>
      </c>
      <c r="AO137" s="199">
        <f t="shared" ca="1" si="45"/>
        <v>21.122205984320374</v>
      </c>
      <c r="AP137" s="199">
        <f t="shared" ca="1" si="45"/>
        <v>27.128323388501499</v>
      </c>
    </row>
    <row r="138" spans="1:42">
      <c r="A138" s="61" t="str">
        <f>'[4]TS BYDem'!A77</f>
        <v/>
      </c>
      <c r="B138" s="199" t="s">
        <v>288</v>
      </c>
      <c r="C138" s="199" t="s">
        <v>137</v>
      </c>
      <c r="D138" s="199" t="str">
        <f>'[4]TS BYDem'!D77</f>
        <v>ICPH</v>
      </c>
      <c r="E138" s="199" t="s">
        <v>137</v>
      </c>
      <c r="F138" s="199" t="s">
        <v>137</v>
      </c>
      <c r="G138" s="199" t="s">
        <v>137</v>
      </c>
      <c r="H138" s="199" t="s">
        <v>137</v>
      </c>
      <c r="I138" s="199">
        <v>0</v>
      </c>
      <c r="J138" s="199">
        <f>INDEX('[4]TS BYDem'!$J$10:$J$203,MATCH(D138,'[4]TS BYDem'!$D$10:$D$203,0))</f>
        <v>0.5008289687546561</v>
      </c>
      <c r="K138" s="199">
        <f t="shared" ref="K138:O153" ca="1" si="47">K$133/J$133*J138</f>
        <v>0.51609756636296877</v>
      </c>
      <c r="L138" s="199">
        <f t="shared" ca="1" si="46"/>
        <v>0.52671919948179502</v>
      </c>
      <c r="M138" s="206">
        <f t="shared" si="43"/>
        <v>0.72826200000000008</v>
      </c>
      <c r="N138" s="206">
        <f t="shared" si="44"/>
        <v>0.72826200000000008</v>
      </c>
      <c r="O138" s="206">
        <f>INDEX('[4]TS BYDem'!$O$10:$O$203,MATCH(D138,'[4]TS BYDem'!$D$10:$D$203,0))</f>
        <v>0.72826200000000008</v>
      </c>
      <c r="P138" s="199">
        <f t="shared" ca="1" si="46"/>
        <v>0.73917324250871097</v>
      </c>
      <c r="Q138" s="199">
        <f t="shared" ca="1" si="46"/>
        <v>0.7436138644599305</v>
      </c>
      <c r="R138" s="199">
        <f t="shared" ca="1" si="46"/>
        <v>0.68804265261324049</v>
      </c>
      <c r="S138" s="199">
        <f t="shared" ca="1" si="46"/>
        <v>0.71760450731707326</v>
      </c>
      <c r="T138" s="199">
        <f t="shared" ca="1" si="46"/>
        <v>0.74323323972125432</v>
      </c>
      <c r="U138" s="199">
        <f t="shared" ca="1" si="46"/>
        <v>0.77025759616724743</v>
      </c>
      <c r="V138" s="199">
        <f t="shared" ca="1" si="46"/>
        <v>0.80146882473867609</v>
      </c>
      <c r="W138" s="199">
        <f t="shared" ca="1" si="46"/>
        <v>0.83572505121951235</v>
      </c>
      <c r="X138" s="199">
        <f t="shared" ca="1" si="46"/>
        <v>0.87226502613240431</v>
      </c>
      <c r="Y138" s="199">
        <f t="shared" ca="1" si="46"/>
        <v>0.91146937421602803</v>
      </c>
      <c r="Z138" s="199">
        <f t="shared" ca="1" si="46"/>
        <v>0.9539724700348432</v>
      </c>
      <c r="AA138" s="199">
        <f t="shared" ca="1" si="45"/>
        <v>1.0019311871080141</v>
      </c>
      <c r="AB138" s="199">
        <f t="shared" ca="1" si="45"/>
        <v>1.0526811522648085</v>
      </c>
      <c r="AC138" s="199">
        <f t="shared" ca="1" si="45"/>
        <v>1.1019086184668991</v>
      </c>
      <c r="AD138" s="199">
        <f t="shared" ca="1" si="45"/>
        <v>1.1540542076655054</v>
      </c>
      <c r="AE138" s="199">
        <f t="shared" ca="1" si="45"/>
        <v>1.2082297954703836</v>
      </c>
      <c r="AF138" s="199">
        <f t="shared" ca="1" si="45"/>
        <v>1.2657041310104533</v>
      </c>
      <c r="AG138" s="199">
        <f t="shared" ca="1" si="45"/>
        <v>1.321655967595819</v>
      </c>
      <c r="AH138" s="199">
        <f t="shared" ca="1" si="45"/>
        <v>1.3795109278745645</v>
      </c>
      <c r="AI138" s="199">
        <f t="shared" ca="1" si="45"/>
        <v>1.4440902585365851</v>
      </c>
      <c r="AJ138" s="199">
        <f t="shared" ca="1" si="45"/>
        <v>1.5128564613240416</v>
      </c>
      <c r="AK138" s="199">
        <f t="shared" ca="1" si="45"/>
        <v>1.5859364111498258</v>
      </c>
      <c r="AL138" s="199">
        <f t="shared" ca="1" si="45"/>
        <v>1.6625688585365852</v>
      </c>
      <c r="AM138" s="199">
        <f t="shared" ca="1" si="45"/>
        <v>2.1347972843205576</v>
      </c>
      <c r="AN138" s="199">
        <f t="shared" ca="1" si="45"/>
        <v>2.7436699912891989</v>
      </c>
      <c r="AO138" s="199">
        <f t="shared" ca="1" si="45"/>
        <v>3.8019970771776661</v>
      </c>
      <c r="AP138" s="199">
        <f t="shared" ca="1" si="45"/>
        <v>4.8830982099302682</v>
      </c>
    </row>
    <row r="139" spans="1:42">
      <c r="A139" s="61" t="str">
        <f>'[4]TS BYDem'!A78</f>
        <v/>
      </c>
      <c r="B139" s="199" t="s">
        <v>288</v>
      </c>
      <c r="C139" s="199" t="s">
        <v>137</v>
      </c>
      <c r="D139" s="199" t="str">
        <f>'[4]TS BYDem'!D78</f>
        <v>ICPP</v>
      </c>
      <c r="E139" s="199" t="s">
        <v>137</v>
      </c>
      <c r="F139" s="199" t="s">
        <v>137</v>
      </c>
      <c r="G139" s="199" t="s">
        <v>137</v>
      </c>
      <c r="H139" s="199" t="s">
        <v>137</v>
      </c>
      <c r="I139" s="199">
        <v>0</v>
      </c>
      <c r="J139" s="199">
        <f>INDEX('[4]TS BYDem'!$J$10:$J$203,MATCH(D139,'[4]TS BYDem'!$D$10:$D$203,0))</f>
        <v>7.7906728472946494</v>
      </c>
      <c r="K139" s="199">
        <f t="shared" ca="1" si="47"/>
        <v>8.0281843656461813</v>
      </c>
      <c r="L139" s="199">
        <f t="shared" ca="1" si="46"/>
        <v>8.193409769716812</v>
      </c>
      <c r="M139" s="206">
        <f t="shared" si="43"/>
        <v>11.328520000000001</v>
      </c>
      <c r="N139" s="206">
        <f t="shared" si="44"/>
        <v>11.328520000000001</v>
      </c>
      <c r="O139" s="206">
        <f>INDEX('[4]TS BYDem'!$O$10:$O$203,MATCH(D139,'[4]TS BYDem'!$D$10:$D$203,0))</f>
        <v>11.328520000000001</v>
      </c>
      <c r="P139" s="199">
        <f t="shared" ca="1" si="46"/>
        <v>11.498250439024392</v>
      </c>
      <c r="Q139" s="199">
        <f t="shared" ca="1" si="46"/>
        <v>11.567326780487807</v>
      </c>
      <c r="R139" s="199">
        <f t="shared" ca="1" si="46"/>
        <v>10.702885707317074</v>
      </c>
      <c r="S139" s="199">
        <f t="shared" ca="1" si="46"/>
        <v>11.162736780487807</v>
      </c>
      <c r="T139" s="199">
        <f t="shared" ca="1" si="46"/>
        <v>11.561405951219513</v>
      </c>
      <c r="U139" s="199">
        <f t="shared" ca="1" si="46"/>
        <v>11.981784829268294</v>
      </c>
      <c r="V139" s="199">
        <f t="shared" ca="1" si="46"/>
        <v>12.467292829268295</v>
      </c>
      <c r="W139" s="199">
        <f t="shared" ca="1" si="46"/>
        <v>13.000167463414638</v>
      </c>
      <c r="X139" s="199">
        <f t="shared" ca="1" si="46"/>
        <v>13.568567073170735</v>
      </c>
      <c r="Y139" s="199">
        <f t="shared" ca="1" si="46"/>
        <v>14.178412487804883</v>
      </c>
      <c r="Z139" s="199">
        <f t="shared" ca="1" si="46"/>
        <v>14.839571756097563</v>
      </c>
      <c r="AA139" s="199">
        <f t="shared" ca="1" si="45"/>
        <v>15.585596243902442</v>
      </c>
      <c r="AB139" s="199">
        <f t="shared" ca="1" si="45"/>
        <v>16.375040146341465</v>
      </c>
      <c r="AC139" s="199">
        <f t="shared" ca="1" si="45"/>
        <v>17.140800731707319</v>
      </c>
      <c r="AD139" s="199">
        <f t="shared" ca="1" si="45"/>
        <v>17.951954341463416</v>
      </c>
      <c r="AE139" s="199">
        <f t="shared" ca="1" si="45"/>
        <v>18.794685707317079</v>
      </c>
      <c r="AF139" s="199">
        <f t="shared" ca="1" si="45"/>
        <v>19.688730926829276</v>
      </c>
      <c r="AG139" s="199">
        <f t="shared" ca="1" si="45"/>
        <v>20.559092829268298</v>
      </c>
      <c r="AH139" s="199">
        <f t="shared" ca="1" si="45"/>
        <v>21.459058878048786</v>
      </c>
      <c r="AI139" s="199">
        <f t="shared" ca="1" si="45"/>
        <v>22.463626243902443</v>
      </c>
      <c r="AJ139" s="199">
        <f t="shared" ca="1" si="45"/>
        <v>23.533322731707322</v>
      </c>
      <c r="AK139" s="199">
        <f t="shared" ca="1" si="45"/>
        <v>24.670121951219521</v>
      </c>
      <c r="AL139" s="199">
        <f t="shared" ca="1" si="45"/>
        <v>25.862182243902446</v>
      </c>
      <c r="AM139" s="199">
        <f t="shared" ca="1" si="45"/>
        <v>33.207957756097571</v>
      </c>
      <c r="AN139" s="199">
        <f t="shared" ca="1" si="45"/>
        <v>42.679310975609773</v>
      </c>
      <c r="AO139" s="199">
        <f t="shared" ca="1" si="45"/>
        <v>59.142176756097044</v>
      </c>
      <c r="AP139" s="199">
        <f t="shared" ca="1" si="45"/>
        <v>75.959305487804201</v>
      </c>
    </row>
    <row r="140" spans="1:42">
      <c r="A140" s="61" t="str">
        <f>'[4]TS BYDem'!A79</f>
        <v/>
      </c>
      <c r="B140" s="199" t="s">
        <v>288</v>
      </c>
      <c r="C140" s="199" t="s">
        <v>137</v>
      </c>
      <c r="D140" s="199" t="str">
        <f>'[4]TS BYDem'!D79</f>
        <v>ICPF</v>
      </c>
      <c r="E140" s="199" t="s">
        <v>137</v>
      </c>
      <c r="F140" s="199" t="s">
        <v>137</v>
      </c>
      <c r="G140" s="199" t="s">
        <v>137</v>
      </c>
      <c r="H140" s="199" t="s">
        <v>137</v>
      </c>
      <c r="I140" s="199">
        <v>0</v>
      </c>
      <c r="J140" s="199">
        <f>INDEX('[4]TS BYDem'!$J$10:$J$203,MATCH(D140,'[4]TS BYDem'!$D$10:$D$203,0))</f>
        <v>1.7807252222387775</v>
      </c>
      <c r="K140" s="199">
        <f t="shared" ca="1" si="47"/>
        <v>1.835013569290556</v>
      </c>
      <c r="L140" s="199">
        <f t="shared" ca="1" si="46"/>
        <v>1.8727793759352716</v>
      </c>
      <c r="M140" s="206">
        <f t="shared" si="43"/>
        <v>2.5893760000000006</v>
      </c>
      <c r="N140" s="206">
        <f t="shared" si="44"/>
        <v>2.5893760000000006</v>
      </c>
      <c r="O140" s="206">
        <f>INDEX('[4]TS BYDem'!$O$10:$O$203,MATCH(D140,'[4]TS BYDem'!$D$10:$D$203,0))</f>
        <v>2.5893760000000006</v>
      </c>
      <c r="P140" s="199">
        <f t="shared" ca="1" si="46"/>
        <v>2.6281715289198613</v>
      </c>
      <c r="Q140" s="199">
        <f t="shared" ca="1" si="46"/>
        <v>2.6439604069686422</v>
      </c>
      <c r="R140" s="199">
        <f t="shared" ca="1" si="46"/>
        <v>2.446373875958189</v>
      </c>
      <c r="S140" s="199">
        <f t="shared" ca="1" si="46"/>
        <v>2.5514826926829275</v>
      </c>
      <c r="T140" s="199">
        <f t="shared" ca="1" si="46"/>
        <v>2.6426070745644603</v>
      </c>
      <c r="U140" s="199">
        <f t="shared" ca="1" si="46"/>
        <v>2.7386936752613247</v>
      </c>
      <c r="V140" s="199">
        <f t="shared" ca="1" si="46"/>
        <v>2.8496669324041823</v>
      </c>
      <c r="W140" s="199">
        <f t="shared" ca="1" si="46"/>
        <v>2.9714668487804889</v>
      </c>
      <c r="X140" s="199">
        <f t="shared" ca="1" si="46"/>
        <v>3.1013867595818825</v>
      </c>
      <c r="Y140" s="199">
        <f t="shared" ca="1" si="46"/>
        <v>3.2407799972125448</v>
      </c>
      <c r="Z140" s="199">
        <f t="shared" ca="1" si="46"/>
        <v>3.3919021156794433</v>
      </c>
      <c r="AA140" s="199">
        <f t="shared" ca="1" si="45"/>
        <v>3.5624219986062728</v>
      </c>
      <c r="AB140" s="199">
        <f t="shared" ca="1" si="45"/>
        <v>3.7428663191637637</v>
      </c>
      <c r="AC140" s="199">
        <f t="shared" ca="1" si="45"/>
        <v>3.91789731010453</v>
      </c>
      <c r="AD140" s="199">
        <f t="shared" ca="1" si="45"/>
        <v>4.1033038494773519</v>
      </c>
      <c r="AE140" s="199">
        <f t="shared" ca="1" si="45"/>
        <v>4.2959281616724745</v>
      </c>
      <c r="AF140" s="199">
        <f t="shared" ca="1" si="45"/>
        <v>4.5002813547038336</v>
      </c>
      <c r="AG140" s="199">
        <f t="shared" ca="1" si="45"/>
        <v>4.6992212181184678</v>
      </c>
      <c r="AH140" s="199">
        <f t="shared" ca="1" si="45"/>
        <v>4.9049277435540075</v>
      </c>
      <c r="AI140" s="199">
        <f t="shared" ca="1" si="45"/>
        <v>5.1345431414634142</v>
      </c>
      <c r="AJ140" s="199">
        <f t="shared" ca="1" si="45"/>
        <v>5.379045195818815</v>
      </c>
      <c r="AK140" s="199">
        <f t="shared" ca="1" si="45"/>
        <v>5.638885017421603</v>
      </c>
      <c r="AL140" s="199">
        <f t="shared" ca="1" si="45"/>
        <v>5.9113559414634143</v>
      </c>
      <c r="AM140" s="199">
        <f t="shared" ca="1" si="45"/>
        <v>7.5903903442508716</v>
      </c>
      <c r="AN140" s="199">
        <f t="shared" ca="1" si="45"/>
        <v>9.7552710801393747</v>
      </c>
      <c r="AO140" s="199">
        <f t="shared" ca="1" si="45"/>
        <v>13.518211829965036</v>
      </c>
      <c r="AP140" s="199">
        <f t="shared" ca="1" si="45"/>
        <v>17.362126968640958</v>
      </c>
    </row>
    <row r="141" spans="1:42">
      <c r="A141" s="61" t="str">
        <f>'[4]TS BYDem'!A80</f>
        <v/>
      </c>
      <c r="B141" s="199" t="s">
        <v>288</v>
      </c>
      <c r="C141" s="199" t="s">
        <v>137</v>
      </c>
      <c r="D141" s="199" t="str">
        <f>'[4]TS BYDem'!D80</f>
        <v>ICPO</v>
      </c>
      <c r="E141" s="199" t="s">
        <v>137</v>
      </c>
      <c r="F141" s="199" t="s">
        <v>137</v>
      </c>
      <c r="G141" s="199" t="s">
        <v>137</v>
      </c>
      <c r="H141" s="199" t="s">
        <v>137</v>
      </c>
      <c r="I141" s="199">
        <v>0</v>
      </c>
      <c r="J141" s="199">
        <f>INDEX('[4]TS BYDem'!$J$10:$J$203,MATCH(D141,'[4]TS BYDem'!$D$10:$D$203,0))</f>
        <v>4.4518130555969435</v>
      </c>
      <c r="K141" s="199">
        <f t="shared" ca="1" si="47"/>
        <v>4.5875339232263901</v>
      </c>
      <c r="L141" s="199">
        <f t="shared" ca="1" si="46"/>
        <v>4.6819484398381785</v>
      </c>
      <c r="M141" s="206">
        <f t="shared" si="43"/>
        <v>6.473440000000001</v>
      </c>
      <c r="N141" s="206">
        <f t="shared" si="44"/>
        <v>6.473440000000001</v>
      </c>
      <c r="O141" s="206">
        <f>INDEX('[4]TS BYDem'!$O$10:$O$203,MATCH(D141,'[4]TS BYDem'!$D$10:$D$203,0))</f>
        <v>6.473440000000001</v>
      </c>
      <c r="P141" s="199">
        <f t="shared" ca="1" si="46"/>
        <v>6.570428822299653</v>
      </c>
      <c r="Q141" s="199">
        <f t="shared" ca="1" si="46"/>
        <v>6.6099010174216044</v>
      </c>
      <c r="R141" s="199">
        <f t="shared" ca="1" si="46"/>
        <v>6.1159346898954716</v>
      </c>
      <c r="S141" s="199">
        <f t="shared" ca="1" si="46"/>
        <v>6.3787067317073181</v>
      </c>
      <c r="T141" s="199">
        <f t="shared" ca="1" si="46"/>
        <v>6.6065176864111503</v>
      </c>
      <c r="U141" s="199">
        <f t="shared" ca="1" si="46"/>
        <v>6.8467341881533113</v>
      </c>
      <c r="V141" s="199">
        <f t="shared" ca="1" si="46"/>
        <v>7.1241673310104554</v>
      </c>
      <c r="W141" s="199">
        <f t="shared" ca="1" si="46"/>
        <v>7.4286671219512224</v>
      </c>
      <c r="X141" s="199">
        <f t="shared" ca="1" si="46"/>
        <v>7.7534668989547066</v>
      </c>
      <c r="Y141" s="199">
        <f t="shared" ca="1" si="46"/>
        <v>8.1019499930313632</v>
      </c>
      <c r="Z141" s="199">
        <f t="shared" ca="1" si="46"/>
        <v>8.479755289198609</v>
      </c>
      <c r="AA141" s="199">
        <f t="shared" ca="1" si="45"/>
        <v>8.9060549965156834</v>
      </c>
      <c r="AB141" s="199">
        <f t="shared" ca="1" si="45"/>
        <v>9.3571657979094116</v>
      </c>
      <c r="AC141" s="199">
        <f t="shared" ca="1" si="45"/>
        <v>9.794743275261327</v>
      </c>
      <c r="AD141" s="199">
        <f t="shared" ca="1" si="45"/>
        <v>10.258259623693382</v>
      </c>
      <c r="AE141" s="199">
        <f t="shared" ca="1" si="45"/>
        <v>10.739820404181188</v>
      </c>
      <c r="AF141" s="199">
        <f t="shared" ca="1" si="45"/>
        <v>11.250703386759586</v>
      </c>
      <c r="AG141" s="199">
        <f t="shared" ca="1" si="45"/>
        <v>11.748053045296171</v>
      </c>
      <c r="AH141" s="199">
        <f t="shared" ca="1" si="45"/>
        <v>12.262319358885021</v>
      </c>
      <c r="AI141" s="199">
        <f t="shared" ca="1" si="45"/>
        <v>12.836357853658539</v>
      </c>
      <c r="AJ141" s="199">
        <f t="shared" ca="1" si="45"/>
        <v>13.447612989547041</v>
      </c>
      <c r="AK141" s="199">
        <f t="shared" ca="1" si="45"/>
        <v>14.097212543554011</v>
      </c>
      <c r="AL141" s="199">
        <f t="shared" ca="1" si="45"/>
        <v>14.77838985365854</v>
      </c>
      <c r="AM141" s="199">
        <f t="shared" ca="1" si="45"/>
        <v>18.975975860627184</v>
      </c>
      <c r="AN141" s="199">
        <f t="shared" ca="1" si="45"/>
        <v>24.388177700348443</v>
      </c>
      <c r="AO141" s="199">
        <f t="shared" ca="1" si="45"/>
        <v>33.795529574912599</v>
      </c>
      <c r="AP141" s="199">
        <f t="shared" ca="1" si="45"/>
        <v>43.405317421602405</v>
      </c>
    </row>
    <row r="142" spans="1:42">
      <c r="A142" s="61" t="str">
        <f>'[4]TS BYDem'!A81</f>
        <v/>
      </c>
      <c r="B142" s="199" t="s">
        <v>288</v>
      </c>
      <c r="C142" s="199" t="s">
        <v>137</v>
      </c>
      <c r="D142" s="199" t="str">
        <f>'[4]TS BYDem'!D81</f>
        <v>ICPE</v>
      </c>
      <c r="E142" s="199" t="s">
        <v>137</v>
      </c>
      <c r="F142" s="199" t="s">
        <v>137</v>
      </c>
      <c r="G142" s="199" t="s">
        <v>137</v>
      </c>
      <c r="H142" s="199" t="s">
        <v>137</v>
      </c>
      <c r="I142" s="199">
        <v>0</v>
      </c>
      <c r="J142" s="199">
        <f>INDEX('[4]TS BYDem'!$J$10:$J$203,MATCH(D142,'[4]TS BYDem'!$D$10:$D$203,0))</f>
        <v>1.6916889611268384</v>
      </c>
      <c r="K142" s="199">
        <f t="shared" ca="1" si="47"/>
        <v>1.7432628908260281</v>
      </c>
      <c r="L142" s="199">
        <f t="shared" ca="1" si="46"/>
        <v>1.7791404071385077</v>
      </c>
      <c r="M142" s="206">
        <f t="shared" si="43"/>
        <v>2.4599072000000004</v>
      </c>
      <c r="N142" s="206">
        <f t="shared" si="44"/>
        <v>2.4599072000000004</v>
      </c>
      <c r="O142" s="206">
        <f>INDEX('[4]TS BYDem'!$O$10:$O$203,MATCH(D142,'[4]TS BYDem'!$D$10:$D$203,0))</f>
        <v>2.4599072000000004</v>
      </c>
      <c r="P142" s="199">
        <f t="shared" ca="1" si="46"/>
        <v>2.4967629524738681</v>
      </c>
      <c r="Q142" s="199">
        <f t="shared" ca="1" si="46"/>
        <v>2.5117623866202097</v>
      </c>
      <c r="R142" s="199">
        <f t="shared" ca="1" si="46"/>
        <v>2.3240551821602793</v>
      </c>
      <c r="S142" s="199">
        <f t="shared" ca="1" si="46"/>
        <v>2.4239085580487809</v>
      </c>
      <c r="T142" s="199">
        <f t="shared" ca="1" si="46"/>
        <v>2.5104767208362371</v>
      </c>
      <c r="U142" s="199">
        <f t="shared" ca="1" si="46"/>
        <v>2.6017589914982584</v>
      </c>
      <c r="V142" s="199">
        <f t="shared" ca="1" si="46"/>
        <v>2.707183585783973</v>
      </c>
      <c r="W142" s="199">
        <f t="shared" ca="1" si="46"/>
        <v>2.8228935063414644</v>
      </c>
      <c r="X142" s="199">
        <f t="shared" ca="1" si="46"/>
        <v>2.9463174216027883</v>
      </c>
      <c r="Y142" s="199">
        <f t="shared" ca="1" si="46"/>
        <v>3.0787409973519173</v>
      </c>
      <c r="Z142" s="199">
        <f t="shared" ca="1" si="46"/>
        <v>3.2223070098954709</v>
      </c>
      <c r="AA142" s="199">
        <f t="shared" ca="1" si="45"/>
        <v>3.3843008986759591</v>
      </c>
      <c r="AB142" s="199">
        <f t="shared" ca="1" si="45"/>
        <v>3.5557230032055753</v>
      </c>
      <c r="AC142" s="199">
        <f t="shared" ca="1" si="45"/>
        <v>3.7220024445993034</v>
      </c>
      <c r="AD142" s="199">
        <f t="shared" ca="1" si="45"/>
        <v>3.8981386570034844</v>
      </c>
      <c r="AE142" s="199">
        <f t="shared" ca="1" si="45"/>
        <v>4.0811317535888509</v>
      </c>
      <c r="AF142" s="199">
        <f t="shared" ca="1" si="45"/>
        <v>4.2752672869686421</v>
      </c>
      <c r="AG142" s="199">
        <f t="shared" ca="1" si="45"/>
        <v>4.4642601572125447</v>
      </c>
      <c r="AH142" s="199">
        <f t="shared" ca="1" si="45"/>
        <v>4.6596813563763071</v>
      </c>
      <c r="AI142" s="199">
        <f t="shared" ca="1" si="45"/>
        <v>4.877815984390244</v>
      </c>
      <c r="AJ142" s="199">
        <f t="shared" ca="1" si="45"/>
        <v>5.1100929360278746</v>
      </c>
      <c r="AK142" s="199">
        <f t="shared" ca="1" si="45"/>
        <v>5.3569407665505233</v>
      </c>
      <c r="AL142" s="199">
        <f t="shared" ca="1" si="45"/>
        <v>5.615788144390244</v>
      </c>
      <c r="AM142" s="199">
        <f t="shared" ca="1" si="45"/>
        <v>7.2108708270383284</v>
      </c>
      <c r="AN142" s="199">
        <f t="shared" ca="1" si="45"/>
        <v>9.2675075261324054</v>
      </c>
      <c r="AO142" s="199">
        <f t="shared" ca="1" si="45"/>
        <v>12.842301238466783</v>
      </c>
      <c r="AP142" s="199">
        <f t="shared" ca="1" si="45"/>
        <v>16.494020620208907</v>
      </c>
    </row>
    <row r="143" spans="1:42">
      <c r="A143" s="61" t="str">
        <f>'[4]TS BYDem'!A82</f>
        <v>*</v>
      </c>
      <c r="B143" s="199" t="s">
        <v>288</v>
      </c>
      <c r="C143" s="199" t="s">
        <v>137</v>
      </c>
      <c r="D143" s="199" t="str">
        <f>'[4]TS BYDem'!D82</f>
        <v xml:space="preserve"> </v>
      </c>
      <c r="E143" s="199" t="s">
        <v>137</v>
      </c>
      <c r="F143" s="199" t="s">
        <v>137</v>
      </c>
      <c r="G143" s="199" t="s">
        <v>137</v>
      </c>
      <c r="H143" s="199" t="s">
        <v>137</v>
      </c>
      <c r="I143" s="199">
        <v>0</v>
      </c>
      <c r="J143" s="199" t="str">
        <f>INDEX('[4]TS BYDem'!$J$10:$J$203,MATCH(D143,'[4]TS BYDem'!$D$10:$D$203,0))</f>
        <v/>
      </c>
      <c r="K143" s="199" t="e">
        <f t="shared" ca="1" si="47"/>
        <v>#VALUE!</v>
      </c>
      <c r="L143" s="199" t="e">
        <f t="shared" ca="1" si="46"/>
        <v>#VALUE!</v>
      </c>
      <c r="M143" s="199" t="e">
        <f t="shared" ca="1" si="46"/>
        <v>#VALUE!</v>
      </c>
      <c r="N143" s="199" t="e">
        <f t="shared" ca="1" si="46"/>
        <v>#VALUE!</v>
      </c>
      <c r="O143" s="199" t="e">
        <f t="shared" ca="1" si="46"/>
        <v>#VALUE!</v>
      </c>
      <c r="P143" s="199" t="e">
        <f t="shared" ca="1" si="46"/>
        <v>#VALUE!</v>
      </c>
      <c r="Q143" s="199" t="e">
        <f t="shared" ca="1" si="46"/>
        <v>#VALUE!</v>
      </c>
      <c r="R143" s="199" t="e">
        <f t="shared" ca="1" si="46"/>
        <v>#VALUE!</v>
      </c>
      <c r="S143" s="199" t="e">
        <f t="shared" ca="1" si="46"/>
        <v>#VALUE!</v>
      </c>
      <c r="T143" s="199" t="e">
        <f t="shared" ca="1" si="46"/>
        <v>#VALUE!</v>
      </c>
      <c r="U143" s="199" t="e">
        <f t="shared" ca="1" si="46"/>
        <v>#VALUE!</v>
      </c>
      <c r="V143" s="199" t="e">
        <f t="shared" ca="1" si="46"/>
        <v>#VALUE!</v>
      </c>
      <c r="W143" s="199" t="e">
        <f t="shared" ca="1" si="46"/>
        <v>#VALUE!</v>
      </c>
      <c r="X143" s="199" t="e">
        <f t="shared" ca="1" si="46"/>
        <v>#VALUE!</v>
      </c>
      <c r="Y143" s="199" t="e">
        <f t="shared" ca="1" si="46"/>
        <v>#VALUE!</v>
      </c>
      <c r="Z143" s="199" t="e">
        <f t="shared" ca="1" si="46"/>
        <v>#VALUE!</v>
      </c>
      <c r="AA143" s="199" t="e">
        <f t="shared" ca="1" si="45"/>
        <v>#VALUE!</v>
      </c>
      <c r="AB143" s="199" t="e">
        <f t="shared" ca="1" si="45"/>
        <v>#VALUE!</v>
      </c>
      <c r="AC143" s="199" t="e">
        <f t="shared" ca="1" si="45"/>
        <v>#VALUE!</v>
      </c>
      <c r="AD143" s="199" t="e">
        <f t="shared" ca="1" si="45"/>
        <v>#VALUE!</v>
      </c>
      <c r="AE143" s="199" t="e">
        <f t="shared" ca="1" si="45"/>
        <v>#VALUE!</v>
      </c>
      <c r="AF143" s="199" t="e">
        <f t="shared" ca="1" si="45"/>
        <v>#VALUE!</v>
      </c>
      <c r="AG143" s="199" t="e">
        <f t="shared" ca="1" si="45"/>
        <v>#VALUE!</v>
      </c>
      <c r="AH143" s="199" t="e">
        <f t="shared" ca="1" si="45"/>
        <v>#VALUE!</v>
      </c>
      <c r="AI143" s="199" t="e">
        <f t="shared" ca="1" si="45"/>
        <v>#VALUE!</v>
      </c>
      <c r="AJ143" s="199" t="e">
        <f t="shared" ca="1" si="45"/>
        <v>#VALUE!</v>
      </c>
      <c r="AK143" s="199" t="e">
        <f t="shared" ca="1" si="45"/>
        <v>#VALUE!</v>
      </c>
      <c r="AL143" s="199" t="e">
        <f t="shared" ca="1" si="45"/>
        <v>#VALUE!</v>
      </c>
      <c r="AM143" s="199" t="e">
        <f t="shared" ca="1" si="45"/>
        <v>#VALUE!</v>
      </c>
      <c r="AN143" s="199" t="e">
        <f t="shared" ca="1" si="45"/>
        <v>#VALUE!</v>
      </c>
      <c r="AO143" s="199" t="e">
        <f t="shared" ca="1" si="45"/>
        <v>#VALUE!</v>
      </c>
      <c r="AP143" s="199" t="e">
        <f t="shared" ca="1" si="45"/>
        <v>#VALUE!</v>
      </c>
    </row>
    <row r="144" spans="1:42">
      <c r="A144" s="61" t="str">
        <f>'[4]TS BYDem'!A83</f>
        <v/>
      </c>
      <c r="B144" s="199" t="s">
        <v>288</v>
      </c>
      <c r="C144" s="199" t="s">
        <v>137</v>
      </c>
      <c r="D144" s="199" t="str">
        <f>'[4]TS BYDem'!D83</f>
        <v>ICPS</v>
      </c>
      <c r="E144" s="199" t="s">
        <v>137</v>
      </c>
      <c r="F144" s="199" t="s">
        <v>137</v>
      </c>
      <c r="G144" s="199" t="s">
        <v>137</v>
      </c>
      <c r="H144" s="199" t="s">
        <v>137</v>
      </c>
      <c r="I144" s="199">
        <v>0</v>
      </c>
      <c r="J144" s="199">
        <f>INDEX('[4]TS BYDem'!$J$10:$J$203,MATCH(D144,'[4]TS BYDem'!$D$10:$D$203,0))</f>
        <v>27.288197120140854</v>
      </c>
      <c r="K144" s="199">
        <f t="shared" ca="1" si="47"/>
        <v>28.120122841849369</v>
      </c>
      <c r="L144" s="199">
        <f t="shared" ca="1" si="46"/>
        <v>28.698853778690076</v>
      </c>
      <c r="M144" s="206">
        <f t="shared" ref="M144" si="48">O144</f>
        <v>16.650368400000001</v>
      </c>
      <c r="N144" s="206">
        <f t="shared" ref="N144" si="49">O144</f>
        <v>16.650368400000001</v>
      </c>
      <c r="O144" s="206">
        <f>INDEX('[4]TS BYDem'!$O$10:$O$203,MATCH(D144,'[4]TS BYDem'!$D$10:$D$203,0))</f>
        <v>16.650368400000001</v>
      </c>
      <c r="P144" s="199">
        <f t="shared" ca="1" si="46"/>
        <v>16.899833849895472</v>
      </c>
      <c r="Q144" s="199">
        <f t="shared" ca="1" si="46"/>
        <v>17.001360486480841</v>
      </c>
      <c r="R144" s="199">
        <f t="shared" ca="1" si="46"/>
        <v>15.730827148641119</v>
      </c>
      <c r="S144" s="199">
        <f t="shared" ca="1" si="46"/>
        <v>16.406704472195127</v>
      </c>
      <c r="T144" s="199">
        <f t="shared" ca="1" si="46"/>
        <v>16.992658203344952</v>
      </c>
      <c r="U144" s="199">
        <f t="shared" ca="1" si="46"/>
        <v>17.610520305993038</v>
      </c>
      <c r="V144" s="199">
        <f t="shared" ca="1" si="46"/>
        <v>18.324107523135897</v>
      </c>
      <c r="W144" s="199">
        <f t="shared" ca="1" si="46"/>
        <v>19.107313005365864</v>
      </c>
      <c r="X144" s="199">
        <f t="shared" ca="1" si="46"/>
        <v>19.94273218641116</v>
      </c>
      <c r="Y144" s="199">
        <f t="shared" ca="1" si="46"/>
        <v>20.839067349407678</v>
      </c>
      <c r="Z144" s="199">
        <f t="shared" ca="1" si="46"/>
        <v>21.81082229958189</v>
      </c>
      <c r="AA144" s="199">
        <f t="shared" ca="1" si="45"/>
        <v>22.907309974703843</v>
      </c>
      <c r="AB144" s="199">
        <f t="shared" ca="1" si="45"/>
        <v>24.067614392822307</v>
      </c>
      <c r="AC144" s="199">
        <f t="shared" ca="1" si="45"/>
        <v>25.193109678397221</v>
      </c>
      <c r="AD144" s="199">
        <f t="shared" ca="1" si="45"/>
        <v>26.385322468013946</v>
      </c>
      <c r="AE144" s="199">
        <f t="shared" ca="1" si="45"/>
        <v>27.623947434355415</v>
      </c>
      <c r="AF144" s="199">
        <f t="shared" ca="1" si="45"/>
        <v>28.937992187874581</v>
      </c>
      <c r="AG144" s="199">
        <f t="shared" ca="1" si="45"/>
        <v>30.21722780885019</v>
      </c>
      <c r="AH144" s="199">
        <f t="shared" ca="1" si="45"/>
        <v>31.539974845505242</v>
      </c>
      <c r="AI144" s="199">
        <f t="shared" ca="1" si="45"/>
        <v>33.016462217560985</v>
      </c>
      <c r="AJ144" s="199">
        <f t="shared" ca="1" si="45"/>
        <v>34.588674704111511</v>
      </c>
      <c r="AK144" s="199">
        <f t="shared" ca="1" si="45"/>
        <v>36.259513066202111</v>
      </c>
      <c r="AL144" s="199">
        <f t="shared" ca="1" si="45"/>
        <v>38.011572737560996</v>
      </c>
      <c r="AM144" s="199">
        <f t="shared" ca="1" si="45"/>
        <v>48.808205348153344</v>
      </c>
      <c r="AN144" s="199">
        <f t="shared" ca="1" si="45"/>
        <v>62.728957604529668</v>
      </c>
      <c r="AO144" s="199">
        <f t="shared" ca="1" si="45"/>
        <v>86.925655863866879</v>
      </c>
      <c r="AP144" s="199">
        <f t="shared" ca="1" si="45"/>
        <v>111.6430407308353</v>
      </c>
    </row>
    <row r="145" spans="1:42">
      <c r="A145" s="61" t="str">
        <f>'[4]TS BYDem'!A84</f>
        <v>*</v>
      </c>
      <c r="B145" s="199" t="s">
        <v>288</v>
      </c>
      <c r="C145" s="199" t="s">
        <v>137</v>
      </c>
      <c r="D145" s="199" t="str">
        <f>'[4]TS BYDem'!D84</f>
        <v>ICPS</v>
      </c>
      <c r="E145" s="199" t="s">
        <v>137</v>
      </c>
      <c r="F145" s="199" t="s">
        <v>137</v>
      </c>
      <c r="G145" s="199" t="s">
        <v>137</v>
      </c>
      <c r="H145" s="199" t="s">
        <v>137</v>
      </c>
      <c r="I145" s="199">
        <v>0</v>
      </c>
      <c r="J145" s="199">
        <f>INDEX('[4]TS BYDem'!$J$10:$J$203,MATCH(D145,'[4]TS BYDem'!$D$10:$D$203,0))</f>
        <v>27.288197120140854</v>
      </c>
      <c r="K145" s="199">
        <f t="shared" ca="1" si="47"/>
        <v>28.120122841849369</v>
      </c>
      <c r="L145" s="199">
        <f t="shared" ca="1" si="46"/>
        <v>28.698853778690076</v>
      </c>
      <c r="M145" s="199">
        <f t="shared" ca="1" si="46"/>
        <v>29.055393373708011</v>
      </c>
      <c r="N145" s="199">
        <f t="shared" ca="1" si="46"/>
        <v>29.411932968725949</v>
      </c>
      <c r="O145" s="199">
        <f t="shared" ca="1" si="46"/>
        <v>29.659960513086251</v>
      </c>
      <c r="P145" s="199">
        <f t="shared" ca="1" si="46"/>
        <v>30.104343196731797</v>
      </c>
      <c r="Q145" s="199">
        <f t="shared" ca="1" si="46"/>
        <v>30.28519661449452</v>
      </c>
      <c r="R145" s="199">
        <f t="shared" ca="1" si="46"/>
        <v>28.02194527220675</v>
      </c>
      <c r="S145" s="199">
        <f t="shared" ca="1" si="46"/>
        <v>29.225912310455723</v>
      </c>
      <c r="T145" s="199">
        <f t="shared" ca="1" si="46"/>
        <v>30.269694892971994</v>
      </c>
      <c r="U145" s="199">
        <f t="shared" ca="1" si="46"/>
        <v>31.370317121070844</v>
      </c>
      <c r="V145" s="199">
        <f t="shared" ca="1" si="46"/>
        <v>32.641458285917402</v>
      </c>
      <c r="W145" s="199">
        <f t="shared" ca="1" si="46"/>
        <v>34.036613222944105</v>
      </c>
      <c r="X145" s="199">
        <f t="shared" ca="1" si="46"/>
        <v>35.52477848910592</v>
      </c>
      <c r="Y145" s="199">
        <f t="shared" ca="1" si="46"/>
        <v>37.121455805925372</v>
      </c>
      <c r="Z145" s="199">
        <f t="shared" ca="1" si="46"/>
        <v>38.852481375939981</v>
      </c>
      <c r="AA145" s="199">
        <f t="shared" ca="1" si="45"/>
        <v>40.805698287777368</v>
      </c>
      <c r="AB145" s="199">
        <f t="shared" ca="1" si="45"/>
        <v>42.872594490779889</v>
      </c>
      <c r="AC145" s="199">
        <f t="shared" ca="1" si="45"/>
        <v>44.877483807692336</v>
      </c>
      <c r="AD145" s="199">
        <f t="shared" ca="1" si="45"/>
        <v>47.001219656277428</v>
      </c>
      <c r="AE145" s="199">
        <f t="shared" ca="1" si="45"/>
        <v>49.207631352982631</v>
      </c>
      <c r="AF145" s="199">
        <f t="shared" ca="1" si="45"/>
        <v>51.54839130288299</v>
      </c>
      <c r="AG145" s="199">
        <f t="shared" ca="1" si="45"/>
        <v>53.827144366693275</v>
      </c>
      <c r="AH145" s="199">
        <f t="shared" ca="1" si="45"/>
        <v>56.183406038116154</v>
      </c>
      <c r="AI145" s="199">
        <f t="shared" ca="1" si="45"/>
        <v>58.813531456436856</v>
      </c>
      <c r="AJ145" s="199">
        <f t="shared" ca="1" si="45"/>
        <v>61.614175811505284</v>
      </c>
      <c r="AK145" s="199">
        <f t="shared" ca="1" si="45"/>
        <v>64.59050634382892</v>
      </c>
      <c r="AL145" s="199">
        <f t="shared" ca="1" si="45"/>
        <v>67.711519610362728</v>
      </c>
      <c r="AM145" s="199">
        <f t="shared" ca="1" si="45"/>
        <v>86.943988779301236</v>
      </c>
      <c r="AN145" s="199">
        <f t="shared" ca="1" si="45"/>
        <v>111.74157597482404</v>
      </c>
      <c r="AO145" s="199">
        <f t="shared" ca="1" si="45"/>
        <v>154.84411266818654</v>
      </c>
      <c r="AP145" s="199">
        <f t="shared" ca="1" si="45"/>
        <v>198.87416903264739</v>
      </c>
    </row>
    <row r="146" spans="1:42">
      <c r="A146" s="61" t="str">
        <f>'[4]TS BYDem'!A85</f>
        <v>*</v>
      </c>
      <c r="B146" s="199" t="s">
        <v>288</v>
      </c>
      <c r="C146" s="199" t="s">
        <v>137</v>
      </c>
      <c r="D146" s="199" t="str">
        <f>'[4]TS BYDem'!D85</f>
        <v>ICPS</v>
      </c>
      <c r="E146" s="199" t="s">
        <v>137</v>
      </c>
      <c r="F146" s="199" t="s">
        <v>137</v>
      </c>
      <c r="G146" s="199" t="s">
        <v>137</v>
      </c>
      <c r="H146" s="199" t="s">
        <v>137</v>
      </c>
      <c r="I146" s="199">
        <v>0</v>
      </c>
      <c r="J146" s="199">
        <f>INDEX('[4]TS BYDem'!$J$10:$J$203,MATCH(D146,'[4]TS BYDem'!$D$10:$D$203,0))</f>
        <v>27.288197120140854</v>
      </c>
      <c r="K146" s="199">
        <f t="shared" ca="1" si="47"/>
        <v>28.120122841849369</v>
      </c>
      <c r="L146" s="199">
        <f t="shared" ca="1" si="46"/>
        <v>28.698853778690076</v>
      </c>
      <c r="M146" s="199">
        <f t="shared" ca="1" si="46"/>
        <v>29.055393373708011</v>
      </c>
      <c r="N146" s="199">
        <f t="shared" ca="1" si="46"/>
        <v>29.411932968725949</v>
      </c>
      <c r="O146" s="199">
        <f t="shared" ca="1" si="46"/>
        <v>29.659960513086251</v>
      </c>
      <c r="P146" s="199">
        <f t="shared" ca="1" si="46"/>
        <v>30.104343196731797</v>
      </c>
      <c r="Q146" s="199">
        <f t="shared" ca="1" si="46"/>
        <v>30.28519661449452</v>
      </c>
      <c r="R146" s="199">
        <f t="shared" ca="1" si="46"/>
        <v>28.02194527220675</v>
      </c>
      <c r="S146" s="199">
        <f t="shared" ca="1" si="46"/>
        <v>29.225912310455723</v>
      </c>
      <c r="T146" s="199">
        <f t="shared" ca="1" si="46"/>
        <v>30.269694892971994</v>
      </c>
      <c r="U146" s="199">
        <f t="shared" ca="1" si="46"/>
        <v>31.370317121070844</v>
      </c>
      <c r="V146" s="199">
        <f t="shared" ca="1" si="46"/>
        <v>32.641458285917402</v>
      </c>
      <c r="W146" s="199">
        <f t="shared" ca="1" si="46"/>
        <v>34.036613222944105</v>
      </c>
      <c r="X146" s="199">
        <f t="shared" ca="1" si="46"/>
        <v>35.52477848910592</v>
      </c>
      <c r="Y146" s="199">
        <f t="shared" ca="1" si="46"/>
        <v>37.121455805925372</v>
      </c>
      <c r="Z146" s="199">
        <f t="shared" ca="1" si="46"/>
        <v>38.852481375939981</v>
      </c>
      <c r="AA146" s="199">
        <f t="shared" ca="1" si="45"/>
        <v>40.805698287777368</v>
      </c>
      <c r="AB146" s="199">
        <f t="shared" ca="1" si="45"/>
        <v>42.872594490779889</v>
      </c>
      <c r="AC146" s="199">
        <f t="shared" ca="1" si="45"/>
        <v>44.877483807692336</v>
      </c>
      <c r="AD146" s="199">
        <f t="shared" ca="1" si="45"/>
        <v>47.001219656277428</v>
      </c>
      <c r="AE146" s="199">
        <f t="shared" ca="1" si="45"/>
        <v>49.207631352982631</v>
      </c>
      <c r="AF146" s="199">
        <f t="shared" ca="1" si="45"/>
        <v>51.54839130288299</v>
      </c>
      <c r="AG146" s="199">
        <f t="shared" ca="1" si="45"/>
        <v>53.827144366693275</v>
      </c>
      <c r="AH146" s="199">
        <f t="shared" ca="1" si="45"/>
        <v>56.183406038116154</v>
      </c>
      <c r="AI146" s="199">
        <f t="shared" ca="1" si="45"/>
        <v>58.813531456436856</v>
      </c>
      <c r="AJ146" s="199">
        <f t="shared" ca="1" si="45"/>
        <v>61.614175811505284</v>
      </c>
      <c r="AK146" s="199">
        <f t="shared" ca="1" si="45"/>
        <v>64.59050634382892</v>
      </c>
      <c r="AL146" s="199">
        <f t="shared" ca="1" si="45"/>
        <v>67.711519610362728</v>
      </c>
      <c r="AM146" s="199">
        <f t="shared" ca="1" si="45"/>
        <v>86.943988779301236</v>
      </c>
      <c r="AN146" s="199">
        <f t="shared" ca="1" si="45"/>
        <v>111.74157597482404</v>
      </c>
      <c r="AO146" s="199">
        <f t="shared" ca="1" si="45"/>
        <v>154.84411266818654</v>
      </c>
      <c r="AP146" s="199">
        <f t="shared" ca="1" si="45"/>
        <v>198.87416903264739</v>
      </c>
    </row>
    <row r="147" spans="1:42">
      <c r="A147" s="61" t="str">
        <f>'[4]TS BYDem'!A86</f>
        <v>*</v>
      </c>
      <c r="B147" s="199" t="s">
        <v>288</v>
      </c>
      <c r="C147" s="199" t="s">
        <v>137</v>
      </c>
      <c r="D147" s="199" t="str">
        <f>'[4]TS BYDem'!D86</f>
        <v>ICPS</v>
      </c>
      <c r="E147" s="199" t="s">
        <v>137</v>
      </c>
      <c r="F147" s="199" t="s">
        <v>137</v>
      </c>
      <c r="G147" s="199" t="s">
        <v>137</v>
      </c>
      <c r="H147" s="199" t="s">
        <v>137</v>
      </c>
      <c r="I147" s="199">
        <v>0</v>
      </c>
      <c r="J147" s="199">
        <f>INDEX('[4]TS BYDem'!$J$10:$J$203,MATCH(D147,'[4]TS BYDem'!$D$10:$D$203,0))</f>
        <v>27.288197120140854</v>
      </c>
      <c r="K147" s="199">
        <f t="shared" ca="1" si="47"/>
        <v>28.120122841849369</v>
      </c>
      <c r="L147" s="199">
        <f t="shared" ca="1" si="46"/>
        <v>28.698853778690076</v>
      </c>
      <c r="M147" s="199">
        <f t="shared" ca="1" si="46"/>
        <v>29.055393373708011</v>
      </c>
      <c r="N147" s="199">
        <f t="shared" ca="1" si="46"/>
        <v>29.411932968725949</v>
      </c>
      <c r="O147" s="199">
        <f t="shared" ca="1" si="46"/>
        <v>29.659960513086251</v>
      </c>
      <c r="P147" s="199">
        <f t="shared" ca="1" si="46"/>
        <v>30.104343196731797</v>
      </c>
      <c r="Q147" s="199">
        <f t="shared" ca="1" si="46"/>
        <v>30.28519661449452</v>
      </c>
      <c r="R147" s="199">
        <f t="shared" ca="1" si="46"/>
        <v>28.02194527220675</v>
      </c>
      <c r="S147" s="199">
        <f t="shared" ca="1" si="46"/>
        <v>29.225912310455723</v>
      </c>
      <c r="T147" s="199">
        <f t="shared" ca="1" si="46"/>
        <v>30.269694892971994</v>
      </c>
      <c r="U147" s="199">
        <f t="shared" ca="1" si="46"/>
        <v>31.370317121070844</v>
      </c>
      <c r="V147" s="199">
        <f t="shared" ca="1" si="46"/>
        <v>32.641458285917402</v>
      </c>
      <c r="W147" s="199">
        <f t="shared" ca="1" si="46"/>
        <v>34.036613222944105</v>
      </c>
      <c r="X147" s="199">
        <f t="shared" ca="1" si="46"/>
        <v>35.52477848910592</v>
      </c>
      <c r="Y147" s="199">
        <f t="shared" ca="1" si="46"/>
        <v>37.121455805925372</v>
      </c>
      <c r="Z147" s="199">
        <f t="shared" ca="1" si="46"/>
        <v>38.852481375939981</v>
      </c>
      <c r="AA147" s="199">
        <f t="shared" ca="1" si="45"/>
        <v>40.805698287777368</v>
      </c>
      <c r="AB147" s="199">
        <f t="shared" ca="1" si="45"/>
        <v>42.872594490779889</v>
      </c>
      <c r="AC147" s="199">
        <f t="shared" ca="1" si="45"/>
        <v>44.877483807692336</v>
      </c>
      <c r="AD147" s="199">
        <f t="shared" ca="1" si="45"/>
        <v>47.001219656277428</v>
      </c>
      <c r="AE147" s="199">
        <f t="shared" ca="1" si="45"/>
        <v>49.207631352982631</v>
      </c>
      <c r="AF147" s="199">
        <f t="shared" ca="1" si="45"/>
        <v>51.54839130288299</v>
      </c>
      <c r="AG147" s="199">
        <f t="shared" ca="1" si="45"/>
        <v>53.827144366693275</v>
      </c>
      <c r="AH147" s="199">
        <f t="shared" ca="1" si="45"/>
        <v>56.183406038116154</v>
      </c>
      <c r="AI147" s="199">
        <f t="shared" ca="1" si="45"/>
        <v>58.813531456436856</v>
      </c>
      <c r="AJ147" s="199">
        <f t="shared" ca="1" si="45"/>
        <v>61.614175811505284</v>
      </c>
      <c r="AK147" s="199">
        <f t="shared" ca="1" si="45"/>
        <v>64.59050634382892</v>
      </c>
      <c r="AL147" s="199">
        <f t="shared" ca="1" si="45"/>
        <v>67.711519610362728</v>
      </c>
      <c r="AM147" s="199">
        <f t="shared" ca="1" si="45"/>
        <v>86.943988779301236</v>
      </c>
      <c r="AN147" s="199">
        <f t="shared" ca="1" si="45"/>
        <v>111.74157597482404</v>
      </c>
      <c r="AO147" s="199">
        <f t="shared" ca="1" si="45"/>
        <v>154.84411266818654</v>
      </c>
      <c r="AP147" s="199">
        <f t="shared" ca="1" si="45"/>
        <v>198.87416903264739</v>
      </c>
    </row>
    <row r="148" spans="1:42">
      <c r="A148" s="61" t="str">
        <f>'[4]TS BYDem'!A87</f>
        <v>*</v>
      </c>
      <c r="B148" s="199" t="s">
        <v>288</v>
      </c>
      <c r="C148" s="199" t="s">
        <v>137</v>
      </c>
      <c r="D148" s="199" t="str">
        <f>'[4]TS BYDem'!D87</f>
        <v>ICPS</v>
      </c>
      <c r="E148" s="199" t="s">
        <v>137</v>
      </c>
      <c r="F148" s="199" t="s">
        <v>137</v>
      </c>
      <c r="G148" s="199" t="s">
        <v>137</v>
      </c>
      <c r="H148" s="199" t="s">
        <v>137</v>
      </c>
      <c r="I148" s="199">
        <v>0</v>
      </c>
      <c r="J148" s="199">
        <f>INDEX('[4]TS BYDem'!$J$10:$J$203,MATCH(D148,'[4]TS BYDem'!$D$10:$D$203,0))</f>
        <v>27.288197120140854</v>
      </c>
      <c r="K148" s="199">
        <f t="shared" ca="1" si="47"/>
        <v>28.120122841849369</v>
      </c>
      <c r="L148" s="199">
        <f t="shared" ca="1" si="46"/>
        <v>28.698853778690076</v>
      </c>
      <c r="M148" s="199">
        <f t="shared" ca="1" si="46"/>
        <v>29.055393373708011</v>
      </c>
      <c r="N148" s="199">
        <f t="shared" ca="1" si="46"/>
        <v>29.411932968725949</v>
      </c>
      <c r="O148" s="199">
        <f t="shared" ca="1" si="46"/>
        <v>29.659960513086251</v>
      </c>
      <c r="P148" s="199">
        <f t="shared" ca="1" si="46"/>
        <v>30.104343196731797</v>
      </c>
      <c r="Q148" s="199">
        <f t="shared" ca="1" si="46"/>
        <v>30.28519661449452</v>
      </c>
      <c r="R148" s="199">
        <f t="shared" ca="1" si="46"/>
        <v>28.02194527220675</v>
      </c>
      <c r="S148" s="199">
        <f t="shared" ca="1" si="46"/>
        <v>29.225912310455723</v>
      </c>
      <c r="T148" s="199">
        <f t="shared" ca="1" si="46"/>
        <v>30.269694892971994</v>
      </c>
      <c r="U148" s="199">
        <f t="shared" ca="1" si="46"/>
        <v>31.370317121070844</v>
      </c>
      <c r="V148" s="199">
        <f t="shared" ca="1" si="46"/>
        <v>32.641458285917402</v>
      </c>
      <c r="W148" s="199">
        <f t="shared" ca="1" si="46"/>
        <v>34.036613222944105</v>
      </c>
      <c r="X148" s="199">
        <f t="shared" ca="1" si="46"/>
        <v>35.52477848910592</v>
      </c>
      <c r="Y148" s="199">
        <f t="shared" ca="1" si="46"/>
        <v>37.121455805925372</v>
      </c>
      <c r="Z148" s="199">
        <f t="shared" ca="1" si="46"/>
        <v>38.852481375939981</v>
      </c>
      <c r="AA148" s="199">
        <f t="shared" ca="1" si="45"/>
        <v>40.805698287777368</v>
      </c>
      <c r="AB148" s="199">
        <f t="shared" ca="1" si="45"/>
        <v>42.872594490779889</v>
      </c>
      <c r="AC148" s="199">
        <f t="shared" ca="1" si="45"/>
        <v>44.877483807692336</v>
      </c>
      <c r="AD148" s="199">
        <f t="shared" ca="1" si="45"/>
        <v>47.001219656277428</v>
      </c>
      <c r="AE148" s="199">
        <f t="shared" ca="1" si="45"/>
        <v>49.207631352982631</v>
      </c>
      <c r="AF148" s="199">
        <f t="shared" ca="1" si="45"/>
        <v>51.54839130288299</v>
      </c>
      <c r="AG148" s="199">
        <f t="shared" ca="1" si="45"/>
        <v>53.827144366693275</v>
      </c>
      <c r="AH148" s="199">
        <f t="shared" ca="1" si="45"/>
        <v>56.183406038116154</v>
      </c>
      <c r="AI148" s="199">
        <f t="shared" ca="1" si="45"/>
        <v>58.813531456436856</v>
      </c>
      <c r="AJ148" s="199">
        <f t="shared" ca="1" si="45"/>
        <v>61.614175811505284</v>
      </c>
      <c r="AK148" s="199">
        <f t="shared" ca="1" si="45"/>
        <v>64.59050634382892</v>
      </c>
      <c r="AL148" s="199">
        <f t="shared" ca="1" si="45"/>
        <v>67.711519610362728</v>
      </c>
      <c r="AM148" s="199">
        <f t="shared" ca="1" si="45"/>
        <v>86.943988779301236</v>
      </c>
      <c r="AN148" s="199">
        <f t="shared" ca="1" si="45"/>
        <v>111.74157597482404</v>
      </c>
      <c r="AO148" s="199">
        <f t="shared" ca="1" si="45"/>
        <v>154.84411266818654</v>
      </c>
      <c r="AP148" s="199">
        <f t="shared" ca="1" si="45"/>
        <v>198.87416903264739</v>
      </c>
    </row>
    <row r="149" spans="1:42">
      <c r="A149" s="61" t="str">
        <f>'[4]TS BYDem'!A88</f>
        <v>*</v>
      </c>
      <c r="B149" s="199" t="s">
        <v>288</v>
      </c>
      <c r="C149" s="199" t="s">
        <v>137</v>
      </c>
      <c r="D149" s="199" t="str">
        <f>'[4]TS BYDem'!D88</f>
        <v>ICPS</v>
      </c>
      <c r="E149" s="199" t="s">
        <v>137</v>
      </c>
      <c r="F149" s="199" t="s">
        <v>137</v>
      </c>
      <c r="G149" s="199" t="s">
        <v>137</v>
      </c>
      <c r="H149" s="199" t="s">
        <v>137</v>
      </c>
      <c r="I149" s="199">
        <v>0</v>
      </c>
      <c r="J149" s="199">
        <f>INDEX('[4]TS BYDem'!$J$10:$J$203,MATCH(D149,'[4]TS BYDem'!$D$10:$D$203,0))</f>
        <v>27.288197120140854</v>
      </c>
      <c r="K149" s="199">
        <f t="shared" ca="1" si="47"/>
        <v>28.120122841849369</v>
      </c>
      <c r="L149" s="199">
        <f t="shared" ca="1" si="46"/>
        <v>28.698853778690076</v>
      </c>
      <c r="M149" s="199">
        <f t="shared" ca="1" si="46"/>
        <v>29.055393373708011</v>
      </c>
      <c r="N149" s="199">
        <f t="shared" ca="1" si="46"/>
        <v>29.411932968725949</v>
      </c>
      <c r="O149" s="199">
        <f t="shared" ca="1" si="46"/>
        <v>29.659960513086251</v>
      </c>
      <c r="P149" s="199">
        <f t="shared" ca="1" si="46"/>
        <v>30.104343196731797</v>
      </c>
      <c r="Q149" s="199">
        <f t="shared" ca="1" si="46"/>
        <v>30.28519661449452</v>
      </c>
      <c r="R149" s="199">
        <f t="shared" ca="1" si="46"/>
        <v>28.02194527220675</v>
      </c>
      <c r="S149" s="199">
        <f t="shared" ca="1" si="46"/>
        <v>29.225912310455723</v>
      </c>
      <c r="T149" s="199">
        <f t="shared" ca="1" si="46"/>
        <v>30.269694892971994</v>
      </c>
      <c r="U149" s="199">
        <f t="shared" ca="1" si="46"/>
        <v>31.370317121070844</v>
      </c>
      <c r="V149" s="199">
        <f t="shared" ca="1" si="46"/>
        <v>32.641458285917402</v>
      </c>
      <c r="W149" s="199">
        <f t="shared" ca="1" si="46"/>
        <v>34.036613222944105</v>
      </c>
      <c r="X149" s="199">
        <f t="shared" ca="1" si="46"/>
        <v>35.52477848910592</v>
      </c>
      <c r="Y149" s="199">
        <f t="shared" ca="1" si="46"/>
        <v>37.121455805925372</v>
      </c>
      <c r="Z149" s="199">
        <f t="shared" ca="1" si="46"/>
        <v>38.852481375939981</v>
      </c>
      <c r="AA149" s="199">
        <f t="shared" ca="1" si="45"/>
        <v>40.805698287777368</v>
      </c>
      <c r="AB149" s="199">
        <f t="shared" ca="1" si="45"/>
        <v>42.872594490779889</v>
      </c>
      <c r="AC149" s="199">
        <f t="shared" ca="1" si="45"/>
        <v>44.877483807692336</v>
      </c>
      <c r="AD149" s="199">
        <f t="shared" ca="1" si="45"/>
        <v>47.001219656277428</v>
      </c>
      <c r="AE149" s="199">
        <f t="shared" ca="1" si="45"/>
        <v>49.207631352982631</v>
      </c>
      <c r="AF149" s="199">
        <f t="shared" ca="1" si="45"/>
        <v>51.54839130288299</v>
      </c>
      <c r="AG149" s="199">
        <f t="shared" ca="1" si="45"/>
        <v>53.827144366693275</v>
      </c>
      <c r="AH149" s="199">
        <f t="shared" ca="1" si="45"/>
        <v>56.183406038116154</v>
      </c>
      <c r="AI149" s="199">
        <f t="shared" ca="1" si="45"/>
        <v>58.813531456436856</v>
      </c>
      <c r="AJ149" s="199">
        <f t="shared" ca="1" si="45"/>
        <v>61.614175811505284</v>
      </c>
      <c r="AK149" s="199">
        <f t="shared" ca="1" si="45"/>
        <v>64.59050634382892</v>
      </c>
      <c r="AL149" s="199">
        <f t="shared" ca="1" si="45"/>
        <v>67.711519610362728</v>
      </c>
      <c r="AM149" s="199">
        <f t="shared" ca="1" si="45"/>
        <v>86.943988779301236</v>
      </c>
      <c r="AN149" s="199">
        <f t="shared" ca="1" si="45"/>
        <v>111.74157597482404</v>
      </c>
      <c r="AO149" s="199">
        <f t="shared" ca="1" si="45"/>
        <v>154.84411266818654</v>
      </c>
      <c r="AP149" s="199">
        <f t="shared" ca="1" si="45"/>
        <v>198.87416903264739</v>
      </c>
    </row>
    <row r="150" spans="1:42">
      <c r="A150" s="61" t="str">
        <f>'[4]TS BYDem'!A89</f>
        <v>*</v>
      </c>
      <c r="B150" s="199" t="s">
        <v>288</v>
      </c>
      <c r="C150" s="199" t="s">
        <v>137</v>
      </c>
      <c r="D150" s="199">
        <f>'[4]TS BYDem'!D89</f>
        <v>0</v>
      </c>
      <c r="E150" s="199" t="s">
        <v>137</v>
      </c>
      <c r="F150" s="199" t="s">
        <v>137</v>
      </c>
      <c r="G150" s="199" t="s">
        <v>137</v>
      </c>
      <c r="H150" s="199" t="s">
        <v>137</v>
      </c>
      <c r="I150" s="199">
        <v>0</v>
      </c>
      <c r="J150" s="199" t="str">
        <f>INDEX('[4]TS BYDem'!$J$10:$J$203,MATCH(D150,'[4]TS BYDem'!$D$10:$D$203,0))</f>
        <v/>
      </c>
      <c r="K150" s="199" t="e">
        <f t="shared" ca="1" si="47"/>
        <v>#VALUE!</v>
      </c>
      <c r="L150" s="199" t="e">
        <f t="shared" ca="1" si="46"/>
        <v>#VALUE!</v>
      </c>
      <c r="M150" s="199" t="e">
        <f t="shared" ca="1" si="46"/>
        <v>#VALUE!</v>
      </c>
      <c r="N150" s="199" t="e">
        <f t="shared" ca="1" si="46"/>
        <v>#VALUE!</v>
      </c>
      <c r="O150" s="199" t="e">
        <f t="shared" ca="1" si="46"/>
        <v>#VALUE!</v>
      </c>
      <c r="P150" s="199" t="e">
        <f t="shared" ca="1" si="46"/>
        <v>#VALUE!</v>
      </c>
      <c r="Q150" s="199" t="e">
        <f t="shared" ca="1" si="46"/>
        <v>#VALUE!</v>
      </c>
      <c r="R150" s="199" t="e">
        <f t="shared" ca="1" si="46"/>
        <v>#VALUE!</v>
      </c>
      <c r="S150" s="199" t="e">
        <f t="shared" ca="1" si="46"/>
        <v>#VALUE!</v>
      </c>
      <c r="T150" s="199" t="e">
        <f t="shared" ca="1" si="46"/>
        <v>#VALUE!</v>
      </c>
      <c r="U150" s="199" t="e">
        <f t="shared" ca="1" si="46"/>
        <v>#VALUE!</v>
      </c>
      <c r="V150" s="199" t="e">
        <f t="shared" ca="1" si="46"/>
        <v>#VALUE!</v>
      </c>
      <c r="W150" s="199" t="e">
        <f t="shared" ca="1" si="46"/>
        <v>#VALUE!</v>
      </c>
      <c r="X150" s="199" t="e">
        <f t="shared" ca="1" si="46"/>
        <v>#VALUE!</v>
      </c>
      <c r="Y150" s="199" t="e">
        <f t="shared" ca="1" si="46"/>
        <v>#VALUE!</v>
      </c>
      <c r="Z150" s="199" t="e">
        <f t="shared" ca="1" si="46"/>
        <v>#VALUE!</v>
      </c>
      <c r="AA150" s="199" t="e">
        <f t="shared" ref="AA150:AP153" ca="1" si="50">AA$133/Z$133*Z150</f>
        <v>#VALUE!</v>
      </c>
      <c r="AB150" s="199" t="e">
        <f t="shared" ca="1" si="50"/>
        <v>#VALUE!</v>
      </c>
      <c r="AC150" s="199" t="e">
        <f t="shared" ca="1" si="50"/>
        <v>#VALUE!</v>
      </c>
      <c r="AD150" s="199" t="e">
        <f t="shared" ca="1" si="50"/>
        <v>#VALUE!</v>
      </c>
      <c r="AE150" s="199" t="e">
        <f t="shared" ca="1" si="50"/>
        <v>#VALUE!</v>
      </c>
      <c r="AF150" s="199" t="e">
        <f t="shared" ca="1" si="50"/>
        <v>#VALUE!</v>
      </c>
      <c r="AG150" s="199" t="e">
        <f t="shared" ca="1" si="50"/>
        <v>#VALUE!</v>
      </c>
      <c r="AH150" s="199" t="e">
        <f t="shared" ca="1" si="50"/>
        <v>#VALUE!</v>
      </c>
      <c r="AI150" s="199" t="e">
        <f t="shared" ca="1" si="50"/>
        <v>#VALUE!</v>
      </c>
      <c r="AJ150" s="199" t="e">
        <f t="shared" ca="1" si="50"/>
        <v>#VALUE!</v>
      </c>
      <c r="AK150" s="199" t="e">
        <f t="shared" ca="1" si="50"/>
        <v>#VALUE!</v>
      </c>
      <c r="AL150" s="199" t="e">
        <f t="shared" ca="1" si="50"/>
        <v>#VALUE!</v>
      </c>
      <c r="AM150" s="199" t="e">
        <f t="shared" ca="1" si="50"/>
        <v>#VALUE!</v>
      </c>
      <c r="AN150" s="199" t="e">
        <f t="shared" ca="1" si="50"/>
        <v>#VALUE!</v>
      </c>
      <c r="AO150" s="199" t="e">
        <f t="shared" ca="1" si="50"/>
        <v>#VALUE!</v>
      </c>
      <c r="AP150" s="199" t="e">
        <f t="shared" ca="1" si="50"/>
        <v>#VALUE!</v>
      </c>
    </row>
    <row r="151" spans="1:42">
      <c r="A151" s="61" t="str">
        <f>'[4]TS BYDem'!A90</f>
        <v/>
      </c>
      <c r="B151" s="199" t="s">
        <v>288</v>
      </c>
      <c r="C151" s="199" t="s">
        <v>137</v>
      </c>
      <c r="D151" s="199" t="str">
        <f>'[4]TS BYDem'!D90</f>
        <v>ICPT</v>
      </c>
      <c r="E151" s="199" t="s">
        <v>137</v>
      </c>
      <c r="F151" s="199" t="s">
        <v>137</v>
      </c>
      <c r="G151" s="199" t="s">
        <v>137</v>
      </c>
      <c r="H151" s="199" t="s">
        <v>137</v>
      </c>
      <c r="I151" s="199">
        <v>0</v>
      </c>
      <c r="J151" s="199">
        <f>INDEX('[4]TS BYDem'!$J$10:$J$203,MATCH(D151,'[4]TS BYDem'!$D$10:$D$203,0))</f>
        <v>39.004000030517574</v>
      </c>
      <c r="K151" s="199">
        <f t="shared" ca="1" si="47"/>
        <v>40.193101338018678</v>
      </c>
      <c r="L151" s="199">
        <f t="shared" ca="1" si="47"/>
        <v>41.020302247584659</v>
      </c>
      <c r="M151" s="206">
        <f t="shared" ref="M151" si="51">O151</f>
        <v>28.64</v>
      </c>
      <c r="N151" s="206">
        <f t="shared" ref="N151" si="52">O151</f>
        <v>28.64</v>
      </c>
      <c r="O151" s="206">
        <f>INDEX('[4]TS BYDem'!$O$10:$O$203,MATCH(D151,'[4]TS BYDem'!$D$10:$D$203,0))</f>
        <v>28.64</v>
      </c>
      <c r="P151" s="199">
        <f t="shared" ref="P151:Z153" ca="1" si="53">P$133/O$133*O151</f>
        <v>29.069101045296168</v>
      </c>
      <c r="Q151" s="199">
        <f t="shared" ca="1" si="53"/>
        <v>29.243735191637633</v>
      </c>
      <c r="R151" s="199">
        <f t="shared" ca="1" si="53"/>
        <v>27.058313588850172</v>
      </c>
      <c r="S151" s="199">
        <f t="shared" ca="1" si="53"/>
        <v>28.220878048780484</v>
      </c>
      <c r="T151" s="199">
        <f t="shared" ca="1" si="53"/>
        <v>29.228766550522639</v>
      </c>
      <c r="U151" s="199">
        <f t="shared" ca="1" si="53"/>
        <v>30.291540069686405</v>
      </c>
      <c r="V151" s="199">
        <f t="shared" ca="1" si="53"/>
        <v>31.518968641114981</v>
      </c>
      <c r="W151" s="199">
        <f t="shared" ca="1" si="53"/>
        <v>32.866146341463413</v>
      </c>
      <c r="X151" s="199">
        <f t="shared" ca="1" si="53"/>
        <v>34.303135888501735</v>
      </c>
      <c r="Y151" s="199">
        <f t="shared" ca="1" si="53"/>
        <v>35.844905923344946</v>
      </c>
      <c r="Z151" s="199">
        <f t="shared" ca="1" si="53"/>
        <v>37.516404181184662</v>
      </c>
      <c r="AA151" s="199">
        <f t="shared" ca="1" si="50"/>
        <v>39.402452961672466</v>
      </c>
      <c r="AB151" s="199">
        <f t="shared" ca="1" si="50"/>
        <v>41.398271777003472</v>
      </c>
      <c r="AC151" s="199">
        <f t="shared" ca="1" si="50"/>
        <v>43.334216027874554</v>
      </c>
      <c r="AD151" s="199">
        <f t="shared" ca="1" si="50"/>
        <v>45.384919860627164</v>
      </c>
      <c r="AE151" s="199">
        <f t="shared" ca="1" si="50"/>
        <v>47.515456445993024</v>
      </c>
      <c r="AF151" s="199">
        <f t="shared" ca="1" si="50"/>
        <v>49.775721254355396</v>
      </c>
      <c r="AG151" s="199">
        <f t="shared" ca="1" si="50"/>
        <v>51.976111498257836</v>
      </c>
      <c r="AH151" s="199">
        <f t="shared" ca="1" si="50"/>
        <v>54.251344947735184</v>
      </c>
      <c r="AI151" s="199">
        <f t="shared" ca="1" si="50"/>
        <v>56.791024390243884</v>
      </c>
      <c r="AJ151" s="199">
        <f t="shared" ca="1" si="50"/>
        <v>59.495358885017403</v>
      </c>
      <c r="AK151" s="199">
        <f t="shared" ca="1" si="50"/>
        <v>62.369337979094063</v>
      </c>
      <c r="AL151" s="199">
        <f t="shared" ca="1" si="50"/>
        <v>65.383024390243889</v>
      </c>
      <c r="AM151" s="199">
        <f t="shared" ca="1" si="50"/>
        <v>83.954118466898947</v>
      </c>
      <c r="AN151" s="199">
        <f t="shared" ca="1" si="50"/>
        <v>107.89895470383276</v>
      </c>
      <c r="AO151" s="199">
        <f t="shared" ca="1" si="50"/>
        <v>149.51926132404046</v>
      </c>
      <c r="AP151" s="199">
        <f t="shared" ca="1" si="50"/>
        <v>192.03519163762888</v>
      </c>
    </row>
    <row r="152" spans="1:42">
      <c r="A152" s="61" t="str">
        <f>'[4]TS BYDem'!A91</f>
        <v>*</v>
      </c>
      <c r="B152" s="199" t="s">
        <v>288</v>
      </c>
      <c r="C152" s="199" t="s">
        <v>137</v>
      </c>
      <c r="D152" s="199" t="str">
        <f>'[4]TS BYDem'!D91</f>
        <v>Useful Energy Service</v>
      </c>
      <c r="E152" s="199" t="s">
        <v>137</v>
      </c>
      <c r="F152" s="199" t="s">
        <v>137</v>
      </c>
      <c r="G152" s="199" t="s">
        <v>137</v>
      </c>
      <c r="H152" s="199" t="s">
        <v>137</v>
      </c>
      <c r="I152" s="199">
        <v>0</v>
      </c>
      <c r="J152" s="199" t="str">
        <f>INDEX('[4]TS BYDem'!$J$10:$J$203,MATCH(D152,'[4]TS BYDem'!$D$10:$D$203,0))</f>
        <v/>
      </c>
      <c r="K152" s="199" t="e">
        <f t="shared" ca="1" si="47"/>
        <v>#VALUE!</v>
      </c>
      <c r="L152" s="199" t="e">
        <f t="shared" ca="1" si="47"/>
        <v>#VALUE!</v>
      </c>
      <c r="M152" s="199" t="e">
        <f t="shared" ca="1" si="47"/>
        <v>#VALUE!</v>
      </c>
      <c r="N152" s="199" t="e">
        <f t="shared" ca="1" si="47"/>
        <v>#VALUE!</v>
      </c>
      <c r="O152" s="199" t="e">
        <f t="shared" ca="1" si="47"/>
        <v>#VALUE!</v>
      </c>
      <c r="P152" s="199" t="e">
        <f t="shared" ca="1" si="53"/>
        <v>#VALUE!</v>
      </c>
      <c r="Q152" s="199" t="e">
        <f t="shared" ca="1" si="53"/>
        <v>#VALUE!</v>
      </c>
      <c r="R152" s="199" t="e">
        <f t="shared" ca="1" si="53"/>
        <v>#VALUE!</v>
      </c>
      <c r="S152" s="199" t="e">
        <f t="shared" ca="1" si="53"/>
        <v>#VALUE!</v>
      </c>
      <c r="T152" s="199" t="e">
        <f t="shared" ca="1" si="53"/>
        <v>#VALUE!</v>
      </c>
      <c r="U152" s="199" t="e">
        <f t="shared" ca="1" si="53"/>
        <v>#VALUE!</v>
      </c>
      <c r="V152" s="199" t="e">
        <f t="shared" ca="1" si="53"/>
        <v>#VALUE!</v>
      </c>
      <c r="W152" s="199" t="e">
        <f t="shared" ca="1" si="53"/>
        <v>#VALUE!</v>
      </c>
      <c r="X152" s="199" t="e">
        <f t="shared" ca="1" si="53"/>
        <v>#VALUE!</v>
      </c>
      <c r="Y152" s="199" t="e">
        <f t="shared" ca="1" si="53"/>
        <v>#VALUE!</v>
      </c>
      <c r="Z152" s="199" t="e">
        <f t="shared" ca="1" si="53"/>
        <v>#VALUE!</v>
      </c>
      <c r="AA152" s="199" t="e">
        <f t="shared" ca="1" si="50"/>
        <v>#VALUE!</v>
      </c>
      <c r="AB152" s="199" t="e">
        <f t="shared" ca="1" si="50"/>
        <v>#VALUE!</v>
      </c>
      <c r="AC152" s="199" t="e">
        <f t="shared" ca="1" si="50"/>
        <v>#VALUE!</v>
      </c>
      <c r="AD152" s="199" t="e">
        <f t="shared" ca="1" si="50"/>
        <v>#VALUE!</v>
      </c>
      <c r="AE152" s="199" t="e">
        <f t="shared" ca="1" si="50"/>
        <v>#VALUE!</v>
      </c>
      <c r="AF152" s="199" t="e">
        <f t="shared" ca="1" si="50"/>
        <v>#VALUE!</v>
      </c>
      <c r="AG152" s="199" t="e">
        <f t="shared" ca="1" si="50"/>
        <v>#VALUE!</v>
      </c>
      <c r="AH152" s="199" t="e">
        <f t="shared" ca="1" si="50"/>
        <v>#VALUE!</v>
      </c>
      <c r="AI152" s="199" t="e">
        <f t="shared" ca="1" si="50"/>
        <v>#VALUE!</v>
      </c>
      <c r="AJ152" s="199" t="e">
        <f t="shared" ca="1" si="50"/>
        <v>#VALUE!</v>
      </c>
      <c r="AK152" s="199" t="e">
        <f t="shared" ca="1" si="50"/>
        <v>#VALUE!</v>
      </c>
      <c r="AL152" s="199" t="e">
        <f t="shared" ca="1" si="50"/>
        <v>#VALUE!</v>
      </c>
      <c r="AM152" s="199" t="e">
        <f t="shared" ca="1" si="50"/>
        <v>#VALUE!</v>
      </c>
      <c r="AN152" s="199" t="e">
        <f t="shared" ca="1" si="50"/>
        <v>#VALUE!</v>
      </c>
      <c r="AO152" s="199" t="e">
        <f t="shared" ca="1" si="50"/>
        <v>#VALUE!</v>
      </c>
      <c r="AP152" s="199" t="e">
        <f t="shared" ca="1" si="50"/>
        <v>#VALUE!</v>
      </c>
    </row>
    <row r="153" spans="1:42">
      <c r="A153" s="61" t="str">
        <f>'[4]TS BYDem'!A92</f>
        <v>*</v>
      </c>
      <c r="B153" s="199" t="s">
        <v>288</v>
      </c>
      <c r="C153" s="199" t="s">
        <v>137</v>
      </c>
      <c r="D153" s="199">
        <f>'[4]TS BYDem'!D92</f>
        <v>0</v>
      </c>
      <c r="E153" s="199" t="s">
        <v>137</v>
      </c>
      <c r="F153" s="199" t="s">
        <v>137</v>
      </c>
      <c r="G153" s="199" t="s">
        <v>137</v>
      </c>
      <c r="H153" s="199" t="s">
        <v>137</v>
      </c>
      <c r="I153" s="199">
        <v>0</v>
      </c>
      <c r="J153" s="199" t="str">
        <f>INDEX('[4]TS BYDem'!$J$10:$J$203,MATCH(D153,'[4]TS BYDem'!$D$10:$D$203,0))</f>
        <v/>
      </c>
      <c r="K153" s="199" t="e">
        <f t="shared" ca="1" si="47"/>
        <v>#VALUE!</v>
      </c>
      <c r="L153" s="199" t="e">
        <f t="shared" ca="1" si="47"/>
        <v>#VALUE!</v>
      </c>
      <c r="M153" s="199" t="e">
        <f t="shared" ca="1" si="47"/>
        <v>#VALUE!</v>
      </c>
      <c r="N153" s="199" t="e">
        <f t="shared" ca="1" si="47"/>
        <v>#VALUE!</v>
      </c>
      <c r="O153" s="199" t="e">
        <f t="shared" ca="1" si="47"/>
        <v>#VALUE!</v>
      </c>
      <c r="P153" s="199" t="e">
        <f t="shared" ca="1" si="53"/>
        <v>#VALUE!</v>
      </c>
      <c r="Q153" s="199" t="e">
        <f t="shared" ca="1" si="53"/>
        <v>#VALUE!</v>
      </c>
      <c r="R153" s="199" t="e">
        <f t="shared" ca="1" si="53"/>
        <v>#VALUE!</v>
      </c>
      <c r="S153" s="199" t="e">
        <f t="shared" ca="1" si="53"/>
        <v>#VALUE!</v>
      </c>
      <c r="T153" s="199" t="e">
        <f t="shared" ca="1" si="53"/>
        <v>#VALUE!</v>
      </c>
      <c r="U153" s="199" t="e">
        <f t="shared" ca="1" si="53"/>
        <v>#VALUE!</v>
      </c>
      <c r="V153" s="199" t="e">
        <f t="shared" ca="1" si="53"/>
        <v>#VALUE!</v>
      </c>
      <c r="W153" s="199" t="e">
        <f t="shared" ca="1" si="53"/>
        <v>#VALUE!</v>
      </c>
      <c r="X153" s="199" t="e">
        <f t="shared" ca="1" si="53"/>
        <v>#VALUE!</v>
      </c>
      <c r="Y153" s="199" t="e">
        <f t="shared" ca="1" si="53"/>
        <v>#VALUE!</v>
      </c>
      <c r="Z153" s="199" t="e">
        <f t="shared" ca="1" si="53"/>
        <v>#VALUE!</v>
      </c>
      <c r="AA153" s="199" t="e">
        <f t="shared" ca="1" si="50"/>
        <v>#VALUE!</v>
      </c>
      <c r="AB153" s="199" t="e">
        <f t="shared" ca="1" si="50"/>
        <v>#VALUE!</v>
      </c>
      <c r="AC153" s="199" t="e">
        <f t="shared" ca="1" si="50"/>
        <v>#VALUE!</v>
      </c>
      <c r="AD153" s="199" t="e">
        <f t="shared" ca="1" si="50"/>
        <v>#VALUE!</v>
      </c>
      <c r="AE153" s="199" t="e">
        <f t="shared" ca="1" si="50"/>
        <v>#VALUE!</v>
      </c>
      <c r="AF153" s="199" t="e">
        <f t="shared" ca="1" si="50"/>
        <v>#VALUE!</v>
      </c>
      <c r="AG153" s="199" t="e">
        <f t="shared" ca="1" si="50"/>
        <v>#VALUE!</v>
      </c>
      <c r="AH153" s="199" t="e">
        <f t="shared" ca="1" si="50"/>
        <v>#VALUE!</v>
      </c>
      <c r="AI153" s="199" t="e">
        <f t="shared" ca="1" si="50"/>
        <v>#VALUE!</v>
      </c>
      <c r="AJ153" s="199" t="e">
        <f t="shared" ca="1" si="50"/>
        <v>#VALUE!</v>
      </c>
      <c r="AK153" s="199" t="e">
        <f t="shared" ca="1" si="50"/>
        <v>#VALUE!</v>
      </c>
      <c r="AL153" s="199" t="e">
        <f t="shared" ca="1" si="50"/>
        <v>#VALUE!</v>
      </c>
      <c r="AM153" s="199" t="e">
        <f t="shared" ca="1" si="50"/>
        <v>#VALUE!</v>
      </c>
      <c r="AN153" s="199" t="e">
        <f t="shared" ca="1" si="50"/>
        <v>#VALUE!</v>
      </c>
      <c r="AO153" s="199" t="e">
        <f t="shared" ca="1" si="50"/>
        <v>#VALUE!</v>
      </c>
      <c r="AP153" s="199" t="e">
        <f t="shared" ca="1" si="50"/>
        <v>#VALUE!</v>
      </c>
    </row>
    <row r="154" spans="1:42" s="5" customFormat="1">
      <c r="A154" s="61" t="str">
        <f>'[4]TS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8.57</v>
      </c>
      <c r="L154" s="5">
        <f t="shared" ca="1" si="54"/>
        <v>7.79</v>
      </c>
      <c r="M154" s="5">
        <f t="shared" ca="1" si="54"/>
        <v>7.87</v>
      </c>
      <c r="N154" s="5">
        <f t="shared" ca="1" si="54"/>
        <v>7.63</v>
      </c>
      <c r="O154" s="5">
        <f t="shared" ca="1" si="54"/>
        <v>7.31</v>
      </c>
      <c r="P154" s="5">
        <f t="shared" ca="1" si="54"/>
        <v>7.14</v>
      </c>
      <c r="Q154" s="5">
        <f t="shared" ca="1" si="54"/>
        <v>6.85</v>
      </c>
      <c r="R154" s="5">
        <f t="shared" ca="1" si="54"/>
        <v>5.64</v>
      </c>
      <c r="S154" s="5">
        <f t="shared" ca="1" si="54"/>
        <v>5.89</v>
      </c>
      <c r="T154" s="5">
        <f t="shared" ca="1" si="54"/>
        <v>6</v>
      </c>
      <c r="U154" s="5">
        <f t="shared" ca="1" si="54"/>
        <v>6.11</v>
      </c>
      <c r="V154" s="5">
        <f t="shared" ca="1" si="54"/>
        <v>6.29</v>
      </c>
      <c r="W154" s="5">
        <f t="shared" ca="1" si="54"/>
        <v>6.51</v>
      </c>
      <c r="X154" s="5">
        <f t="shared" ca="1" si="54"/>
        <v>6.75</v>
      </c>
      <c r="Y154" s="5">
        <f t="shared" ca="1" si="54"/>
        <v>7.02</v>
      </c>
      <c r="Z154" s="5">
        <f t="shared" ca="1" si="54"/>
        <v>7.3</v>
      </c>
      <c r="AA154" s="5">
        <f t="shared" ca="1" si="54"/>
        <v>7.64</v>
      </c>
      <c r="AB154" s="5">
        <f t="shared" ca="1" si="54"/>
        <v>8.02</v>
      </c>
      <c r="AC154" s="5">
        <f t="shared" ca="1" si="54"/>
        <v>8.36</v>
      </c>
      <c r="AD154" s="5">
        <f t="shared" ca="1" si="54"/>
        <v>8.69</v>
      </c>
      <c r="AE154" s="5">
        <f t="shared" ca="1" si="54"/>
        <v>8.9700000000000006</v>
      </c>
      <c r="AF154" s="5">
        <f t="shared" ca="1" si="54"/>
        <v>9.2200000000000006</v>
      </c>
      <c r="AG154" s="5">
        <f t="shared" ca="1" si="54"/>
        <v>9.43</v>
      </c>
      <c r="AH154" s="5">
        <f t="shared" ca="1" si="54"/>
        <v>9.59</v>
      </c>
      <c r="AI154" s="5">
        <f t="shared" ca="1" si="54"/>
        <v>9.7200000000000006</v>
      </c>
      <c r="AJ154" s="5">
        <f t="shared" ca="1" si="54"/>
        <v>9.82</v>
      </c>
      <c r="AK154" s="5">
        <f t="shared" ca="1" si="54"/>
        <v>9.93</v>
      </c>
      <c r="AL154" s="5">
        <f t="shared" ca="1" si="54"/>
        <v>10.039999999999999</v>
      </c>
      <c r="AM154" s="5">
        <f t="shared" ca="1" si="54"/>
        <v>11.66</v>
      </c>
      <c r="AN154" s="5">
        <f t="shared" ca="1" si="54"/>
        <v>14.85</v>
      </c>
      <c r="AO154" s="5">
        <f t="shared" ca="1" si="54"/>
        <v>19.398333333333312</v>
      </c>
      <c r="AP154" s="5">
        <f t="shared" ca="1" si="54"/>
        <v>24.208333333333258</v>
      </c>
    </row>
    <row r="155" spans="1:42">
      <c r="A155" s="61" t="str">
        <f>'[4]TS BYDem'!A94</f>
        <v/>
      </c>
      <c r="B155" s="199" t="s">
        <v>288</v>
      </c>
      <c r="C155" s="199" t="s">
        <v>137</v>
      </c>
      <c r="D155" s="199" t="str">
        <f>'[4]TS BYDem'!D94</f>
        <v>INFK</v>
      </c>
      <c r="E155" s="199" t="s">
        <v>137</v>
      </c>
      <c r="F155" s="199" t="s">
        <v>137</v>
      </c>
      <c r="G155" s="199" t="s">
        <v>137</v>
      </c>
      <c r="H155" s="199" t="s">
        <v>137</v>
      </c>
      <c r="I155" s="199">
        <v>0</v>
      </c>
      <c r="J155" s="199">
        <f>INDEX('[4]TS BYDem'!$J$10:$J$203,MATCH(D155,'[4]TS BYDem'!$D$10:$D$203,0))</f>
        <v>0.66789588210349726</v>
      </c>
      <c r="K155" s="199">
        <f ca="1">K$154/J$154*J155</f>
        <v>0.56615902172373611</v>
      </c>
      <c r="L155" s="199">
        <f t="shared" ref="L155:AP164" ca="1" si="55">L$154/K$154*K155</f>
        <v>0.51462996257035054</v>
      </c>
      <c r="M155" s="206">
        <f t="shared" ref="M155:M163" si="56">O155</f>
        <v>0.16707000000000002</v>
      </c>
      <c r="N155" s="206">
        <f t="shared" ref="N155:N163" si="57">O155</f>
        <v>0.16707000000000002</v>
      </c>
      <c r="O155" s="206">
        <f>INDEX('[4]TS BYDem'!$O$10:$O$203,MATCH(D155,'[4]TS BYDem'!$D$10:$D$203,0))</f>
        <v>0.16707000000000002</v>
      </c>
      <c r="P155" s="199">
        <f t="shared" ca="1" si="55"/>
        <v>0.16318465116279071</v>
      </c>
      <c r="Q155" s="199">
        <f t="shared" ca="1" si="55"/>
        <v>0.15655670314637485</v>
      </c>
      <c r="R155" s="199">
        <f t="shared" ca="1" si="55"/>
        <v>0.12890216142270863</v>
      </c>
      <c r="S155" s="199">
        <f t="shared" ca="1" si="55"/>
        <v>0.13461590971272233</v>
      </c>
      <c r="T155" s="199">
        <f t="shared" ca="1" si="55"/>
        <v>0.13712995896032837</v>
      </c>
      <c r="U155" s="199">
        <f t="shared" ca="1" si="55"/>
        <v>0.13964400820793438</v>
      </c>
      <c r="V155" s="199">
        <f t="shared" ca="1" si="55"/>
        <v>0.1437579069767442</v>
      </c>
      <c r="W155" s="199">
        <f t="shared" ca="1" si="55"/>
        <v>0.14878600547195622</v>
      </c>
      <c r="X155" s="199">
        <f t="shared" ca="1" si="55"/>
        <v>0.15427120383036935</v>
      </c>
      <c r="Y155" s="199">
        <f t="shared" ca="1" si="55"/>
        <v>0.16044205198358413</v>
      </c>
      <c r="Z155" s="199">
        <f t="shared" ca="1" si="55"/>
        <v>0.16684145006839946</v>
      </c>
      <c r="AA155" s="199">
        <f t="shared" ca="1" si="55"/>
        <v>0.17461214774281805</v>
      </c>
      <c r="AB155" s="199">
        <f t="shared" ca="1" si="55"/>
        <v>0.18329704514363887</v>
      </c>
      <c r="AC155" s="199">
        <f t="shared" ca="1" si="55"/>
        <v>0.19106774281805747</v>
      </c>
      <c r="AD155" s="199">
        <f t="shared" ca="1" si="55"/>
        <v>0.19860989056087552</v>
      </c>
      <c r="AE155" s="199">
        <f t="shared" ca="1" si="55"/>
        <v>0.20500928864569085</v>
      </c>
      <c r="AF155" s="199">
        <f t="shared" ca="1" si="55"/>
        <v>0.21072303693570454</v>
      </c>
      <c r="AG155" s="199">
        <f t="shared" ca="1" si="55"/>
        <v>0.21552258549931599</v>
      </c>
      <c r="AH155" s="199">
        <f t="shared" ca="1" si="55"/>
        <v>0.21917938440492477</v>
      </c>
      <c r="AI155" s="199">
        <f t="shared" ca="1" si="55"/>
        <v>0.22215053351573191</v>
      </c>
      <c r="AJ155" s="199">
        <f t="shared" ca="1" si="55"/>
        <v>0.22443603283173735</v>
      </c>
      <c r="AK155" s="199">
        <f t="shared" ca="1" si="55"/>
        <v>0.22695008207934336</v>
      </c>
      <c r="AL155" s="199">
        <f t="shared" ca="1" si="55"/>
        <v>0.22946413132694934</v>
      </c>
      <c r="AM155" s="199">
        <f t="shared" ca="1" si="55"/>
        <v>0.266489220246238</v>
      </c>
      <c r="AN155" s="199">
        <f t="shared" ca="1" si="55"/>
        <v>0.33939664842681255</v>
      </c>
      <c r="AO155" s="199">
        <f t="shared" ca="1" si="55"/>
        <v>0.44334877564979425</v>
      </c>
      <c r="AP155" s="199">
        <f t="shared" ca="1" si="55"/>
        <v>0.55328129274965621</v>
      </c>
    </row>
    <row r="156" spans="1:42">
      <c r="A156" s="61" t="str">
        <f>'[4]TS BYDem'!A95</f>
        <v/>
      </c>
      <c r="B156" s="199" t="s">
        <v>288</v>
      </c>
      <c r="C156" s="199" t="s">
        <v>137</v>
      </c>
      <c r="D156" s="199" t="str">
        <f>'[4]TS BYDem'!D95</f>
        <v>INFA</v>
      </c>
      <c r="E156" s="199" t="s">
        <v>137</v>
      </c>
      <c r="F156" s="199" t="s">
        <v>137</v>
      </c>
      <c r="G156" s="199" t="s">
        <v>137</v>
      </c>
      <c r="H156" s="199" t="s">
        <v>137</v>
      </c>
      <c r="I156" s="199">
        <v>0</v>
      </c>
      <c r="J156" s="199">
        <f>INDEX('[4]TS BYDem'!$J$10:$J$203,MATCH(D156,'[4]TS BYDem'!$D$10:$D$203,0))</f>
        <v>0</v>
      </c>
      <c r="K156" s="199">
        <f t="shared" ref="K156:N172" ca="1" si="58">K$154/J$154*J156</f>
        <v>0</v>
      </c>
      <c r="L156" s="199">
        <f t="shared" ca="1" si="55"/>
        <v>0</v>
      </c>
      <c r="M156" s="206">
        <f t="shared" si="56"/>
        <v>0</v>
      </c>
      <c r="N156" s="206">
        <f t="shared" si="57"/>
        <v>0</v>
      </c>
      <c r="O156" s="206">
        <f>INDEX('[4]TS BYDem'!$O$10:$O$203,MATCH(D156,'[4]TS BYDem'!$D$10:$D$203,0))</f>
        <v>0</v>
      </c>
      <c r="P156" s="199">
        <f t="shared" ca="1" si="55"/>
        <v>0</v>
      </c>
      <c r="Q156" s="199">
        <f t="shared" ca="1" si="55"/>
        <v>0</v>
      </c>
      <c r="R156" s="199">
        <f t="shared" ca="1" si="55"/>
        <v>0</v>
      </c>
      <c r="S156" s="199">
        <f t="shared" ca="1" si="55"/>
        <v>0</v>
      </c>
      <c r="T156" s="199">
        <f t="shared" ca="1" si="55"/>
        <v>0</v>
      </c>
      <c r="U156" s="199">
        <f t="shared" ca="1" si="55"/>
        <v>0</v>
      </c>
      <c r="V156" s="199">
        <f t="shared" ca="1" si="55"/>
        <v>0</v>
      </c>
      <c r="W156" s="199">
        <f t="shared" ca="1" si="55"/>
        <v>0</v>
      </c>
      <c r="X156" s="199">
        <f t="shared" ca="1" si="55"/>
        <v>0</v>
      </c>
      <c r="Y156" s="199">
        <f t="shared" ca="1" si="55"/>
        <v>0</v>
      </c>
      <c r="Z156" s="199">
        <f t="shared" ca="1" si="55"/>
        <v>0</v>
      </c>
      <c r="AA156" s="199">
        <f t="shared" ca="1" si="55"/>
        <v>0</v>
      </c>
      <c r="AB156" s="199">
        <f t="shared" ca="1" si="55"/>
        <v>0</v>
      </c>
      <c r="AC156" s="199">
        <f t="shared" ca="1" si="55"/>
        <v>0</v>
      </c>
      <c r="AD156" s="199">
        <f t="shared" ca="1" si="55"/>
        <v>0</v>
      </c>
      <c r="AE156" s="199">
        <f t="shared" ca="1" si="55"/>
        <v>0</v>
      </c>
      <c r="AF156" s="199">
        <f t="shared" ca="1" si="55"/>
        <v>0</v>
      </c>
      <c r="AG156" s="199">
        <f t="shared" ca="1" si="55"/>
        <v>0</v>
      </c>
      <c r="AH156" s="199">
        <f t="shared" ca="1" si="55"/>
        <v>0</v>
      </c>
      <c r="AI156" s="199">
        <f t="shared" ca="1" si="55"/>
        <v>0</v>
      </c>
      <c r="AJ156" s="199">
        <f t="shared" ca="1" si="55"/>
        <v>0</v>
      </c>
      <c r="AK156" s="199">
        <f t="shared" ca="1" si="55"/>
        <v>0</v>
      </c>
      <c r="AL156" s="199">
        <f t="shared" ca="1" si="55"/>
        <v>0</v>
      </c>
      <c r="AM156" s="199">
        <f t="shared" ca="1" si="55"/>
        <v>0</v>
      </c>
      <c r="AN156" s="199">
        <f t="shared" ca="1" si="55"/>
        <v>0</v>
      </c>
      <c r="AO156" s="199">
        <f t="shared" ca="1" si="55"/>
        <v>0</v>
      </c>
      <c r="AP156" s="199">
        <f t="shared" ca="1" si="55"/>
        <v>0</v>
      </c>
    </row>
    <row r="157" spans="1:42">
      <c r="A157" s="61" t="str">
        <f>'[4]TS BYDem'!A96</f>
        <v/>
      </c>
      <c r="B157" s="199" t="s">
        <v>288</v>
      </c>
      <c r="C157" s="199" t="s">
        <v>137</v>
      </c>
      <c r="D157" s="199" t="str">
        <f>'[4]TS BYDem'!D96</f>
        <v>INFL</v>
      </c>
      <c r="E157" s="199" t="s">
        <v>137</v>
      </c>
      <c r="F157" s="199" t="s">
        <v>137</v>
      </c>
      <c r="G157" s="199" t="s">
        <v>137</v>
      </c>
      <c r="H157" s="199" t="s">
        <v>137</v>
      </c>
      <c r="I157" s="199">
        <v>0</v>
      </c>
      <c r="J157" s="199">
        <f>INDEX('[4]TS BYDem'!$J$10:$J$203,MATCH(D157,'[4]TS BYDem'!$D$10:$D$203,0))</f>
        <v>0.20036876463104916</v>
      </c>
      <c r="K157" s="199">
        <f t="shared" ca="1" si="58"/>
        <v>0.16984770651712083</v>
      </c>
      <c r="L157" s="199">
        <f t="shared" ca="1" si="55"/>
        <v>0.15438898877110516</v>
      </c>
      <c r="M157" s="206">
        <f t="shared" si="56"/>
        <v>5.0121000000000006E-2</v>
      </c>
      <c r="N157" s="206">
        <f t="shared" si="57"/>
        <v>5.0121000000000006E-2</v>
      </c>
      <c r="O157" s="206">
        <f>INDEX('[4]TS BYDem'!$O$10:$O$203,MATCH(D157,'[4]TS BYDem'!$D$10:$D$203,0))</f>
        <v>5.0121000000000006E-2</v>
      </c>
      <c r="P157" s="199">
        <f t="shared" ca="1" si="55"/>
        <v>4.8955395348837215E-2</v>
      </c>
      <c r="Q157" s="199">
        <f t="shared" ca="1" si="55"/>
        <v>4.6967010943912459E-2</v>
      </c>
      <c r="R157" s="199">
        <f t="shared" ca="1" si="55"/>
        <v>3.8670648426812594E-2</v>
      </c>
      <c r="S157" s="199">
        <f t="shared" ca="1" si="55"/>
        <v>4.0384772913816702E-2</v>
      </c>
      <c r="T157" s="199">
        <f t="shared" ca="1" si="55"/>
        <v>4.1138987688098511E-2</v>
      </c>
      <c r="U157" s="199">
        <f t="shared" ca="1" si="55"/>
        <v>4.1893202462380319E-2</v>
      </c>
      <c r="V157" s="199">
        <f t="shared" ca="1" si="55"/>
        <v>4.3127372093023267E-2</v>
      </c>
      <c r="W157" s="199">
        <f t="shared" ca="1" si="55"/>
        <v>4.463580164158687E-2</v>
      </c>
      <c r="X157" s="199">
        <f t="shared" ca="1" si="55"/>
        <v>4.6281361149110814E-2</v>
      </c>
      <c r="Y157" s="199">
        <f t="shared" ca="1" si="55"/>
        <v>4.813261559507525E-2</v>
      </c>
      <c r="Z157" s="199">
        <f t="shared" ca="1" si="55"/>
        <v>5.0052435020519849E-2</v>
      </c>
      <c r="AA157" s="199">
        <f t="shared" ca="1" si="55"/>
        <v>5.2383644322845424E-2</v>
      </c>
      <c r="AB157" s="199">
        <f t="shared" ca="1" si="55"/>
        <v>5.4989113543091668E-2</v>
      </c>
      <c r="AC157" s="199">
        <f t="shared" ca="1" si="55"/>
        <v>5.7320322845417243E-2</v>
      </c>
      <c r="AD157" s="199">
        <f t="shared" ca="1" si="55"/>
        <v>5.9582967168262661E-2</v>
      </c>
      <c r="AE157" s="199">
        <f t="shared" ca="1" si="55"/>
        <v>6.1502786593707261E-2</v>
      </c>
      <c r="AF157" s="199">
        <f t="shared" ca="1" si="55"/>
        <v>6.3216911080711369E-2</v>
      </c>
      <c r="AG157" s="199">
        <f t="shared" ca="1" si="55"/>
        <v>6.4656775649794801E-2</v>
      </c>
      <c r="AH157" s="199">
        <f t="shared" ca="1" si="55"/>
        <v>6.5753815321477435E-2</v>
      </c>
      <c r="AI157" s="199">
        <f t="shared" ca="1" si="55"/>
        <v>6.6645160054719571E-2</v>
      </c>
      <c r="AJ157" s="199">
        <f t="shared" ca="1" si="55"/>
        <v>6.7330809849521209E-2</v>
      </c>
      <c r="AK157" s="199">
        <f t="shared" ca="1" si="55"/>
        <v>6.8085024623803017E-2</v>
      </c>
      <c r="AL157" s="199">
        <f t="shared" ca="1" si="55"/>
        <v>6.8839239398084812E-2</v>
      </c>
      <c r="AM157" s="199">
        <f t="shared" ca="1" si="55"/>
        <v>7.9946766073871411E-2</v>
      </c>
      <c r="AN157" s="199">
        <f t="shared" ca="1" si="55"/>
        <v>0.10181899452804379</v>
      </c>
      <c r="AO157" s="199">
        <f t="shared" ca="1" si="55"/>
        <v>0.13300463269493831</v>
      </c>
      <c r="AP157" s="199">
        <f t="shared" ca="1" si="55"/>
        <v>0.16598438782489688</v>
      </c>
    </row>
    <row r="158" spans="1:42">
      <c r="A158" s="61" t="str">
        <f>'[4]TS BYDem'!A97</f>
        <v/>
      </c>
      <c r="B158" s="199" t="s">
        <v>288</v>
      </c>
      <c r="C158" s="199" t="s">
        <v>137</v>
      </c>
      <c r="D158" s="199" t="str">
        <f>'[4]TS BYDem'!D97</f>
        <v>INFC</v>
      </c>
      <c r="E158" s="199" t="s">
        <v>137</v>
      </c>
      <c r="F158" s="199" t="s">
        <v>137</v>
      </c>
      <c r="G158" s="199" t="s">
        <v>137</v>
      </c>
      <c r="H158" s="199" t="s">
        <v>137</v>
      </c>
      <c r="I158" s="199">
        <v>0</v>
      </c>
      <c r="J158" s="199">
        <f>INDEX('[4]TS BYDem'!$J$10:$J$203,MATCH(D158,'[4]TS BYDem'!$D$10:$D$203,0))</f>
        <v>0</v>
      </c>
      <c r="K158" s="199">
        <f t="shared" ca="1" si="58"/>
        <v>0</v>
      </c>
      <c r="L158" s="199">
        <f t="shared" ca="1" si="55"/>
        <v>0</v>
      </c>
      <c r="M158" s="206">
        <f t="shared" si="56"/>
        <v>0</v>
      </c>
      <c r="N158" s="206">
        <f t="shared" si="57"/>
        <v>0</v>
      </c>
      <c r="O158" s="206">
        <f>INDEX('[4]TS BYDem'!$O$10:$O$203,MATCH(D158,'[4]TS BYDem'!$D$10:$D$203,0))</f>
        <v>0</v>
      </c>
      <c r="P158" s="199">
        <f t="shared" ca="1" si="55"/>
        <v>0</v>
      </c>
      <c r="Q158" s="199">
        <f t="shared" ca="1" si="55"/>
        <v>0</v>
      </c>
      <c r="R158" s="199">
        <f t="shared" ca="1" si="55"/>
        <v>0</v>
      </c>
      <c r="S158" s="199">
        <f t="shared" ca="1" si="55"/>
        <v>0</v>
      </c>
      <c r="T158" s="199">
        <f t="shared" ca="1" si="55"/>
        <v>0</v>
      </c>
      <c r="U158" s="199">
        <f t="shared" ca="1" si="55"/>
        <v>0</v>
      </c>
      <c r="V158" s="199">
        <f t="shared" ca="1" si="55"/>
        <v>0</v>
      </c>
      <c r="W158" s="199">
        <f t="shared" ca="1" si="55"/>
        <v>0</v>
      </c>
      <c r="X158" s="199">
        <f t="shared" ca="1" si="55"/>
        <v>0</v>
      </c>
      <c r="Y158" s="199">
        <f t="shared" ca="1" si="55"/>
        <v>0</v>
      </c>
      <c r="Z158" s="199">
        <f t="shared" ca="1" si="55"/>
        <v>0</v>
      </c>
      <c r="AA158" s="199">
        <f t="shared" ca="1" si="55"/>
        <v>0</v>
      </c>
      <c r="AB158" s="199">
        <f t="shared" ca="1" si="55"/>
        <v>0</v>
      </c>
      <c r="AC158" s="199">
        <f t="shared" ca="1" si="55"/>
        <v>0</v>
      </c>
      <c r="AD158" s="199">
        <f t="shared" ca="1" si="55"/>
        <v>0</v>
      </c>
      <c r="AE158" s="199">
        <f t="shared" ca="1" si="55"/>
        <v>0</v>
      </c>
      <c r="AF158" s="199">
        <f t="shared" ca="1" si="55"/>
        <v>0</v>
      </c>
      <c r="AG158" s="199">
        <f t="shared" ca="1" si="55"/>
        <v>0</v>
      </c>
      <c r="AH158" s="199">
        <f t="shared" ca="1" si="55"/>
        <v>0</v>
      </c>
      <c r="AI158" s="199">
        <f t="shared" ca="1" si="55"/>
        <v>0</v>
      </c>
      <c r="AJ158" s="199">
        <f t="shared" ca="1" si="55"/>
        <v>0</v>
      </c>
      <c r="AK158" s="199">
        <f t="shared" ca="1" si="55"/>
        <v>0</v>
      </c>
      <c r="AL158" s="199">
        <f t="shared" ca="1" si="55"/>
        <v>0</v>
      </c>
      <c r="AM158" s="199">
        <f t="shared" ca="1" si="55"/>
        <v>0</v>
      </c>
      <c r="AN158" s="199">
        <f t="shared" ca="1" si="55"/>
        <v>0</v>
      </c>
      <c r="AO158" s="199">
        <f t="shared" ca="1" si="55"/>
        <v>0</v>
      </c>
      <c r="AP158" s="199">
        <f t="shared" ca="1" si="55"/>
        <v>0</v>
      </c>
    </row>
    <row r="159" spans="1:42">
      <c r="A159" s="61" t="str">
        <f>'[4]TS BYDem'!A98</f>
        <v/>
      </c>
      <c r="B159" s="199" t="s">
        <v>288</v>
      </c>
      <c r="C159" s="199" t="s">
        <v>137</v>
      </c>
      <c r="D159" s="199" t="str">
        <f>'[4]TS BYDem'!D98</f>
        <v>INFH</v>
      </c>
      <c r="E159" s="199" t="s">
        <v>137</v>
      </c>
      <c r="F159" s="199" t="s">
        <v>137</v>
      </c>
      <c r="G159" s="199" t="s">
        <v>137</v>
      </c>
      <c r="H159" s="199" t="s">
        <v>137</v>
      </c>
      <c r="I159" s="199">
        <v>0</v>
      </c>
      <c r="J159" s="199">
        <f>INDEX('[4]TS BYDem'!$J$10:$J$203,MATCH(D159,'[4]TS BYDem'!$D$10:$D$203,0))</f>
        <v>0.60110629389314751</v>
      </c>
      <c r="K159" s="199">
        <f t="shared" ca="1" si="58"/>
        <v>0.50954311955136244</v>
      </c>
      <c r="L159" s="199">
        <f t="shared" ca="1" si="55"/>
        <v>0.46316696631331544</v>
      </c>
      <c r="M159" s="206">
        <f t="shared" si="56"/>
        <v>0.15036300000000002</v>
      </c>
      <c r="N159" s="206">
        <f t="shared" si="57"/>
        <v>0.15036300000000002</v>
      </c>
      <c r="O159" s="206">
        <f>INDEX('[4]TS BYDem'!$O$10:$O$203,MATCH(D159,'[4]TS BYDem'!$D$10:$D$203,0))</f>
        <v>0.15036300000000002</v>
      </c>
      <c r="P159" s="199">
        <f t="shared" ca="1" si="55"/>
        <v>0.14686618604651164</v>
      </c>
      <c r="Q159" s="199">
        <f t="shared" ca="1" si="55"/>
        <v>0.14090103283173736</v>
      </c>
      <c r="R159" s="199">
        <f t="shared" ca="1" si="55"/>
        <v>0.11601194528043776</v>
      </c>
      <c r="S159" s="199">
        <f t="shared" ca="1" si="55"/>
        <v>0.12115431874145008</v>
      </c>
      <c r="T159" s="199">
        <f t="shared" ca="1" si="55"/>
        <v>0.1234169630642955</v>
      </c>
      <c r="U159" s="199">
        <f t="shared" ca="1" si="55"/>
        <v>0.12567960738714093</v>
      </c>
      <c r="V159" s="199">
        <f t="shared" ca="1" si="55"/>
        <v>0.12938211627906979</v>
      </c>
      <c r="W159" s="199">
        <f t="shared" ca="1" si="55"/>
        <v>0.13390740492476061</v>
      </c>
      <c r="X159" s="199">
        <f t="shared" ca="1" si="55"/>
        <v>0.13884408344733243</v>
      </c>
      <c r="Y159" s="199">
        <f t="shared" ca="1" si="55"/>
        <v>0.14439784678522574</v>
      </c>
      <c r="Z159" s="199">
        <f t="shared" ca="1" si="55"/>
        <v>0.15015730506155953</v>
      </c>
      <c r="AA159" s="199">
        <f t="shared" ca="1" si="55"/>
        <v>0.15715093296853627</v>
      </c>
      <c r="AB159" s="199">
        <f t="shared" ca="1" si="55"/>
        <v>0.16496734062927501</v>
      </c>
      <c r="AC159" s="199">
        <f t="shared" ca="1" si="55"/>
        <v>0.17196096853625173</v>
      </c>
      <c r="AD159" s="199">
        <f t="shared" ca="1" si="55"/>
        <v>0.17874890150478798</v>
      </c>
      <c r="AE159" s="199">
        <f t="shared" ca="1" si="55"/>
        <v>0.18450835978112176</v>
      </c>
      <c r="AF159" s="199">
        <f t="shared" ca="1" si="55"/>
        <v>0.18965073324213408</v>
      </c>
      <c r="AG159" s="199">
        <f t="shared" ca="1" si="55"/>
        <v>0.19397032694938438</v>
      </c>
      <c r="AH159" s="199">
        <f t="shared" ca="1" si="55"/>
        <v>0.19726144596443226</v>
      </c>
      <c r="AI159" s="199">
        <f t="shared" ca="1" si="55"/>
        <v>0.19993548016415869</v>
      </c>
      <c r="AJ159" s="199">
        <f t="shared" ca="1" si="55"/>
        <v>0.20199242954856358</v>
      </c>
      <c r="AK159" s="199">
        <f t="shared" ca="1" si="55"/>
        <v>0.20425507387140901</v>
      </c>
      <c r="AL159" s="199">
        <f t="shared" ca="1" si="55"/>
        <v>0.20651771819425441</v>
      </c>
      <c r="AM159" s="199">
        <f t="shared" ca="1" si="55"/>
        <v>0.23984029822161421</v>
      </c>
      <c r="AN159" s="199">
        <f t="shared" ca="1" si="55"/>
        <v>0.30545698358413131</v>
      </c>
      <c r="AO159" s="199">
        <f t="shared" ca="1" si="55"/>
        <v>0.39901389808481486</v>
      </c>
      <c r="AP159" s="199">
        <f t="shared" ca="1" si="55"/>
        <v>0.4979531634746906</v>
      </c>
    </row>
    <row r="160" spans="1:42">
      <c r="A160" s="61" t="str">
        <f>'[4]TS BYDem'!A99</f>
        <v/>
      </c>
      <c r="B160" s="199" t="s">
        <v>288</v>
      </c>
      <c r="C160" s="199" t="s">
        <v>137</v>
      </c>
      <c r="D160" s="199" t="str">
        <f>'[4]TS BYDem'!D99</f>
        <v>INFP</v>
      </c>
      <c r="E160" s="199" t="s">
        <v>137</v>
      </c>
      <c r="F160" s="199" t="s">
        <v>137</v>
      </c>
      <c r="G160" s="199" t="s">
        <v>137</v>
      </c>
      <c r="H160" s="199" t="s">
        <v>137</v>
      </c>
      <c r="I160" s="199">
        <v>0</v>
      </c>
      <c r="J160" s="199">
        <f>INDEX('[4]TS BYDem'!$J$10:$J$203,MATCH(D160,'[4]TS BYDem'!$D$10:$D$203,0))</f>
        <v>0</v>
      </c>
      <c r="K160" s="199">
        <f t="shared" ca="1" si="58"/>
        <v>0</v>
      </c>
      <c r="L160" s="199">
        <f t="shared" ca="1" si="55"/>
        <v>0</v>
      </c>
      <c r="M160" s="206">
        <f t="shared" si="56"/>
        <v>0</v>
      </c>
      <c r="N160" s="206">
        <f t="shared" si="57"/>
        <v>0</v>
      </c>
      <c r="O160" s="206">
        <f>INDEX('[4]TS BYDem'!$O$10:$O$203,MATCH(D160,'[4]TS BYDem'!$D$10:$D$203,0))</f>
        <v>0</v>
      </c>
      <c r="P160" s="199">
        <f t="shared" ca="1" si="55"/>
        <v>0</v>
      </c>
      <c r="Q160" s="199">
        <f t="shared" ca="1" si="55"/>
        <v>0</v>
      </c>
      <c r="R160" s="199">
        <f t="shared" ca="1" si="55"/>
        <v>0</v>
      </c>
      <c r="S160" s="199">
        <f t="shared" ca="1" si="55"/>
        <v>0</v>
      </c>
      <c r="T160" s="199">
        <f t="shared" ca="1" si="55"/>
        <v>0</v>
      </c>
      <c r="U160" s="199">
        <f t="shared" ca="1" si="55"/>
        <v>0</v>
      </c>
      <c r="V160" s="199">
        <f t="shared" ca="1" si="55"/>
        <v>0</v>
      </c>
      <c r="W160" s="199">
        <f t="shared" ca="1" si="55"/>
        <v>0</v>
      </c>
      <c r="X160" s="199">
        <f t="shared" ca="1" si="55"/>
        <v>0</v>
      </c>
      <c r="Y160" s="199">
        <f t="shared" ca="1" si="55"/>
        <v>0</v>
      </c>
      <c r="Z160" s="199">
        <f t="shared" ca="1" si="55"/>
        <v>0</v>
      </c>
      <c r="AA160" s="199">
        <f t="shared" ca="1" si="55"/>
        <v>0</v>
      </c>
      <c r="AB160" s="199">
        <f t="shared" ca="1" si="55"/>
        <v>0</v>
      </c>
      <c r="AC160" s="199">
        <f t="shared" ca="1" si="55"/>
        <v>0</v>
      </c>
      <c r="AD160" s="199">
        <f t="shared" ca="1" si="55"/>
        <v>0</v>
      </c>
      <c r="AE160" s="199">
        <f t="shared" ca="1" si="55"/>
        <v>0</v>
      </c>
      <c r="AF160" s="199">
        <f t="shared" ca="1" si="55"/>
        <v>0</v>
      </c>
      <c r="AG160" s="199">
        <f t="shared" ca="1" si="55"/>
        <v>0</v>
      </c>
      <c r="AH160" s="199">
        <f t="shared" ca="1" si="55"/>
        <v>0</v>
      </c>
      <c r="AI160" s="199">
        <f t="shared" ca="1" si="55"/>
        <v>0</v>
      </c>
      <c r="AJ160" s="199">
        <f t="shared" ca="1" si="55"/>
        <v>0</v>
      </c>
      <c r="AK160" s="199">
        <f t="shared" ca="1" si="55"/>
        <v>0</v>
      </c>
      <c r="AL160" s="199">
        <f t="shared" ca="1" si="55"/>
        <v>0</v>
      </c>
      <c r="AM160" s="199">
        <f t="shared" ca="1" si="55"/>
        <v>0</v>
      </c>
      <c r="AN160" s="199">
        <f t="shared" ca="1" si="55"/>
        <v>0</v>
      </c>
      <c r="AO160" s="199">
        <f t="shared" ca="1" si="55"/>
        <v>0</v>
      </c>
      <c r="AP160" s="199">
        <f t="shared" ca="1" si="55"/>
        <v>0</v>
      </c>
    </row>
    <row r="161" spans="1:42">
      <c r="A161" s="61" t="str">
        <f>'[4]TS BYDem'!A100</f>
        <v/>
      </c>
      <c r="B161" s="199" t="s">
        <v>288</v>
      </c>
      <c r="C161" s="199" t="s">
        <v>137</v>
      </c>
      <c r="D161" s="199" t="str">
        <f>'[4]TS BYDem'!D100</f>
        <v>INFF</v>
      </c>
      <c r="E161" s="199" t="s">
        <v>137</v>
      </c>
      <c r="F161" s="199" t="s">
        <v>137</v>
      </c>
      <c r="G161" s="199" t="s">
        <v>137</v>
      </c>
      <c r="H161" s="199" t="s">
        <v>137</v>
      </c>
      <c r="I161" s="199">
        <v>0</v>
      </c>
      <c r="J161" s="199">
        <f>INDEX('[4]TS BYDem'!$J$10:$J$203,MATCH(D161,'[4]TS BYDem'!$D$10:$D$203,0))</f>
        <v>0</v>
      </c>
      <c r="K161" s="199">
        <f t="shared" ca="1" si="58"/>
        <v>0</v>
      </c>
      <c r="L161" s="199">
        <f t="shared" ca="1" si="55"/>
        <v>0</v>
      </c>
      <c r="M161" s="206">
        <f t="shared" si="56"/>
        <v>0</v>
      </c>
      <c r="N161" s="206">
        <f t="shared" si="57"/>
        <v>0</v>
      </c>
      <c r="O161" s="206">
        <f>INDEX('[4]TS BYDem'!$O$10:$O$203,MATCH(D161,'[4]TS BYDem'!$D$10:$D$203,0))</f>
        <v>0</v>
      </c>
      <c r="P161" s="199">
        <f t="shared" ca="1" si="55"/>
        <v>0</v>
      </c>
      <c r="Q161" s="199">
        <f t="shared" ca="1" si="55"/>
        <v>0</v>
      </c>
      <c r="R161" s="199">
        <f t="shared" ca="1" si="55"/>
        <v>0</v>
      </c>
      <c r="S161" s="199">
        <f t="shared" ca="1" si="55"/>
        <v>0</v>
      </c>
      <c r="T161" s="199">
        <f t="shared" ca="1" si="55"/>
        <v>0</v>
      </c>
      <c r="U161" s="199">
        <f t="shared" ca="1" si="55"/>
        <v>0</v>
      </c>
      <c r="V161" s="199">
        <f t="shared" ca="1" si="55"/>
        <v>0</v>
      </c>
      <c r="W161" s="199">
        <f t="shared" ca="1" si="55"/>
        <v>0</v>
      </c>
      <c r="X161" s="199">
        <f t="shared" ca="1" si="55"/>
        <v>0</v>
      </c>
      <c r="Y161" s="199">
        <f t="shared" ca="1" si="55"/>
        <v>0</v>
      </c>
      <c r="Z161" s="199">
        <f t="shared" ca="1" si="55"/>
        <v>0</v>
      </c>
      <c r="AA161" s="199">
        <f t="shared" ca="1" si="55"/>
        <v>0</v>
      </c>
      <c r="AB161" s="199">
        <f t="shared" ca="1" si="55"/>
        <v>0</v>
      </c>
      <c r="AC161" s="199">
        <f t="shared" ca="1" si="55"/>
        <v>0</v>
      </c>
      <c r="AD161" s="199">
        <f t="shared" ca="1" si="55"/>
        <v>0</v>
      </c>
      <c r="AE161" s="199">
        <f t="shared" ca="1" si="55"/>
        <v>0</v>
      </c>
      <c r="AF161" s="199">
        <f t="shared" ca="1" si="55"/>
        <v>0</v>
      </c>
      <c r="AG161" s="199">
        <f t="shared" ca="1" si="55"/>
        <v>0</v>
      </c>
      <c r="AH161" s="199">
        <f t="shared" ca="1" si="55"/>
        <v>0</v>
      </c>
      <c r="AI161" s="199">
        <f t="shared" ca="1" si="55"/>
        <v>0</v>
      </c>
      <c r="AJ161" s="199">
        <f t="shared" ca="1" si="55"/>
        <v>0</v>
      </c>
      <c r="AK161" s="199">
        <f t="shared" ca="1" si="55"/>
        <v>0</v>
      </c>
      <c r="AL161" s="199">
        <f t="shared" ca="1" si="55"/>
        <v>0</v>
      </c>
      <c r="AM161" s="199">
        <f t="shared" ca="1" si="55"/>
        <v>0</v>
      </c>
      <c r="AN161" s="199">
        <f t="shared" ca="1" si="55"/>
        <v>0</v>
      </c>
      <c r="AO161" s="199">
        <f t="shared" ca="1" si="55"/>
        <v>0</v>
      </c>
      <c r="AP161" s="199">
        <f t="shared" ca="1" si="55"/>
        <v>0</v>
      </c>
    </row>
    <row r="162" spans="1:42">
      <c r="A162" s="61" t="str">
        <f>'[4]TS BYDem'!A101</f>
        <v/>
      </c>
      <c r="B162" s="199" t="s">
        <v>288</v>
      </c>
      <c r="C162" s="199" t="s">
        <v>137</v>
      </c>
      <c r="D162" s="199" t="str">
        <f>'[4]TS BYDem'!D101</f>
        <v>INFO</v>
      </c>
      <c r="E162" s="199" t="s">
        <v>137</v>
      </c>
      <c r="F162" s="199" t="s">
        <v>137</v>
      </c>
      <c r="G162" s="199" t="s">
        <v>137</v>
      </c>
      <c r="H162" s="199" t="s">
        <v>137</v>
      </c>
      <c r="I162" s="199">
        <v>0</v>
      </c>
      <c r="J162" s="199">
        <f>INDEX('[4]TS BYDem'!$J$10:$J$203,MATCH(D162,'[4]TS BYDem'!$D$10:$D$203,0))</f>
        <v>3.7402169397795855</v>
      </c>
      <c r="K162" s="199">
        <f t="shared" ca="1" si="58"/>
        <v>3.1704905216529231</v>
      </c>
      <c r="L162" s="199">
        <f t="shared" ca="1" si="55"/>
        <v>2.8819277903939637</v>
      </c>
      <c r="M162" s="206">
        <f t="shared" si="56"/>
        <v>0.9355920000000002</v>
      </c>
      <c r="N162" s="206">
        <f t="shared" si="57"/>
        <v>0.9355920000000002</v>
      </c>
      <c r="O162" s="206">
        <f>INDEX('[4]TS BYDem'!$O$10:$O$203,MATCH(D162,'[4]TS BYDem'!$D$10:$D$203,0))</f>
        <v>0.9355920000000002</v>
      </c>
      <c r="P162" s="199">
        <f t="shared" ca="1" si="55"/>
        <v>0.91383404651162803</v>
      </c>
      <c r="Q162" s="199">
        <f t="shared" ca="1" si="55"/>
        <v>0.87671753761969917</v>
      </c>
      <c r="R162" s="199">
        <f t="shared" ca="1" si="55"/>
        <v>0.72185210396716837</v>
      </c>
      <c r="S162" s="199">
        <f t="shared" ca="1" si="55"/>
        <v>0.75384909439124503</v>
      </c>
      <c r="T162" s="199">
        <f t="shared" ca="1" si="55"/>
        <v>0.76792777017783875</v>
      </c>
      <c r="U162" s="199">
        <f t="shared" ca="1" si="55"/>
        <v>0.78200644596443247</v>
      </c>
      <c r="V162" s="199">
        <f t="shared" ca="1" si="55"/>
        <v>0.8050442790697675</v>
      </c>
      <c r="W162" s="199">
        <f t="shared" ca="1" si="55"/>
        <v>0.83320163064295483</v>
      </c>
      <c r="X162" s="199">
        <f t="shared" ca="1" si="55"/>
        <v>0.86391874145006842</v>
      </c>
      <c r="Y162" s="199">
        <f t="shared" ca="1" si="55"/>
        <v>0.89847549110807123</v>
      </c>
      <c r="Z162" s="199">
        <f t="shared" ca="1" si="55"/>
        <v>0.93431212038303701</v>
      </c>
      <c r="AA162" s="199">
        <f t="shared" ca="1" si="55"/>
        <v>0.97782802735978114</v>
      </c>
      <c r="AB162" s="199">
        <f t="shared" ca="1" si="55"/>
        <v>1.0264634528043777</v>
      </c>
      <c r="AC162" s="199">
        <f t="shared" ca="1" si="55"/>
        <v>1.0699793597811218</v>
      </c>
      <c r="AD162" s="199">
        <f t="shared" ca="1" si="55"/>
        <v>1.1122153871409028</v>
      </c>
      <c r="AE162" s="199">
        <f t="shared" ca="1" si="55"/>
        <v>1.1480520164158687</v>
      </c>
      <c r="AF162" s="199">
        <f t="shared" ca="1" si="55"/>
        <v>1.1800490068399454</v>
      </c>
      <c r="AG162" s="199">
        <f t="shared" ca="1" si="55"/>
        <v>1.2069264787961695</v>
      </c>
      <c r="AH162" s="199">
        <f t="shared" ca="1" si="55"/>
        <v>1.2274045526675785</v>
      </c>
      <c r="AI162" s="199">
        <f t="shared" ca="1" si="55"/>
        <v>1.2440429876880985</v>
      </c>
      <c r="AJ162" s="199">
        <f t="shared" ca="1" si="55"/>
        <v>1.256841783857729</v>
      </c>
      <c r="AK162" s="199">
        <f t="shared" ca="1" si="55"/>
        <v>1.2709204596443229</v>
      </c>
      <c r="AL162" s="199">
        <f t="shared" ca="1" si="55"/>
        <v>1.2849991354309165</v>
      </c>
      <c r="AM162" s="199">
        <f t="shared" ca="1" si="55"/>
        <v>1.4923396333789329</v>
      </c>
      <c r="AN162" s="199">
        <f t="shared" ca="1" si="55"/>
        <v>1.9006212311901505</v>
      </c>
      <c r="AO162" s="199">
        <f t="shared" ca="1" si="55"/>
        <v>2.4827531436388481</v>
      </c>
      <c r="AP162" s="199">
        <f t="shared" ca="1" si="55"/>
        <v>3.098375239398075</v>
      </c>
    </row>
    <row r="163" spans="1:42">
      <c r="A163" s="61" t="str">
        <f>'[4]TS BYDem'!A102</f>
        <v/>
      </c>
      <c r="B163" s="199" t="s">
        <v>288</v>
      </c>
      <c r="C163" s="199" t="s">
        <v>137</v>
      </c>
      <c r="D163" s="199" t="str">
        <f>'[4]TS BYDem'!D102</f>
        <v>INFE</v>
      </c>
      <c r="E163" s="199" t="s">
        <v>137</v>
      </c>
      <c r="F163" s="199" t="s">
        <v>137</v>
      </c>
      <c r="G163" s="199" t="s">
        <v>137</v>
      </c>
      <c r="H163" s="199" t="s">
        <v>137</v>
      </c>
      <c r="I163" s="199">
        <v>0</v>
      </c>
      <c r="J163" s="199">
        <f>INDEX('[4]TS BYDem'!$J$10:$J$203,MATCH(D163,'[4]TS BYDem'!$D$10:$D$203,0))</f>
        <v>45.684078335879221</v>
      </c>
      <c r="K163" s="199">
        <f t="shared" ca="1" si="58"/>
        <v>38.725277085903556</v>
      </c>
      <c r="L163" s="199">
        <f t="shared" ca="1" si="55"/>
        <v>35.200689439811981</v>
      </c>
      <c r="M163" s="206">
        <f t="shared" si="56"/>
        <v>11.427588</v>
      </c>
      <c r="N163" s="206">
        <f t="shared" si="57"/>
        <v>11.427588</v>
      </c>
      <c r="O163" s="206">
        <f>INDEX('[4]TS BYDem'!$O$10:$O$203,MATCH(D163,'[4]TS BYDem'!$D$10:$D$203,0))</f>
        <v>11.427588</v>
      </c>
      <c r="P163" s="199">
        <f t="shared" ca="1" si="55"/>
        <v>11.161830139534883</v>
      </c>
      <c r="Q163" s="199">
        <f t="shared" ca="1" si="55"/>
        <v>10.708478495212038</v>
      </c>
      <c r="R163" s="199">
        <f t="shared" ca="1" si="55"/>
        <v>8.8169078413132684</v>
      </c>
      <c r="S163" s="199">
        <f t="shared" ca="1" si="55"/>
        <v>9.2077282243502037</v>
      </c>
      <c r="T163" s="199">
        <f t="shared" ca="1" si="55"/>
        <v>9.3796891928864561</v>
      </c>
      <c r="U163" s="199">
        <f t="shared" ca="1" si="55"/>
        <v>9.5516501614227067</v>
      </c>
      <c r="V163" s="199">
        <f t="shared" ca="1" si="55"/>
        <v>9.8330408372092997</v>
      </c>
      <c r="W163" s="199">
        <f t="shared" ca="1" si="55"/>
        <v>10.176962774281801</v>
      </c>
      <c r="X163" s="199">
        <f t="shared" ca="1" si="55"/>
        <v>10.55215034199726</v>
      </c>
      <c r="Y163" s="199">
        <f t="shared" ca="1" si="55"/>
        <v>10.974236355677151</v>
      </c>
      <c r="Z163" s="199">
        <f t="shared" ca="1" si="55"/>
        <v>11.411955184678519</v>
      </c>
      <c r="AA163" s="199">
        <f t="shared" ca="1" si="55"/>
        <v>11.94347090560875</v>
      </c>
      <c r="AB163" s="199">
        <f t="shared" ca="1" si="55"/>
        <v>12.537517887824894</v>
      </c>
      <c r="AC163" s="199">
        <f t="shared" ca="1" si="55"/>
        <v>13.069033608755126</v>
      </c>
      <c r="AD163" s="199">
        <f t="shared" ca="1" si="55"/>
        <v>13.584916514363881</v>
      </c>
      <c r="AE163" s="199">
        <f t="shared" ca="1" si="55"/>
        <v>14.02263534336525</v>
      </c>
      <c r="AF163" s="199">
        <f t="shared" ca="1" si="55"/>
        <v>14.413455726402187</v>
      </c>
      <c r="AG163" s="199">
        <f t="shared" ca="1" si="55"/>
        <v>14.741744848153211</v>
      </c>
      <c r="AH163" s="199">
        <f t="shared" ca="1" si="55"/>
        <v>14.991869893296849</v>
      </c>
      <c r="AI163" s="199">
        <f t="shared" ca="1" si="55"/>
        <v>15.195096492476058</v>
      </c>
      <c r="AJ163" s="199">
        <f t="shared" ca="1" si="55"/>
        <v>15.35142464569083</v>
      </c>
      <c r="AK163" s="199">
        <f t="shared" ca="1" si="55"/>
        <v>15.523385614227083</v>
      </c>
      <c r="AL163" s="199">
        <f t="shared" ca="1" si="55"/>
        <v>15.695346582763332</v>
      </c>
      <c r="AM163" s="199">
        <f t="shared" ca="1" si="55"/>
        <v>18.227862664842675</v>
      </c>
      <c r="AN163" s="199">
        <f t="shared" ca="1" si="55"/>
        <v>23.214730752393972</v>
      </c>
      <c r="AO163" s="199">
        <f t="shared" ca="1" si="55"/>
        <v>30.325056254445919</v>
      </c>
      <c r="AP163" s="199">
        <f t="shared" ca="1" si="55"/>
        <v>37.844440424076474</v>
      </c>
    </row>
    <row r="164" spans="1:42">
      <c r="A164" s="61" t="str">
        <f>'[4]TS BYDem'!A103</f>
        <v>*</v>
      </c>
      <c r="B164" s="199" t="s">
        <v>288</v>
      </c>
      <c r="C164" s="199" t="s">
        <v>137</v>
      </c>
      <c r="D164" s="199" t="str">
        <f>'[4]TS BYDem'!D103</f>
        <v xml:space="preserve"> </v>
      </c>
      <c r="E164" s="199" t="s">
        <v>137</v>
      </c>
      <c r="F164" s="199" t="s">
        <v>137</v>
      </c>
      <c r="G164" s="199" t="s">
        <v>137</v>
      </c>
      <c r="H164" s="199" t="s">
        <v>137</v>
      </c>
      <c r="I164" s="199">
        <v>0</v>
      </c>
      <c r="J164" s="199" t="str">
        <f>INDEX('[4]TS BYDem'!$J$10:$J$203,MATCH(D164,'[4]TS BYDem'!$D$10:$D$203,0))</f>
        <v/>
      </c>
      <c r="K164" s="199" t="e">
        <f t="shared" ca="1" si="58"/>
        <v>#VALUE!</v>
      </c>
      <c r="L164" s="199" t="e">
        <f t="shared" ca="1" si="55"/>
        <v>#VALUE!</v>
      </c>
      <c r="M164" s="199" t="e">
        <f t="shared" ca="1" si="55"/>
        <v>#VALUE!</v>
      </c>
      <c r="N164" s="199" t="e">
        <f t="shared" ca="1" si="55"/>
        <v>#VALUE!</v>
      </c>
      <c r="O164" s="199" t="e">
        <f t="shared" ref="O164:AD172" ca="1" si="59">O$154/N$154*N164</f>
        <v>#VALUE!</v>
      </c>
      <c r="P164" s="199" t="e">
        <f t="shared" ca="1" si="59"/>
        <v>#VALUE!</v>
      </c>
      <c r="Q164" s="199" t="e">
        <f t="shared" ca="1" si="59"/>
        <v>#VALUE!</v>
      </c>
      <c r="R164" s="199" t="e">
        <f t="shared" ca="1" si="59"/>
        <v>#VALUE!</v>
      </c>
      <c r="S164" s="199" t="e">
        <f t="shared" ca="1" si="59"/>
        <v>#VALUE!</v>
      </c>
      <c r="T164" s="199" t="e">
        <f t="shared" ca="1" si="59"/>
        <v>#VALUE!</v>
      </c>
      <c r="U164" s="199" t="e">
        <f t="shared" ca="1" si="59"/>
        <v>#VALUE!</v>
      </c>
      <c r="V164" s="199" t="e">
        <f t="shared" ca="1" si="59"/>
        <v>#VALUE!</v>
      </c>
      <c r="W164" s="199" t="e">
        <f t="shared" ca="1" si="59"/>
        <v>#VALUE!</v>
      </c>
      <c r="X164" s="199" t="e">
        <f t="shared" ca="1" si="59"/>
        <v>#VALUE!</v>
      </c>
      <c r="Y164" s="199" t="e">
        <f t="shared" ca="1" si="59"/>
        <v>#VALUE!</v>
      </c>
      <c r="Z164" s="199" t="e">
        <f t="shared" ca="1" si="59"/>
        <v>#VALUE!</v>
      </c>
      <c r="AA164" s="199" t="e">
        <f t="shared" ca="1" si="59"/>
        <v>#VALUE!</v>
      </c>
      <c r="AB164" s="199" t="e">
        <f t="shared" ca="1" si="59"/>
        <v>#VALUE!</v>
      </c>
      <c r="AC164" s="199" t="e">
        <f t="shared" ca="1" si="59"/>
        <v>#VALUE!</v>
      </c>
      <c r="AD164" s="199" t="e">
        <f t="shared" ca="1" si="59"/>
        <v>#VALUE!</v>
      </c>
      <c r="AE164" s="199" t="e">
        <f t="shared" ref="AE164:AP172" ca="1" si="60">AE$154/AD$154*AD164</f>
        <v>#VALUE!</v>
      </c>
      <c r="AF164" s="199" t="e">
        <f t="shared" ca="1" si="60"/>
        <v>#VALUE!</v>
      </c>
      <c r="AG164" s="199" t="e">
        <f t="shared" ca="1" si="60"/>
        <v>#VALUE!</v>
      </c>
      <c r="AH164" s="199" t="e">
        <f t="shared" ca="1" si="60"/>
        <v>#VALUE!</v>
      </c>
      <c r="AI164" s="199" t="e">
        <f t="shared" ca="1" si="60"/>
        <v>#VALUE!</v>
      </c>
      <c r="AJ164" s="199" t="e">
        <f t="shared" ca="1" si="60"/>
        <v>#VALUE!</v>
      </c>
      <c r="AK164" s="199" t="e">
        <f t="shared" ca="1" si="60"/>
        <v>#VALUE!</v>
      </c>
      <c r="AL164" s="199" t="e">
        <f t="shared" ca="1" si="60"/>
        <v>#VALUE!</v>
      </c>
      <c r="AM164" s="199" t="e">
        <f t="shared" ca="1" si="60"/>
        <v>#VALUE!</v>
      </c>
      <c r="AN164" s="199" t="e">
        <f t="shared" ca="1" si="60"/>
        <v>#VALUE!</v>
      </c>
      <c r="AO164" s="199" t="e">
        <f t="shared" ca="1" si="60"/>
        <v>#VALUE!</v>
      </c>
      <c r="AP164" s="199" t="e">
        <f t="shared" ca="1" si="60"/>
        <v>#VALUE!</v>
      </c>
    </row>
    <row r="165" spans="1:42">
      <c r="A165" s="61" t="str">
        <f>'[4]TS BYDem'!A104</f>
        <v/>
      </c>
      <c r="B165" s="199" t="s">
        <v>288</v>
      </c>
      <c r="C165" s="199" t="s">
        <v>137</v>
      </c>
      <c r="D165" s="199" t="str">
        <f>'[4]TS BYDem'!D104</f>
        <v>INFS</v>
      </c>
      <c r="E165" s="199" t="s">
        <v>137</v>
      </c>
      <c r="F165" s="199" t="s">
        <v>137</v>
      </c>
      <c r="G165" s="199" t="s">
        <v>137</v>
      </c>
      <c r="H165" s="199" t="s">
        <v>137</v>
      </c>
      <c r="I165" s="199">
        <v>0</v>
      </c>
      <c r="J165" s="199">
        <f>INDEX('[4]TS BYDem'!$J$10:$J$203,MATCH(D165,'[4]TS BYDem'!$D$10:$D$203,0))</f>
        <v>2.487856608</v>
      </c>
      <c r="K165" s="199">
        <f t="shared" ca="1" si="58"/>
        <v>2.1088952651394659</v>
      </c>
      <c r="L165" s="199">
        <f t="shared" ca="1" si="58"/>
        <v>1.916953805768546</v>
      </c>
      <c r="M165" s="206">
        <f t="shared" ref="M165" si="61">O165</f>
        <v>0.65368000000000004</v>
      </c>
      <c r="N165" s="206">
        <f t="shared" ref="N165" si="62">O165</f>
        <v>0.65368000000000004</v>
      </c>
      <c r="O165" s="206">
        <f>INDEX('[4]TS BYDem'!$O$10:$O$203,MATCH(D165,'[4]TS BYDem'!$D$10:$D$203,0))</f>
        <v>0.65368000000000004</v>
      </c>
      <c r="P165" s="199">
        <f t="shared" ca="1" si="59"/>
        <v>0.63847813953488375</v>
      </c>
      <c r="Q165" s="199">
        <f t="shared" ca="1" si="59"/>
        <v>0.61254555403556776</v>
      </c>
      <c r="R165" s="199">
        <f t="shared" ca="1" si="59"/>
        <v>0.50434407660738712</v>
      </c>
      <c r="S165" s="199">
        <f t="shared" ca="1" si="59"/>
        <v>0.52669975376196987</v>
      </c>
      <c r="T165" s="199">
        <f t="shared" ca="1" si="59"/>
        <v>0.53653625170998631</v>
      </c>
      <c r="U165" s="199">
        <f t="shared" ca="1" si="59"/>
        <v>0.54637274965800275</v>
      </c>
      <c r="V165" s="199">
        <f t="shared" ca="1" si="59"/>
        <v>0.5624688372093023</v>
      </c>
      <c r="W165" s="199">
        <f t="shared" ca="1" si="59"/>
        <v>0.58214183310533507</v>
      </c>
      <c r="X165" s="199">
        <f t="shared" ca="1" si="59"/>
        <v>0.60360328317373457</v>
      </c>
      <c r="Y165" s="199">
        <f t="shared" ca="1" si="59"/>
        <v>0.62774741450068394</v>
      </c>
      <c r="Z165" s="199">
        <f t="shared" ca="1" si="59"/>
        <v>0.65278577291381668</v>
      </c>
      <c r="AA165" s="199">
        <f t="shared" ca="1" si="59"/>
        <v>0.68318949384404914</v>
      </c>
      <c r="AB165" s="199">
        <f t="shared" ca="1" si="59"/>
        <v>0.71717012311901496</v>
      </c>
      <c r="AC165" s="199">
        <f t="shared" ca="1" si="59"/>
        <v>0.74757384404924743</v>
      </c>
      <c r="AD165" s="199">
        <f t="shared" ca="1" si="59"/>
        <v>0.77708333789329664</v>
      </c>
      <c r="AE165" s="199">
        <f t="shared" ca="1" si="60"/>
        <v>0.80212169630642938</v>
      </c>
      <c r="AF165" s="199">
        <f t="shared" ca="1" si="60"/>
        <v>0.82447737346101213</v>
      </c>
      <c r="AG165" s="199">
        <f t="shared" ca="1" si="60"/>
        <v>0.84325614227086154</v>
      </c>
      <c r="AH165" s="199">
        <f t="shared" ca="1" si="60"/>
        <v>0.85756377564979458</v>
      </c>
      <c r="AI165" s="199">
        <f t="shared" ca="1" si="60"/>
        <v>0.86918872777017775</v>
      </c>
      <c r="AJ165" s="199">
        <f t="shared" ca="1" si="60"/>
        <v>0.87813099863201072</v>
      </c>
      <c r="AK165" s="199">
        <f t="shared" ca="1" si="60"/>
        <v>0.88796749658002716</v>
      </c>
      <c r="AL165" s="199">
        <f t="shared" ca="1" si="60"/>
        <v>0.89780399452804349</v>
      </c>
      <c r="AM165" s="199">
        <f t="shared" ca="1" si="60"/>
        <v>1.0426687824897398</v>
      </c>
      <c r="AN165" s="199">
        <f t="shared" ca="1" si="60"/>
        <v>1.3279272229822159</v>
      </c>
      <c r="AO165" s="199">
        <f t="shared" ca="1" si="60"/>
        <v>1.7346515093479229</v>
      </c>
      <c r="AP165" s="199">
        <f t="shared" ca="1" si="60"/>
        <v>2.1647747378020901</v>
      </c>
    </row>
    <row r="166" spans="1:42">
      <c r="A166" s="61" t="str">
        <f>'[4]TS BYDem'!A105</f>
        <v>*</v>
      </c>
      <c r="B166" s="199" t="s">
        <v>288</v>
      </c>
      <c r="C166" s="199" t="s">
        <v>137</v>
      </c>
      <c r="D166" s="199" t="str">
        <f>'[4]TS BYDem'!D105</f>
        <v>INFS</v>
      </c>
      <c r="E166" s="199" t="s">
        <v>137</v>
      </c>
      <c r="F166" s="199" t="s">
        <v>137</v>
      </c>
      <c r="G166" s="199" t="s">
        <v>137</v>
      </c>
      <c r="H166" s="199" t="s">
        <v>137</v>
      </c>
      <c r="I166" s="199">
        <v>0</v>
      </c>
      <c r="J166" s="199">
        <f>INDEX('[4]TS BYDem'!$J$10:$J$203,MATCH(D166,'[4]TS BYDem'!$D$10:$D$203,0))</f>
        <v>2.487856608</v>
      </c>
      <c r="K166" s="199">
        <f t="shared" ca="1" si="58"/>
        <v>2.1088952651394659</v>
      </c>
      <c r="L166" s="199">
        <f t="shared" ca="1" si="58"/>
        <v>1.916953805768546</v>
      </c>
      <c r="M166" s="199">
        <f t="shared" ca="1" si="58"/>
        <v>1.9366401092937684</v>
      </c>
      <c r="N166" s="199">
        <f t="shared" ca="1" si="58"/>
        <v>1.8775811987181006</v>
      </c>
      <c r="O166" s="199">
        <f t="shared" ca="1" si="59"/>
        <v>1.7988359846172104</v>
      </c>
      <c r="P166" s="199">
        <f t="shared" ca="1" si="59"/>
        <v>1.7570025896261123</v>
      </c>
      <c r="Q166" s="199">
        <f t="shared" ca="1" si="59"/>
        <v>1.6856397393471807</v>
      </c>
      <c r="R166" s="199">
        <f t="shared" ca="1" si="59"/>
        <v>1.3878843985281897</v>
      </c>
      <c r="S166" s="199">
        <f t="shared" ca="1" si="59"/>
        <v>1.4494040970445101</v>
      </c>
      <c r="T166" s="199">
        <f t="shared" ca="1" si="59"/>
        <v>1.4764727643916913</v>
      </c>
      <c r="U166" s="199">
        <f t="shared" ca="1" si="59"/>
        <v>1.5035414317388722</v>
      </c>
      <c r="V166" s="199">
        <f t="shared" ca="1" si="59"/>
        <v>1.5478356146706227</v>
      </c>
      <c r="W166" s="199">
        <f t="shared" ca="1" si="59"/>
        <v>1.6019729493649846</v>
      </c>
      <c r="X166" s="199">
        <f t="shared" ca="1" si="59"/>
        <v>1.6610318599406524</v>
      </c>
      <c r="Y166" s="199">
        <f t="shared" ca="1" si="59"/>
        <v>1.7274731343382785</v>
      </c>
      <c r="Z166" s="199">
        <f t="shared" ca="1" si="59"/>
        <v>1.7963751966765575</v>
      </c>
      <c r="AA166" s="199">
        <f t="shared" ca="1" si="59"/>
        <v>1.8800419866587532</v>
      </c>
      <c r="AB166" s="199">
        <f t="shared" ca="1" si="59"/>
        <v>1.9735519284035605</v>
      </c>
      <c r="AC166" s="199">
        <f t="shared" ca="1" si="59"/>
        <v>2.057218718385756</v>
      </c>
      <c r="AD166" s="199">
        <f t="shared" ca="1" si="59"/>
        <v>2.1384247204272988</v>
      </c>
      <c r="AE166" s="199">
        <f t="shared" ca="1" si="60"/>
        <v>2.2073267827655778</v>
      </c>
      <c r="AF166" s="199">
        <f t="shared" ca="1" si="60"/>
        <v>2.2688464812818983</v>
      </c>
      <c r="AG166" s="199">
        <f t="shared" ca="1" si="60"/>
        <v>2.3205230280356068</v>
      </c>
      <c r="AH166" s="199">
        <f t="shared" ca="1" si="60"/>
        <v>2.359895635086052</v>
      </c>
      <c r="AI166" s="199">
        <f t="shared" ca="1" si="60"/>
        <v>2.3918858783145387</v>
      </c>
      <c r="AJ166" s="199">
        <f t="shared" ca="1" si="60"/>
        <v>2.4164937577210668</v>
      </c>
      <c r="AK166" s="199">
        <f t="shared" ca="1" si="60"/>
        <v>2.4435624250682477</v>
      </c>
      <c r="AL166" s="199">
        <f t="shared" ca="1" si="60"/>
        <v>2.4706310924154282</v>
      </c>
      <c r="AM166" s="199">
        <f t="shared" ca="1" si="60"/>
        <v>2.8692787388011847</v>
      </c>
      <c r="AN166" s="199">
        <f t="shared" ca="1" si="60"/>
        <v>3.6542700918694333</v>
      </c>
      <c r="AO166" s="199">
        <f t="shared" ca="1" si="60"/>
        <v>4.7735184735430174</v>
      </c>
      <c r="AP166" s="199">
        <f t="shared" ca="1" si="60"/>
        <v>5.9571574729970083</v>
      </c>
    </row>
    <row r="167" spans="1:42">
      <c r="A167" s="61" t="str">
        <f>'[4]TS BYDem'!A106</f>
        <v>*</v>
      </c>
      <c r="B167" s="199" t="s">
        <v>288</v>
      </c>
      <c r="C167" s="199" t="s">
        <v>137</v>
      </c>
      <c r="D167" s="199" t="str">
        <f>'[4]TS BYDem'!D106</f>
        <v>INFS</v>
      </c>
      <c r="E167" s="199" t="s">
        <v>137</v>
      </c>
      <c r="F167" s="199" t="s">
        <v>137</v>
      </c>
      <c r="G167" s="199" t="s">
        <v>137</v>
      </c>
      <c r="H167" s="199" t="s">
        <v>137</v>
      </c>
      <c r="I167" s="199">
        <v>0</v>
      </c>
      <c r="J167" s="199">
        <f>INDEX('[4]TS BYDem'!$J$10:$J$203,MATCH(D167,'[4]TS BYDem'!$D$10:$D$203,0))</f>
        <v>2.487856608</v>
      </c>
      <c r="K167" s="199">
        <f t="shared" ca="1" si="58"/>
        <v>2.1088952651394659</v>
      </c>
      <c r="L167" s="199">
        <f t="shared" ca="1" si="58"/>
        <v>1.916953805768546</v>
      </c>
      <c r="M167" s="199">
        <f t="shared" ca="1" si="58"/>
        <v>1.9366401092937684</v>
      </c>
      <c r="N167" s="199">
        <f t="shared" ca="1" si="58"/>
        <v>1.8775811987181006</v>
      </c>
      <c r="O167" s="199">
        <f t="shared" ca="1" si="59"/>
        <v>1.7988359846172104</v>
      </c>
      <c r="P167" s="199">
        <f t="shared" ca="1" si="59"/>
        <v>1.7570025896261123</v>
      </c>
      <c r="Q167" s="199">
        <f t="shared" ca="1" si="59"/>
        <v>1.6856397393471807</v>
      </c>
      <c r="R167" s="199">
        <f t="shared" ca="1" si="59"/>
        <v>1.3878843985281897</v>
      </c>
      <c r="S167" s="199">
        <f t="shared" ca="1" si="59"/>
        <v>1.4494040970445101</v>
      </c>
      <c r="T167" s="199">
        <f t="shared" ca="1" si="59"/>
        <v>1.4764727643916913</v>
      </c>
      <c r="U167" s="199">
        <f t="shared" ca="1" si="59"/>
        <v>1.5035414317388722</v>
      </c>
      <c r="V167" s="199">
        <f t="shared" ca="1" si="59"/>
        <v>1.5478356146706227</v>
      </c>
      <c r="W167" s="199">
        <f t="shared" ca="1" si="59"/>
        <v>1.6019729493649846</v>
      </c>
      <c r="X167" s="199">
        <f t="shared" ca="1" si="59"/>
        <v>1.6610318599406524</v>
      </c>
      <c r="Y167" s="199">
        <f t="shared" ca="1" si="59"/>
        <v>1.7274731343382785</v>
      </c>
      <c r="Z167" s="199">
        <f t="shared" ca="1" si="59"/>
        <v>1.7963751966765575</v>
      </c>
      <c r="AA167" s="199">
        <f t="shared" ca="1" si="59"/>
        <v>1.8800419866587532</v>
      </c>
      <c r="AB167" s="199">
        <f t="shared" ca="1" si="59"/>
        <v>1.9735519284035605</v>
      </c>
      <c r="AC167" s="199">
        <f t="shared" ca="1" si="59"/>
        <v>2.057218718385756</v>
      </c>
      <c r="AD167" s="199">
        <f t="shared" ca="1" si="59"/>
        <v>2.1384247204272988</v>
      </c>
      <c r="AE167" s="199">
        <f t="shared" ca="1" si="60"/>
        <v>2.2073267827655778</v>
      </c>
      <c r="AF167" s="199">
        <f t="shared" ca="1" si="60"/>
        <v>2.2688464812818983</v>
      </c>
      <c r="AG167" s="199">
        <f t="shared" ca="1" si="60"/>
        <v>2.3205230280356068</v>
      </c>
      <c r="AH167" s="199">
        <f t="shared" ca="1" si="60"/>
        <v>2.359895635086052</v>
      </c>
      <c r="AI167" s="199">
        <f t="shared" ca="1" si="60"/>
        <v>2.3918858783145387</v>
      </c>
      <c r="AJ167" s="199">
        <f t="shared" ca="1" si="60"/>
        <v>2.4164937577210668</v>
      </c>
      <c r="AK167" s="199">
        <f t="shared" ca="1" si="60"/>
        <v>2.4435624250682477</v>
      </c>
      <c r="AL167" s="199">
        <f t="shared" ca="1" si="60"/>
        <v>2.4706310924154282</v>
      </c>
      <c r="AM167" s="199">
        <f t="shared" ca="1" si="60"/>
        <v>2.8692787388011847</v>
      </c>
      <c r="AN167" s="199">
        <f t="shared" ca="1" si="60"/>
        <v>3.6542700918694333</v>
      </c>
      <c r="AO167" s="199">
        <f t="shared" ca="1" si="60"/>
        <v>4.7735184735430174</v>
      </c>
      <c r="AP167" s="199">
        <f t="shared" ca="1" si="60"/>
        <v>5.9571574729970083</v>
      </c>
    </row>
    <row r="168" spans="1:42">
      <c r="A168" s="61" t="str">
        <f>'[4]TS BYDem'!A107</f>
        <v>*</v>
      </c>
      <c r="B168" s="199" t="s">
        <v>288</v>
      </c>
      <c r="C168" s="199" t="s">
        <v>137</v>
      </c>
      <c r="D168" s="199" t="str">
        <f>'[4]TS BYDem'!D107</f>
        <v>INFS</v>
      </c>
      <c r="E168" s="199" t="s">
        <v>137</v>
      </c>
      <c r="F168" s="199" t="s">
        <v>137</v>
      </c>
      <c r="G168" s="199" t="s">
        <v>137</v>
      </c>
      <c r="H168" s="199" t="s">
        <v>137</v>
      </c>
      <c r="I168" s="199">
        <v>0</v>
      </c>
      <c r="J168" s="199">
        <f>INDEX('[4]TS BYDem'!$J$10:$J$203,MATCH(D168,'[4]TS BYDem'!$D$10:$D$203,0))</f>
        <v>2.487856608</v>
      </c>
      <c r="K168" s="199">
        <f t="shared" ca="1" si="58"/>
        <v>2.1088952651394659</v>
      </c>
      <c r="L168" s="199">
        <f t="shared" ca="1" si="58"/>
        <v>1.916953805768546</v>
      </c>
      <c r="M168" s="199">
        <f t="shared" ca="1" si="58"/>
        <v>1.9366401092937684</v>
      </c>
      <c r="N168" s="199">
        <f t="shared" ca="1" si="58"/>
        <v>1.8775811987181006</v>
      </c>
      <c r="O168" s="199">
        <f t="shared" ca="1" si="59"/>
        <v>1.7988359846172104</v>
      </c>
      <c r="P168" s="199">
        <f t="shared" ca="1" si="59"/>
        <v>1.7570025896261123</v>
      </c>
      <c r="Q168" s="199">
        <f t="shared" ca="1" si="59"/>
        <v>1.6856397393471807</v>
      </c>
      <c r="R168" s="199">
        <f t="shared" ca="1" si="59"/>
        <v>1.3878843985281897</v>
      </c>
      <c r="S168" s="199">
        <f t="shared" ca="1" si="59"/>
        <v>1.4494040970445101</v>
      </c>
      <c r="T168" s="199">
        <f t="shared" ca="1" si="59"/>
        <v>1.4764727643916913</v>
      </c>
      <c r="U168" s="199">
        <f t="shared" ca="1" si="59"/>
        <v>1.5035414317388722</v>
      </c>
      <c r="V168" s="199">
        <f t="shared" ca="1" si="59"/>
        <v>1.5478356146706227</v>
      </c>
      <c r="W168" s="199">
        <f t="shared" ca="1" si="59"/>
        <v>1.6019729493649846</v>
      </c>
      <c r="X168" s="199">
        <f t="shared" ca="1" si="59"/>
        <v>1.6610318599406524</v>
      </c>
      <c r="Y168" s="199">
        <f t="shared" ca="1" si="59"/>
        <v>1.7274731343382785</v>
      </c>
      <c r="Z168" s="199">
        <f t="shared" ca="1" si="59"/>
        <v>1.7963751966765575</v>
      </c>
      <c r="AA168" s="199">
        <f t="shared" ca="1" si="59"/>
        <v>1.8800419866587532</v>
      </c>
      <c r="AB168" s="199">
        <f t="shared" ca="1" si="59"/>
        <v>1.9735519284035605</v>
      </c>
      <c r="AC168" s="199">
        <f t="shared" ca="1" si="59"/>
        <v>2.057218718385756</v>
      </c>
      <c r="AD168" s="199">
        <f t="shared" ca="1" si="59"/>
        <v>2.1384247204272988</v>
      </c>
      <c r="AE168" s="199">
        <f t="shared" ca="1" si="60"/>
        <v>2.2073267827655778</v>
      </c>
      <c r="AF168" s="199">
        <f t="shared" ca="1" si="60"/>
        <v>2.2688464812818983</v>
      </c>
      <c r="AG168" s="199">
        <f t="shared" ca="1" si="60"/>
        <v>2.3205230280356068</v>
      </c>
      <c r="AH168" s="199">
        <f t="shared" ca="1" si="60"/>
        <v>2.359895635086052</v>
      </c>
      <c r="AI168" s="199">
        <f t="shared" ca="1" si="60"/>
        <v>2.3918858783145387</v>
      </c>
      <c r="AJ168" s="199">
        <f t="shared" ca="1" si="60"/>
        <v>2.4164937577210668</v>
      </c>
      <c r="AK168" s="199">
        <f t="shared" ca="1" si="60"/>
        <v>2.4435624250682477</v>
      </c>
      <c r="AL168" s="199">
        <f t="shared" ca="1" si="60"/>
        <v>2.4706310924154282</v>
      </c>
      <c r="AM168" s="199">
        <f t="shared" ca="1" si="60"/>
        <v>2.8692787388011847</v>
      </c>
      <c r="AN168" s="199">
        <f t="shared" ca="1" si="60"/>
        <v>3.6542700918694333</v>
      </c>
      <c r="AO168" s="199">
        <f t="shared" ca="1" si="60"/>
        <v>4.7735184735430174</v>
      </c>
      <c r="AP168" s="199">
        <f t="shared" ca="1" si="60"/>
        <v>5.9571574729970083</v>
      </c>
    </row>
    <row r="169" spans="1:42">
      <c r="A169" s="61" t="str">
        <f>'[4]TS BYDem'!A108</f>
        <v>*</v>
      </c>
      <c r="B169" s="199" t="s">
        <v>288</v>
      </c>
      <c r="C169" s="199" t="s">
        <v>137</v>
      </c>
      <c r="D169" s="199" t="str">
        <f>'[4]TS BYDem'!D108</f>
        <v>INFS</v>
      </c>
      <c r="E169" s="199" t="s">
        <v>137</v>
      </c>
      <c r="F169" s="199" t="s">
        <v>137</v>
      </c>
      <c r="G169" s="199" t="s">
        <v>137</v>
      </c>
      <c r="H169" s="199" t="s">
        <v>137</v>
      </c>
      <c r="I169" s="199">
        <v>0</v>
      </c>
      <c r="J169" s="199">
        <f>INDEX('[4]TS BYDem'!$J$10:$J$203,MATCH(D169,'[4]TS BYDem'!$D$10:$D$203,0))</f>
        <v>2.487856608</v>
      </c>
      <c r="K169" s="199">
        <f t="shared" ca="1" si="58"/>
        <v>2.1088952651394659</v>
      </c>
      <c r="L169" s="199">
        <f t="shared" ca="1" si="58"/>
        <v>1.916953805768546</v>
      </c>
      <c r="M169" s="199">
        <f t="shared" ca="1" si="58"/>
        <v>1.9366401092937684</v>
      </c>
      <c r="N169" s="199">
        <f t="shared" ca="1" si="58"/>
        <v>1.8775811987181006</v>
      </c>
      <c r="O169" s="199">
        <f t="shared" ca="1" si="59"/>
        <v>1.7988359846172104</v>
      </c>
      <c r="P169" s="199">
        <f t="shared" ca="1" si="59"/>
        <v>1.7570025896261123</v>
      </c>
      <c r="Q169" s="199">
        <f t="shared" ca="1" si="59"/>
        <v>1.6856397393471807</v>
      </c>
      <c r="R169" s="199">
        <f t="shared" ca="1" si="59"/>
        <v>1.3878843985281897</v>
      </c>
      <c r="S169" s="199">
        <f t="shared" ca="1" si="59"/>
        <v>1.4494040970445101</v>
      </c>
      <c r="T169" s="199">
        <f t="shared" ca="1" si="59"/>
        <v>1.4764727643916913</v>
      </c>
      <c r="U169" s="199">
        <f t="shared" ca="1" si="59"/>
        <v>1.5035414317388722</v>
      </c>
      <c r="V169" s="199">
        <f t="shared" ca="1" si="59"/>
        <v>1.5478356146706227</v>
      </c>
      <c r="W169" s="199">
        <f t="shared" ca="1" si="59"/>
        <v>1.6019729493649846</v>
      </c>
      <c r="X169" s="199">
        <f t="shared" ca="1" si="59"/>
        <v>1.6610318599406524</v>
      </c>
      <c r="Y169" s="199">
        <f t="shared" ca="1" si="59"/>
        <v>1.7274731343382785</v>
      </c>
      <c r="Z169" s="199">
        <f t="shared" ca="1" si="59"/>
        <v>1.7963751966765575</v>
      </c>
      <c r="AA169" s="199">
        <f t="shared" ca="1" si="59"/>
        <v>1.8800419866587532</v>
      </c>
      <c r="AB169" s="199">
        <f t="shared" ca="1" si="59"/>
        <v>1.9735519284035605</v>
      </c>
      <c r="AC169" s="199">
        <f t="shared" ca="1" si="59"/>
        <v>2.057218718385756</v>
      </c>
      <c r="AD169" s="199">
        <f t="shared" ca="1" si="59"/>
        <v>2.1384247204272988</v>
      </c>
      <c r="AE169" s="199">
        <f t="shared" ca="1" si="60"/>
        <v>2.2073267827655778</v>
      </c>
      <c r="AF169" s="199">
        <f t="shared" ca="1" si="60"/>
        <v>2.2688464812818983</v>
      </c>
      <c r="AG169" s="199">
        <f t="shared" ca="1" si="60"/>
        <v>2.3205230280356068</v>
      </c>
      <c r="AH169" s="199">
        <f t="shared" ca="1" si="60"/>
        <v>2.359895635086052</v>
      </c>
      <c r="AI169" s="199">
        <f t="shared" ca="1" si="60"/>
        <v>2.3918858783145387</v>
      </c>
      <c r="AJ169" s="199">
        <f t="shared" ca="1" si="60"/>
        <v>2.4164937577210668</v>
      </c>
      <c r="AK169" s="199">
        <f t="shared" ca="1" si="60"/>
        <v>2.4435624250682477</v>
      </c>
      <c r="AL169" s="199">
        <f t="shared" ca="1" si="60"/>
        <v>2.4706310924154282</v>
      </c>
      <c r="AM169" s="199">
        <f t="shared" ca="1" si="60"/>
        <v>2.8692787388011847</v>
      </c>
      <c r="AN169" s="199">
        <f t="shared" ca="1" si="60"/>
        <v>3.6542700918694333</v>
      </c>
      <c r="AO169" s="199">
        <f t="shared" ca="1" si="60"/>
        <v>4.7735184735430174</v>
      </c>
      <c r="AP169" s="199">
        <f t="shared" ca="1" si="60"/>
        <v>5.9571574729970083</v>
      </c>
    </row>
    <row r="170" spans="1:42">
      <c r="A170" s="61" t="str">
        <f>'[4]TS BYDem'!A109</f>
        <v>*</v>
      </c>
      <c r="B170" s="199" t="s">
        <v>288</v>
      </c>
      <c r="C170" s="199" t="s">
        <v>137</v>
      </c>
      <c r="D170" s="199" t="str">
        <f>'[4]TS BYDem'!D109</f>
        <v>INFS</v>
      </c>
      <c r="E170" s="199" t="s">
        <v>137</v>
      </c>
      <c r="F170" s="199" t="s">
        <v>137</v>
      </c>
      <c r="G170" s="199" t="s">
        <v>137</v>
      </c>
      <c r="H170" s="199" t="s">
        <v>137</v>
      </c>
      <c r="I170" s="199">
        <v>0</v>
      </c>
      <c r="J170" s="199">
        <f>INDEX('[4]TS BYDem'!$J$10:$J$203,MATCH(D170,'[4]TS BYDem'!$D$10:$D$203,0))</f>
        <v>2.487856608</v>
      </c>
      <c r="K170" s="199">
        <f t="shared" ca="1" si="58"/>
        <v>2.1088952651394659</v>
      </c>
      <c r="L170" s="199">
        <f t="shared" ca="1" si="58"/>
        <v>1.916953805768546</v>
      </c>
      <c r="M170" s="199">
        <f t="shared" ca="1" si="58"/>
        <v>1.9366401092937684</v>
      </c>
      <c r="N170" s="199">
        <f t="shared" ca="1" si="58"/>
        <v>1.8775811987181006</v>
      </c>
      <c r="O170" s="199">
        <f t="shared" ca="1" si="59"/>
        <v>1.7988359846172104</v>
      </c>
      <c r="P170" s="199">
        <f t="shared" ca="1" si="59"/>
        <v>1.7570025896261123</v>
      </c>
      <c r="Q170" s="199">
        <f t="shared" ca="1" si="59"/>
        <v>1.6856397393471807</v>
      </c>
      <c r="R170" s="199">
        <f t="shared" ca="1" si="59"/>
        <v>1.3878843985281897</v>
      </c>
      <c r="S170" s="199">
        <f t="shared" ca="1" si="59"/>
        <v>1.4494040970445101</v>
      </c>
      <c r="T170" s="199">
        <f t="shared" ca="1" si="59"/>
        <v>1.4764727643916913</v>
      </c>
      <c r="U170" s="199">
        <f t="shared" ca="1" si="59"/>
        <v>1.5035414317388722</v>
      </c>
      <c r="V170" s="199">
        <f t="shared" ca="1" si="59"/>
        <v>1.5478356146706227</v>
      </c>
      <c r="W170" s="199">
        <f t="shared" ca="1" si="59"/>
        <v>1.6019729493649846</v>
      </c>
      <c r="X170" s="199">
        <f t="shared" ca="1" si="59"/>
        <v>1.6610318599406524</v>
      </c>
      <c r="Y170" s="199">
        <f t="shared" ca="1" si="59"/>
        <v>1.7274731343382785</v>
      </c>
      <c r="Z170" s="199">
        <f t="shared" ca="1" si="59"/>
        <v>1.7963751966765575</v>
      </c>
      <c r="AA170" s="199">
        <f t="shared" ca="1" si="59"/>
        <v>1.8800419866587532</v>
      </c>
      <c r="AB170" s="199">
        <f t="shared" ca="1" si="59"/>
        <v>1.9735519284035605</v>
      </c>
      <c r="AC170" s="199">
        <f t="shared" ca="1" si="59"/>
        <v>2.057218718385756</v>
      </c>
      <c r="AD170" s="199">
        <f t="shared" ca="1" si="59"/>
        <v>2.1384247204272988</v>
      </c>
      <c r="AE170" s="199">
        <f t="shared" ca="1" si="60"/>
        <v>2.2073267827655778</v>
      </c>
      <c r="AF170" s="199">
        <f t="shared" ca="1" si="60"/>
        <v>2.2688464812818983</v>
      </c>
      <c r="AG170" s="199">
        <f t="shared" ca="1" si="60"/>
        <v>2.3205230280356068</v>
      </c>
      <c r="AH170" s="199">
        <f t="shared" ca="1" si="60"/>
        <v>2.359895635086052</v>
      </c>
      <c r="AI170" s="199">
        <f t="shared" ca="1" si="60"/>
        <v>2.3918858783145387</v>
      </c>
      <c r="AJ170" s="199">
        <f t="shared" ca="1" si="60"/>
        <v>2.4164937577210668</v>
      </c>
      <c r="AK170" s="199">
        <f t="shared" ca="1" si="60"/>
        <v>2.4435624250682477</v>
      </c>
      <c r="AL170" s="199">
        <f t="shared" ca="1" si="60"/>
        <v>2.4706310924154282</v>
      </c>
      <c r="AM170" s="199">
        <f t="shared" ca="1" si="60"/>
        <v>2.8692787388011847</v>
      </c>
      <c r="AN170" s="199">
        <f t="shared" ca="1" si="60"/>
        <v>3.6542700918694333</v>
      </c>
      <c r="AO170" s="199">
        <f t="shared" ca="1" si="60"/>
        <v>4.7735184735430174</v>
      </c>
      <c r="AP170" s="199">
        <f t="shared" ca="1" si="60"/>
        <v>5.9571574729970083</v>
      </c>
    </row>
    <row r="171" spans="1:42">
      <c r="A171" s="61" t="str">
        <f>'[4]TS BYDem'!A110</f>
        <v>*</v>
      </c>
      <c r="B171" s="199" t="s">
        <v>288</v>
      </c>
      <c r="C171" s="199" t="s">
        <v>137</v>
      </c>
      <c r="D171" s="199" t="str">
        <f>'[4]TS BYDem'!D110</f>
        <v>Useful Energy Service</v>
      </c>
      <c r="E171" s="199" t="s">
        <v>137</v>
      </c>
      <c r="F171" s="199" t="s">
        <v>137</v>
      </c>
      <c r="G171" s="199" t="s">
        <v>137</v>
      </c>
      <c r="H171" s="199" t="s">
        <v>137</v>
      </c>
      <c r="I171" s="199">
        <v>0</v>
      </c>
      <c r="J171" s="199" t="str">
        <f>INDEX('[4]TS BYDem'!$J$10:$J$203,MATCH(D171,'[4]TS BYDem'!$D$10:$D$203,0))</f>
        <v/>
      </c>
      <c r="K171" s="199" t="e">
        <f t="shared" ca="1" si="58"/>
        <v>#VALUE!</v>
      </c>
      <c r="L171" s="199" t="e">
        <f t="shared" ca="1" si="58"/>
        <v>#VALUE!</v>
      </c>
      <c r="M171" s="199" t="e">
        <f t="shared" ca="1" si="58"/>
        <v>#VALUE!</v>
      </c>
      <c r="N171" s="199" t="e">
        <f t="shared" ca="1" si="58"/>
        <v>#VALUE!</v>
      </c>
      <c r="O171" s="199" t="e">
        <f t="shared" ca="1" si="59"/>
        <v>#VALUE!</v>
      </c>
      <c r="P171" s="199" t="e">
        <f t="shared" ca="1" si="59"/>
        <v>#VALUE!</v>
      </c>
      <c r="Q171" s="199" t="e">
        <f t="shared" ca="1" si="59"/>
        <v>#VALUE!</v>
      </c>
      <c r="R171" s="199" t="e">
        <f t="shared" ca="1" si="59"/>
        <v>#VALUE!</v>
      </c>
      <c r="S171" s="199" t="e">
        <f t="shared" ca="1" si="59"/>
        <v>#VALUE!</v>
      </c>
      <c r="T171" s="199" t="e">
        <f t="shared" ca="1" si="59"/>
        <v>#VALUE!</v>
      </c>
      <c r="U171" s="199" t="e">
        <f t="shared" ca="1" si="59"/>
        <v>#VALUE!</v>
      </c>
      <c r="V171" s="199" t="e">
        <f t="shared" ca="1" si="59"/>
        <v>#VALUE!</v>
      </c>
      <c r="W171" s="199" t="e">
        <f t="shared" ca="1" si="59"/>
        <v>#VALUE!</v>
      </c>
      <c r="X171" s="199" t="e">
        <f t="shared" ca="1" si="59"/>
        <v>#VALUE!</v>
      </c>
      <c r="Y171" s="199" t="e">
        <f t="shared" ca="1" si="59"/>
        <v>#VALUE!</v>
      </c>
      <c r="Z171" s="199" t="e">
        <f t="shared" ca="1" si="59"/>
        <v>#VALUE!</v>
      </c>
      <c r="AA171" s="199" t="e">
        <f t="shared" ca="1" si="59"/>
        <v>#VALUE!</v>
      </c>
      <c r="AB171" s="199" t="e">
        <f t="shared" ca="1" si="59"/>
        <v>#VALUE!</v>
      </c>
      <c r="AC171" s="199" t="e">
        <f t="shared" ca="1" si="59"/>
        <v>#VALUE!</v>
      </c>
      <c r="AD171" s="199" t="e">
        <f t="shared" ca="1" si="59"/>
        <v>#VALUE!</v>
      </c>
      <c r="AE171" s="199" t="e">
        <f t="shared" ca="1" si="60"/>
        <v>#VALUE!</v>
      </c>
      <c r="AF171" s="199" t="e">
        <f t="shared" ca="1" si="60"/>
        <v>#VALUE!</v>
      </c>
      <c r="AG171" s="199" t="e">
        <f t="shared" ca="1" si="60"/>
        <v>#VALUE!</v>
      </c>
      <c r="AH171" s="199" t="e">
        <f t="shared" ca="1" si="60"/>
        <v>#VALUE!</v>
      </c>
      <c r="AI171" s="199" t="e">
        <f t="shared" ca="1" si="60"/>
        <v>#VALUE!</v>
      </c>
      <c r="AJ171" s="199" t="e">
        <f t="shared" ca="1" si="60"/>
        <v>#VALUE!</v>
      </c>
      <c r="AK171" s="199" t="e">
        <f t="shared" ca="1" si="60"/>
        <v>#VALUE!</v>
      </c>
      <c r="AL171" s="199" t="e">
        <f t="shared" ca="1" si="60"/>
        <v>#VALUE!</v>
      </c>
      <c r="AM171" s="199" t="e">
        <f t="shared" ca="1" si="60"/>
        <v>#VALUE!</v>
      </c>
      <c r="AN171" s="199" t="e">
        <f t="shared" ca="1" si="60"/>
        <v>#VALUE!</v>
      </c>
      <c r="AO171" s="199" t="e">
        <f t="shared" ca="1" si="60"/>
        <v>#VALUE!</v>
      </c>
      <c r="AP171" s="199" t="e">
        <f t="shared" ca="1" si="60"/>
        <v>#VALUE!</v>
      </c>
    </row>
    <row r="172" spans="1:42">
      <c r="A172" s="61" t="str">
        <f>'[4]TS BYDem'!A111</f>
        <v>*</v>
      </c>
      <c r="B172" s="199" t="s">
        <v>288</v>
      </c>
      <c r="C172" s="199" t="s">
        <v>137</v>
      </c>
      <c r="D172" s="199">
        <f>'[4]TS BYDem'!D111</f>
        <v>0</v>
      </c>
      <c r="E172" s="199" t="s">
        <v>137</v>
      </c>
      <c r="F172" s="199" t="s">
        <v>137</v>
      </c>
      <c r="G172" s="199" t="s">
        <v>137</v>
      </c>
      <c r="H172" s="199" t="s">
        <v>137</v>
      </c>
      <c r="I172" s="199">
        <v>0</v>
      </c>
      <c r="J172" s="199" t="str">
        <f>INDEX('[4]TS BYDem'!$J$10:$J$203,MATCH(D172,'[4]TS BYDem'!$D$10:$D$203,0))</f>
        <v/>
      </c>
      <c r="K172" s="199" t="e">
        <f t="shared" ca="1" si="58"/>
        <v>#VALUE!</v>
      </c>
      <c r="L172" s="199" t="e">
        <f t="shared" ca="1" si="58"/>
        <v>#VALUE!</v>
      </c>
      <c r="M172" s="199" t="e">
        <f t="shared" ca="1" si="58"/>
        <v>#VALUE!</v>
      </c>
      <c r="N172" s="199" t="e">
        <f t="shared" ca="1" si="58"/>
        <v>#VALUE!</v>
      </c>
      <c r="O172" s="199" t="e">
        <f t="shared" ca="1" si="59"/>
        <v>#VALUE!</v>
      </c>
      <c r="P172" s="199" t="e">
        <f t="shared" ca="1" si="59"/>
        <v>#VALUE!</v>
      </c>
      <c r="Q172" s="199" t="e">
        <f t="shared" ca="1" si="59"/>
        <v>#VALUE!</v>
      </c>
      <c r="R172" s="199" t="e">
        <f t="shared" ca="1" si="59"/>
        <v>#VALUE!</v>
      </c>
      <c r="S172" s="199" t="e">
        <f t="shared" ca="1" si="59"/>
        <v>#VALUE!</v>
      </c>
      <c r="T172" s="199" t="e">
        <f t="shared" ca="1" si="59"/>
        <v>#VALUE!</v>
      </c>
      <c r="U172" s="199" t="e">
        <f t="shared" ca="1" si="59"/>
        <v>#VALUE!</v>
      </c>
      <c r="V172" s="199" t="e">
        <f t="shared" ca="1" si="59"/>
        <v>#VALUE!</v>
      </c>
      <c r="W172" s="199" t="e">
        <f t="shared" ca="1" si="59"/>
        <v>#VALUE!</v>
      </c>
      <c r="X172" s="199" t="e">
        <f t="shared" ca="1" si="59"/>
        <v>#VALUE!</v>
      </c>
      <c r="Y172" s="199" t="e">
        <f t="shared" ca="1" si="59"/>
        <v>#VALUE!</v>
      </c>
      <c r="Z172" s="199" t="e">
        <f t="shared" ca="1" si="59"/>
        <v>#VALUE!</v>
      </c>
      <c r="AA172" s="199" t="e">
        <f t="shared" ca="1" si="59"/>
        <v>#VALUE!</v>
      </c>
      <c r="AB172" s="199" t="e">
        <f t="shared" ca="1" si="59"/>
        <v>#VALUE!</v>
      </c>
      <c r="AC172" s="199" t="e">
        <f t="shared" ca="1" si="59"/>
        <v>#VALUE!</v>
      </c>
      <c r="AD172" s="199" t="e">
        <f t="shared" ca="1" si="59"/>
        <v>#VALUE!</v>
      </c>
      <c r="AE172" s="199" t="e">
        <f t="shared" ca="1" si="60"/>
        <v>#VALUE!</v>
      </c>
      <c r="AF172" s="199" t="e">
        <f t="shared" ca="1" si="60"/>
        <v>#VALUE!</v>
      </c>
      <c r="AG172" s="199" t="e">
        <f t="shared" ca="1" si="60"/>
        <v>#VALUE!</v>
      </c>
      <c r="AH172" s="199" t="e">
        <f t="shared" ca="1" si="60"/>
        <v>#VALUE!</v>
      </c>
      <c r="AI172" s="199" t="e">
        <f t="shared" ca="1" si="60"/>
        <v>#VALUE!</v>
      </c>
      <c r="AJ172" s="199" t="e">
        <f t="shared" ca="1" si="60"/>
        <v>#VALUE!</v>
      </c>
      <c r="AK172" s="199" t="e">
        <f t="shared" ca="1" si="60"/>
        <v>#VALUE!</v>
      </c>
      <c r="AL172" s="199" t="e">
        <f t="shared" ca="1" si="60"/>
        <v>#VALUE!</v>
      </c>
      <c r="AM172" s="199" t="e">
        <f t="shared" ca="1" si="60"/>
        <v>#VALUE!</v>
      </c>
      <c r="AN172" s="199" t="e">
        <f t="shared" ca="1" si="60"/>
        <v>#VALUE!</v>
      </c>
      <c r="AO172" s="199" t="e">
        <f t="shared" ca="1" si="60"/>
        <v>#VALUE!</v>
      </c>
      <c r="AP172" s="199" t="e">
        <f t="shared" ca="1" si="60"/>
        <v>#VALUE!</v>
      </c>
    </row>
    <row r="173" spans="1:42" s="5" customFormat="1">
      <c r="A173" s="61" t="str">
        <f>'[4]TS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236.48</v>
      </c>
      <c r="M173" s="5">
        <f t="shared" ca="1" si="63"/>
        <v>240.64</v>
      </c>
      <c r="N173" s="5">
        <f t="shared" ca="1" si="63"/>
        <v>243.84</v>
      </c>
      <c r="O173" s="5">
        <f t="shared" ca="1" si="63"/>
        <v>246.56</v>
      </c>
      <c r="P173" s="5">
        <f t="shared" ca="1" si="63"/>
        <v>250.56</v>
      </c>
      <c r="Q173" s="5">
        <f t="shared" ca="1" si="63"/>
        <v>252.96</v>
      </c>
      <c r="R173" s="5">
        <f t="shared" ca="1" si="63"/>
        <v>233.28</v>
      </c>
      <c r="S173" s="5">
        <f t="shared" ca="1" si="63"/>
        <v>243.36</v>
      </c>
      <c r="T173" s="5">
        <f t="shared" ca="1" si="63"/>
        <v>252.32</v>
      </c>
      <c r="U173" s="5">
        <f t="shared" ca="1" si="63"/>
        <v>262.08</v>
      </c>
      <c r="V173" s="5">
        <f t="shared" ca="1" si="63"/>
        <v>273.12</v>
      </c>
      <c r="W173" s="5">
        <f t="shared" ca="1" si="63"/>
        <v>284.95999999999998</v>
      </c>
      <c r="X173" s="5">
        <f t="shared" ca="1" si="63"/>
        <v>298.24</v>
      </c>
      <c r="Y173" s="5">
        <f t="shared" ca="1" si="63"/>
        <v>312.48</v>
      </c>
      <c r="Z173" s="5">
        <f t="shared" ca="1" si="63"/>
        <v>327.68</v>
      </c>
      <c r="AA173" s="5">
        <f t="shared" ca="1" si="63"/>
        <v>344.96</v>
      </c>
      <c r="AB173" s="5">
        <f t="shared" ca="1" si="63"/>
        <v>363.2</v>
      </c>
      <c r="AC173" s="5">
        <f t="shared" ca="1" si="63"/>
        <v>381.76</v>
      </c>
      <c r="AD173" s="5">
        <f t="shared" ca="1" si="63"/>
        <v>401.28</v>
      </c>
      <c r="AE173" s="5">
        <f t="shared" ca="1" si="63"/>
        <v>422.08</v>
      </c>
      <c r="AF173" s="5">
        <f t="shared" ca="1" si="63"/>
        <v>444</v>
      </c>
      <c r="AG173" s="5">
        <f t="shared" ca="1" si="63"/>
        <v>465.92</v>
      </c>
      <c r="AH173" s="5">
        <f t="shared" ca="1" si="63"/>
        <v>488.64</v>
      </c>
      <c r="AI173" s="5">
        <f t="shared" ca="1" si="63"/>
        <v>514.24</v>
      </c>
      <c r="AJ173" s="5">
        <f t="shared" ca="1" si="63"/>
        <v>540.96</v>
      </c>
      <c r="AK173" s="5">
        <f t="shared" ca="1" si="63"/>
        <v>568.96</v>
      </c>
      <c r="AL173" s="5">
        <f t="shared" ca="1" si="63"/>
        <v>598.08000000000004</v>
      </c>
      <c r="AM173" s="5">
        <f t="shared" ca="1" si="63"/>
        <v>771.2</v>
      </c>
      <c r="AN173" s="5">
        <f t="shared" ca="1" si="63"/>
        <v>987.04</v>
      </c>
      <c r="AO173" s="5">
        <f t="shared" ca="1" si="63"/>
        <v>1368.8799999999901</v>
      </c>
      <c r="AP173" s="5">
        <f t="shared" ca="1" si="63"/>
        <v>1757.8399999999965</v>
      </c>
    </row>
    <row r="174" spans="1:42">
      <c r="A174" s="61" t="str">
        <f>'[4]TS BYDem'!A113</f>
        <v>*</v>
      </c>
      <c r="B174" s="199" t="s">
        <v>288</v>
      </c>
      <c r="C174" s="199" t="s">
        <v>137</v>
      </c>
      <c r="D174" s="199" t="str">
        <f>'[4]TS BYDem'!D113</f>
        <v>INMK</v>
      </c>
      <c r="E174" s="199" t="s">
        <v>137</v>
      </c>
      <c r="F174" s="199" t="s">
        <v>137</v>
      </c>
      <c r="G174" s="199" t="s">
        <v>137</v>
      </c>
      <c r="H174" s="199" t="s">
        <v>137</v>
      </c>
      <c r="I174" s="199">
        <v>0</v>
      </c>
      <c r="J174" s="199" t="str">
        <f>INDEX('[4]TS BYDem'!$J$10:$J$203,MATCH(D174,'[4]TS BYDem'!$D$10:$D$203,0))</f>
        <v/>
      </c>
      <c r="K174" s="199" t="e">
        <f t="shared" ref="K174:Z189" ca="1" si="64">K$173/J$173*J174</f>
        <v>#VALUE!</v>
      </c>
      <c r="L174" s="199" t="e">
        <f t="shared" ca="1" si="64"/>
        <v>#VALUE!</v>
      </c>
      <c r="M174" s="199" t="e">
        <f t="shared" ca="1" si="64"/>
        <v>#VALUE!</v>
      </c>
      <c r="N174" s="199" t="e">
        <f t="shared" ca="1" si="64"/>
        <v>#VALUE!</v>
      </c>
      <c r="O174" s="199" t="e">
        <f t="shared" ca="1" si="64"/>
        <v>#VALUE!</v>
      </c>
      <c r="P174" s="199" t="e">
        <f t="shared" ca="1" si="64"/>
        <v>#VALUE!</v>
      </c>
      <c r="Q174" s="199" t="e">
        <f t="shared" ca="1" si="64"/>
        <v>#VALUE!</v>
      </c>
      <c r="R174" s="199" t="e">
        <f t="shared" ca="1" si="64"/>
        <v>#VALUE!</v>
      </c>
      <c r="S174" s="199" t="e">
        <f t="shared" ca="1" si="64"/>
        <v>#VALUE!</v>
      </c>
      <c r="T174" s="199" t="e">
        <f t="shared" ca="1" si="64"/>
        <v>#VALUE!</v>
      </c>
      <c r="U174" s="199" t="e">
        <f t="shared" ca="1" si="64"/>
        <v>#VALUE!</v>
      </c>
      <c r="V174" s="199" t="e">
        <f t="shared" ca="1" si="64"/>
        <v>#VALUE!</v>
      </c>
      <c r="W174" s="199" t="e">
        <f t="shared" ca="1" si="64"/>
        <v>#VALUE!</v>
      </c>
      <c r="X174" s="199" t="e">
        <f t="shared" ca="1" si="64"/>
        <v>#VALUE!</v>
      </c>
      <c r="Y174" s="199" t="e">
        <f t="shared" ca="1" si="64"/>
        <v>#VALUE!</v>
      </c>
      <c r="Z174" s="199" t="e">
        <f t="shared" ca="1" si="64"/>
        <v>#VALUE!</v>
      </c>
      <c r="AA174" s="199" t="e">
        <f t="shared" ref="AA174:AP189" ca="1" si="65">AA$173/Z$173*Z174</f>
        <v>#VALUE!</v>
      </c>
      <c r="AB174" s="199" t="e">
        <f t="shared" ca="1" si="65"/>
        <v>#VALUE!</v>
      </c>
      <c r="AC174" s="199" t="e">
        <f t="shared" ca="1" si="65"/>
        <v>#VALUE!</v>
      </c>
      <c r="AD174" s="199" t="e">
        <f t="shared" ca="1" si="65"/>
        <v>#VALUE!</v>
      </c>
      <c r="AE174" s="199" t="e">
        <f t="shared" ca="1" si="65"/>
        <v>#VALUE!</v>
      </c>
      <c r="AF174" s="199" t="e">
        <f t="shared" ca="1" si="65"/>
        <v>#VALUE!</v>
      </c>
      <c r="AG174" s="199" t="e">
        <f t="shared" ca="1" si="65"/>
        <v>#VALUE!</v>
      </c>
      <c r="AH174" s="199" t="e">
        <f t="shared" ca="1" si="65"/>
        <v>#VALUE!</v>
      </c>
      <c r="AI174" s="199" t="e">
        <f t="shared" ca="1" si="65"/>
        <v>#VALUE!</v>
      </c>
      <c r="AJ174" s="199" t="e">
        <f t="shared" ca="1" si="65"/>
        <v>#VALUE!</v>
      </c>
      <c r="AK174" s="199" t="e">
        <f t="shared" ca="1" si="65"/>
        <v>#VALUE!</v>
      </c>
      <c r="AL174" s="199" t="e">
        <f t="shared" ca="1" si="65"/>
        <v>#VALUE!</v>
      </c>
      <c r="AM174" s="199" t="e">
        <f t="shared" ca="1" si="65"/>
        <v>#VALUE!</v>
      </c>
      <c r="AN174" s="199" t="e">
        <f t="shared" ca="1" si="65"/>
        <v>#VALUE!</v>
      </c>
      <c r="AO174" s="199" t="e">
        <f t="shared" ca="1" si="65"/>
        <v>#VALUE!</v>
      </c>
      <c r="AP174" s="199" t="e">
        <f t="shared" ca="1" si="65"/>
        <v>#VALUE!</v>
      </c>
    </row>
    <row r="175" spans="1:42">
      <c r="A175" s="61" t="str">
        <f>'[4]TS BYDem'!A114</f>
        <v>*</v>
      </c>
      <c r="B175" s="199" t="s">
        <v>288</v>
      </c>
      <c r="C175" s="199" t="s">
        <v>137</v>
      </c>
      <c r="D175" s="199" t="str">
        <f>'[4]TS BYDem'!D114</f>
        <v>INMA</v>
      </c>
      <c r="E175" s="199" t="s">
        <v>137</v>
      </c>
      <c r="F175" s="199" t="s">
        <v>137</v>
      </c>
      <c r="G175" s="199" t="s">
        <v>137</v>
      </c>
      <c r="H175" s="199" t="s">
        <v>137</v>
      </c>
      <c r="I175" s="199">
        <v>0</v>
      </c>
      <c r="J175" s="199" t="str">
        <f>INDEX('[4]TS BYDem'!$J$10:$J$203,MATCH(D175,'[4]TS BYDem'!$D$10:$D$203,0))</f>
        <v/>
      </c>
      <c r="K175" s="199" t="e">
        <f t="shared" ca="1" si="64"/>
        <v>#VALUE!</v>
      </c>
      <c r="L175" s="199" t="e">
        <f t="shared" ca="1" si="64"/>
        <v>#VALUE!</v>
      </c>
      <c r="M175" s="199" t="e">
        <f t="shared" ca="1" si="64"/>
        <v>#VALUE!</v>
      </c>
      <c r="N175" s="199" t="e">
        <f t="shared" ca="1" si="64"/>
        <v>#VALUE!</v>
      </c>
      <c r="O175" s="199" t="e">
        <f t="shared" ca="1" si="64"/>
        <v>#VALUE!</v>
      </c>
      <c r="P175" s="199" t="e">
        <f t="shared" ca="1" si="64"/>
        <v>#VALUE!</v>
      </c>
      <c r="Q175" s="199" t="e">
        <f t="shared" ca="1" si="64"/>
        <v>#VALUE!</v>
      </c>
      <c r="R175" s="199" t="e">
        <f t="shared" ca="1" si="64"/>
        <v>#VALUE!</v>
      </c>
      <c r="S175" s="199" t="e">
        <f t="shared" ca="1" si="64"/>
        <v>#VALUE!</v>
      </c>
      <c r="T175" s="199" t="e">
        <f t="shared" ca="1" si="64"/>
        <v>#VALUE!</v>
      </c>
      <c r="U175" s="199" t="e">
        <f t="shared" ca="1" si="64"/>
        <v>#VALUE!</v>
      </c>
      <c r="V175" s="199" t="e">
        <f t="shared" ca="1" si="64"/>
        <v>#VALUE!</v>
      </c>
      <c r="W175" s="199" t="e">
        <f t="shared" ca="1" si="64"/>
        <v>#VALUE!</v>
      </c>
      <c r="X175" s="199" t="e">
        <f t="shared" ca="1" si="64"/>
        <v>#VALUE!</v>
      </c>
      <c r="Y175" s="199" t="e">
        <f t="shared" ca="1" si="64"/>
        <v>#VALUE!</v>
      </c>
      <c r="Z175" s="199" t="e">
        <f t="shared" ca="1" si="64"/>
        <v>#VALUE!</v>
      </c>
      <c r="AA175" s="199" t="e">
        <f t="shared" ca="1" si="65"/>
        <v>#VALUE!</v>
      </c>
      <c r="AB175" s="199" t="e">
        <f t="shared" ca="1" si="65"/>
        <v>#VALUE!</v>
      </c>
      <c r="AC175" s="199" t="e">
        <f t="shared" ca="1" si="65"/>
        <v>#VALUE!</v>
      </c>
      <c r="AD175" s="199" t="e">
        <f t="shared" ca="1" si="65"/>
        <v>#VALUE!</v>
      </c>
      <c r="AE175" s="199" t="e">
        <f t="shared" ca="1" si="65"/>
        <v>#VALUE!</v>
      </c>
      <c r="AF175" s="199" t="e">
        <f t="shared" ca="1" si="65"/>
        <v>#VALUE!</v>
      </c>
      <c r="AG175" s="199" t="e">
        <f t="shared" ca="1" si="65"/>
        <v>#VALUE!</v>
      </c>
      <c r="AH175" s="199" t="e">
        <f t="shared" ca="1" si="65"/>
        <v>#VALUE!</v>
      </c>
      <c r="AI175" s="199" t="e">
        <f t="shared" ca="1" si="65"/>
        <v>#VALUE!</v>
      </c>
      <c r="AJ175" s="199" t="e">
        <f t="shared" ca="1" si="65"/>
        <v>#VALUE!</v>
      </c>
      <c r="AK175" s="199" t="e">
        <f t="shared" ca="1" si="65"/>
        <v>#VALUE!</v>
      </c>
      <c r="AL175" s="199" t="e">
        <f t="shared" ca="1" si="65"/>
        <v>#VALUE!</v>
      </c>
      <c r="AM175" s="199" t="e">
        <f t="shared" ca="1" si="65"/>
        <v>#VALUE!</v>
      </c>
      <c r="AN175" s="199" t="e">
        <f t="shared" ca="1" si="65"/>
        <v>#VALUE!</v>
      </c>
      <c r="AO175" s="199" t="e">
        <f t="shared" ca="1" si="65"/>
        <v>#VALUE!</v>
      </c>
      <c r="AP175" s="199" t="e">
        <f t="shared" ca="1" si="65"/>
        <v>#VALUE!</v>
      </c>
    </row>
    <row r="176" spans="1:42">
      <c r="A176" s="61" t="str">
        <f>'[4]TS BYDem'!A115</f>
        <v>*</v>
      </c>
      <c r="B176" s="199" t="s">
        <v>288</v>
      </c>
      <c r="C176" s="199" t="s">
        <v>137</v>
      </c>
      <c r="D176" s="199" t="str">
        <f>'[4]TS BYDem'!D115</f>
        <v>INML</v>
      </c>
      <c r="E176" s="199" t="s">
        <v>137</v>
      </c>
      <c r="F176" s="199" t="s">
        <v>137</v>
      </c>
      <c r="G176" s="199" t="s">
        <v>137</v>
      </c>
      <c r="H176" s="199" t="s">
        <v>137</v>
      </c>
      <c r="I176" s="199">
        <v>0</v>
      </c>
      <c r="J176" s="199" t="str">
        <f>INDEX('[4]TS BYDem'!$J$10:$J$203,MATCH(D176,'[4]TS BYDem'!$D$10:$D$203,0))</f>
        <v/>
      </c>
      <c r="K176" s="199" t="e">
        <f t="shared" ca="1" si="64"/>
        <v>#VALUE!</v>
      </c>
      <c r="L176" s="199" t="e">
        <f t="shared" ca="1" si="64"/>
        <v>#VALUE!</v>
      </c>
      <c r="M176" s="199" t="e">
        <f t="shared" ca="1" si="64"/>
        <v>#VALUE!</v>
      </c>
      <c r="N176" s="199" t="e">
        <f t="shared" ca="1" si="64"/>
        <v>#VALUE!</v>
      </c>
      <c r="O176" s="199" t="e">
        <f t="shared" ca="1" si="64"/>
        <v>#VALUE!</v>
      </c>
      <c r="P176" s="199" t="e">
        <f t="shared" ca="1" si="64"/>
        <v>#VALUE!</v>
      </c>
      <c r="Q176" s="199" t="e">
        <f t="shared" ca="1" si="64"/>
        <v>#VALUE!</v>
      </c>
      <c r="R176" s="199" t="e">
        <f t="shared" ca="1" si="64"/>
        <v>#VALUE!</v>
      </c>
      <c r="S176" s="199" t="e">
        <f t="shared" ca="1" si="64"/>
        <v>#VALUE!</v>
      </c>
      <c r="T176" s="199" t="e">
        <f t="shared" ca="1" si="64"/>
        <v>#VALUE!</v>
      </c>
      <c r="U176" s="199" t="e">
        <f t="shared" ca="1" si="64"/>
        <v>#VALUE!</v>
      </c>
      <c r="V176" s="199" t="e">
        <f t="shared" ca="1" si="64"/>
        <v>#VALUE!</v>
      </c>
      <c r="W176" s="199" t="e">
        <f t="shared" ca="1" si="64"/>
        <v>#VALUE!</v>
      </c>
      <c r="X176" s="199" t="e">
        <f t="shared" ca="1" si="64"/>
        <v>#VALUE!</v>
      </c>
      <c r="Y176" s="199" t="e">
        <f t="shared" ca="1" si="64"/>
        <v>#VALUE!</v>
      </c>
      <c r="Z176" s="199" t="e">
        <f t="shared" ca="1" si="64"/>
        <v>#VALUE!</v>
      </c>
      <c r="AA176" s="199" t="e">
        <f t="shared" ca="1" si="65"/>
        <v>#VALUE!</v>
      </c>
      <c r="AB176" s="199" t="e">
        <f t="shared" ca="1" si="65"/>
        <v>#VALUE!</v>
      </c>
      <c r="AC176" s="199" t="e">
        <f t="shared" ca="1" si="65"/>
        <v>#VALUE!</v>
      </c>
      <c r="AD176" s="199" t="e">
        <f t="shared" ca="1" si="65"/>
        <v>#VALUE!</v>
      </c>
      <c r="AE176" s="199" t="e">
        <f t="shared" ca="1" si="65"/>
        <v>#VALUE!</v>
      </c>
      <c r="AF176" s="199" t="e">
        <f t="shared" ca="1" si="65"/>
        <v>#VALUE!</v>
      </c>
      <c r="AG176" s="199" t="e">
        <f t="shared" ca="1" si="65"/>
        <v>#VALUE!</v>
      </c>
      <c r="AH176" s="199" t="e">
        <f t="shared" ca="1" si="65"/>
        <v>#VALUE!</v>
      </c>
      <c r="AI176" s="199" t="e">
        <f t="shared" ca="1" si="65"/>
        <v>#VALUE!</v>
      </c>
      <c r="AJ176" s="199" t="e">
        <f t="shared" ca="1" si="65"/>
        <v>#VALUE!</v>
      </c>
      <c r="AK176" s="199" t="e">
        <f t="shared" ca="1" si="65"/>
        <v>#VALUE!</v>
      </c>
      <c r="AL176" s="199" t="e">
        <f t="shared" ca="1" si="65"/>
        <v>#VALUE!</v>
      </c>
      <c r="AM176" s="199" t="e">
        <f t="shared" ca="1" si="65"/>
        <v>#VALUE!</v>
      </c>
      <c r="AN176" s="199" t="e">
        <f t="shared" ca="1" si="65"/>
        <v>#VALUE!</v>
      </c>
      <c r="AO176" s="199" t="e">
        <f t="shared" ca="1" si="65"/>
        <v>#VALUE!</v>
      </c>
      <c r="AP176" s="199" t="e">
        <f t="shared" ca="1" si="65"/>
        <v>#VALUE!</v>
      </c>
    </row>
    <row r="177" spans="1:42">
      <c r="A177" s="61" t="str">
        <f>'[4]TS BYDem'!A116</f>
        <v>*</v>
      </c>
      <c r="B177" s="199" t="s">
        <v>288</v>
      </c>
      <c r="C177" s="199" t="s">
        <v>137</v>
      </c>
      <c r="D177" s="199" t="str">
        <f>'[4]TS BYDem'!D116</f>
        <v>INMC</v>
      </c>
      <c r="E177" s="199" t="s">
        <v>137</v>
      </c>
      <c r="F177" s="199" t="s">
        <v>137</v>
      </c>
      <c r="G177" s="199" t="s">
        <v>137</v>
      </c>
      <c r="H177" s="199" t="s">
        <v>137</v>
      </c>
      <c r="I177" s="199">
        <v>0</v>
      </c>
      <c r="J177" s="199" t="str">
        <f>INDEX('[4]TS BYDem'!$J$10:$J$203,MATCH(D177,'[4]TS BYDem'!$D$10:$D$203,0))</f>
        <v/>
      </c>
      <c r="K177" s="199" t="e">
        <f t="shared" ca="1" si="64"/>
        <v>#VALUE!</v>
      </c>
      <c r="L177" s="199" t="e">
        <f t="shared" ca="1" si="64"/>
        <v>#VALUE!</v>
      </c>
      <c r="M177" s="199" t="e">
        <f t="shared" ca="1" si="64"/>
        <v>#VALUE!</v>
      </c>
      <c r="N177" s="199" t="e">
        <f t="shared" ca="1" si="64"/>
        <v>#VALUE!</v>
      </c>
      <c r="O177" s="199" t="e">
        <f t="shared" ca="1" si="64"/>
        <v>#VALUE!</v>
      </c>
      <c r="P177" s="199" t="e">
        <f t="shared" ca="1" si="64"/>
        <v>#VALUE!</v>
      </c>
      <c r="Q177" s="199" t="e">
        <f t="shared" ca="1" si="64"/>
        <v>#VALUE!</v>
      </c>
      <c r="R177" s="199" t="e">
        <f t="shared" ca="1" si="64"/>
        <v>#VALUE!</v>
      </c>
      <c r="S177" s="199" t="e">
        <f t="shared" ca="1" si="64"/>
        <v>#VALUE!</v>
      </c>
      <c r="T177" s="199" t="e">
        <f t="shared" ca="1" si="64"/>
        <v>#VALUE!</v>
      </c>
      <c r="U177" s="199" t="e">
        <f t="shared" ca="1" si="64"/>
        <v>#VALUE!</v>
      </c>
      <c r="V177" s="199" t="e">
        <f t="shared" ca="1" si="64"/>
        <v>#VALUE!</v>
      </c>
      <c r="W177" s="199" t="e">
        <f t="shared" ca="1" si="64"/>
        <v>#VALUE!</v>
      </c>
      <c r="X177" s="199" t="e">
        <f t="shared" ca="1" si="64"/>
        <v>#VALUE!</v>
      </c>
      <c r="Y177" s="199" t="e">
        <f t="shared" ca="1" si="64"/>
        <v>#VALUE!</v>
      </c>
      <c r="Z177" s="199" t="e">
        <f t="shared" ca="1" si="64"/>
        <v>#VALUE!</v>
      </c>
      <c r="AA177" s="199" t="e">
        <f t="shared" ca="1" si="65"/>
        <v>#VALUE!</v>
      </c>
      <c r="AB177" s="199" t="e">
        <f t="shared" ca="1" si="65"/>
        <v>#VALUE!</v>
      </c>
      <c r="AC177" s="199" t="e">
        <f t="shared" ca="1" si="65"/>
        <v>#VALUE!</v>
      </c>
      <c r="AD177" s="199" t="e">
        <f t="shared" ca="1" si="65"/>
        <v>#VALUE!</v>
      </c>
      <c r="AE177" s="199" t="e">
        <f t="shared" ca="1" si="65"/>
        <v>#VALUE!</v>
      </c>
      <c r="AF177" s="199" t="e">
        <f t="shared" ca="1" si="65"/>
        <v>#VALUE!</v>
      </c>
      <c r="AG177" s="199" t="e">
        <f t="shared" ca="1" si="65"/>
        <v>#VALUE!</v>
      </c>
      <c r="AH177" s="199" t="e">
        <f t="shared" ca="1" si="65"/>
        <v>#VALUE!</v>
      </c>
      <c r="AI177" s="199" t="e">
        <f t="shared" ca="1" si="65"/>
        <v>#VALUE!</v>
      </c>
      <c r="AJ177" s="199" t="e">
        <f t="shared" ca="1" si="65"/>
        <v>#VALUE!</v>
      </c>
      <c r="AK177" s="199" t="e">
        <f t="shared" ca="1" si="65"/>
        <v>#VALUE!</v>
      </c>
      <c r="AL177" s="199" t="e">
        <f t="shared" ca="1" si="65"/>
        <v>#VALUE!</v>
      </c>
      <c r="AM177" s="199" t="e">
        <f t="shared" ca="1" si="65"/>
        <v>#VALUE!</v>
      </c>
      <c r="AN177" s="199" t="e">
        <f t="shared" ca="1" si="65"/>
        <v>#VALUE!</v>
      </c>
      <c r="AO177" s="199" t="e">
        <f t="shared" ca="1" si="65"/>
        <v>#VALUE!</v>
      </c>
      <c r="AP177" s="199" t="e">
        <f t="shared" ca="1" si="65"/>
        <v>#VALUE!</v>
      </c>
    </row>
    <row r="178" spans="1:42">
      <c r="A178" s="61" t="str">
        <f>'[4]TS BYDem'!A117</f>
        <v>*</v>
      </c>
      <c r="B178" s="199" t="s">
        <v>288</v>
      </c>
      <c r="C178" s="199" t="s">
        <v>137</v>
      </c>
      <c r="D178" s="199" t="str">
        <f>'[4]TS BYDem'!D117</f>
        <v>INMH</v>
      </c>
      <c r="E178" s="199" t="s">
        <v>137</v>
      </c>
      <c r="F178" s="199" t="s">
        <v>137</v>
      </c>
      <c r="G178" s="199" t="s">
        <v>137</v>
      </c>
      <c r="H178" s="199" t="s">
        <v>137</v>
      </c>
      <c r="I178" s="199">
        <v>0</v>
      </c>
      <c r="J178" s="199" t="str">
        <f>INDEX('[4]TS BYDem'!$J$10:$J$203,MATCH(D178,'[4]TS BYDem'!$D$10:$D$203,0))</f>
        <v/>
      </c>
      <c r="K178" s="199" t="e">
        <f t="shared" ca="1" si="64"/>
        <v>#VALUE!</v>
      </c>
      <c r="L178" s="199" t="e">
        <f t="shared" ca="1" si="64"/>
        <v>#VALUE!</v>
      </c>
      <c r="M178" s="199" t="e">
        <f t="shared" ca="1" si="64"/>
        <v>#VALUE!</v>
      </c>
      <c r="N178" s="199" t="e">
        <f t="shared" ca="1" si="64"/>
        <v>#VALUE!</v>
      </c>
      <c r="O178" s="199" t="e">
        <f t="shared" ca="1" si="64"/>
        <v>#VALUE!</v>
      </c>
      <c r="P178" s="199" t="e">
        <f t="shared" ca="1" si="64"/>
        <v>#VALUE!</v>
      </c>
      <c r="Q178" s="199" t="e">
        <f t="shared" ca="1" si="64"/>
        <v>#VALUE!</v>
      </c>
      <c r="R178" s="199" t="e">
        <f t="shared" ca="1" si="64"/>
        <v>#VALUE!</v>
      </c>
      <c r="S178" s="199" t="e">
        <f t="shared" ca="1" si="64"/>
        <v>#VALUE!</v>
      </c>
      <c r="T178" s="199" t="e">
        <f t="shared" ca="1" si="64"/>
        <v>#VALUE!</v>
      </c>
      <c r="U178" s="199" t="e">
        <f t="shared" ca="1" si="64"/>
        <v>#VALUE!</v>
      </c>
      <c r="V178" s="199" t="e">
        <f t="shared" ca="1" si="64"/>
        <v>#VALUE!</v>
      </c>
      <c r="W178" s="199" t="e">
        <f t="shared" ca="1" si="64"/>
        <v>#VALUE!</v>
      </c>
      <c r="X178" s="199" t="e">
        <f t="shared" ca="1" si="64"/>
        <v>#VALUE!</v>
      </c>
      <c r="Y178" s="199" t="e">
        <f t="shared" ca="1" si="64"/>
        <v>#VALUE!</v>
      </c>
      <c r="Z178" s="199" t="e">
        <f t="shared" ca="1" si="64"/>
        <v>#VALUE!</v>
      </c>
      <c r="AA178" s="199" t="e">
        <f t="shared" ca="1" si="65"/>
        <v>#VALUE!</v>
      </c>
      <c r="AB178" s="199" t="e">
        <f t="shared" ca="1" si="65"/>
        <v>#VALUE!</v>
      </c>
      <c r="AC178" s="199" t="e">
        <f t="shared" ca="1" si="65"/>
        <v>#VALUE!</v>
      </c>
      <c r="AD178" s="199" t="e">
        <f t="shared" ca="1" si="65"/>
        <v>#VALUE!</v>
      </c>
      <c r="AE178" s="199" t="e">
        <f t="shared" ca="1" si="65"/>
        <v>#VALUE!</v>
      </c>
      <c r="AF178" s="199" t="e">
        <f t="shared" ca="1" si="65"/>
        <v>#VALUE!</v>
      </c>
      <c r="AG178" s="199" t="e">
        <f t="shared" ca="1" si="65"/>
        <v>#VALUE!</v>
      </c>
      <c r="AH178" s="199" t="e">
        <f t="shared" ca="1" si="65"/>
        <v>#VALUE!</v>
      </c>
      <c r="AI178" s="199" t="e">
        <f t="shared" ca="1" si="65"/>
        <v>#VALUE!</v>
      </c>
      <c r="AJ178" s="199" t="e">
        <f t="shared" ca="1" si="65"/>
        <v>#VALUE!</v>
      </c>
      <c r="AK178" s="199" t="e">
        <f t="shared" ca="1" si="65"/>
        <v>#VALUE!</v>
      </c>
      <c r="AL178" s="199" t="e">
        <f t="shared" ca="1" si="65"/>
        <v>#VALUE!</v>
      </c>
      <c r="AM178" s="199" t="e">
        <f t="shared" ca="1" si="65"/>
        <v>#VALUE!</v>
      </c>
      <c r="AN178" s="199" t="e">
        <f t="shared" ca="1" si="65"/>
        <v>#VALUE!</v>
      </c>
      <c r="AO178" s="199" t="e">
        <f t="shared" ca="1" si="65"/>
        <v>#VALUE!</v>
      </c>
      <c r="AP178" s="199" t="e">
        <f t="shared" ca="1" si="65"/>
        <v>#VALUE!</v>
      </c>
    </row>
    <row r="179" spans="1:42">
      <c r="A179" s="61" t="str">
        <f>'[4]TS BYDem'!A118</f>
        <v>*</v>
      </c>
      <c r="B179" s="199" t="s">
        <v>288</v>
      </c>
      <c r="C179" s="199" t="s">
        <v>137</v>
      </c>
      <c r="D179" s="199" t="str">
        <f>'[4]TS BYDem'!D118</f>
        <v>INMP</v>
      </c>
      <c r="E179" s="199" t="s">
        <v>137</v>
      </c>
      <c r="F179" s="199" t="s">
        <v>137</v>
      </c>
      <c r="G179" s="199" t="s">
        <v>137</v>
      </c>
      <c r="H179" s="199" t="s">
        <v>137</v>
      </c>
      <c r="I179" s="199">
        <v>0</v>
      </c>
      <c r="J179" s="199" t="str">
        <f>INDEX('[4]TS BYDem'!$J$10:$J$203,MATCH(D179,'[4]TS BYDem'!$D$10:$D$203,0))</f>
        <v/>
      </c>
      <c r="K179" s="199" t="e">
        <f t="shared" ca="1" si="64"/>
        <v>#VALUE!</v>
      </c>
      <c r="L179" s="199" t="e">
        <f t="shared" ca="1" si="64"/>
        <v>#VALUE!</v>
      </c>
      <c r="M179" s="199" t="e">
        <f t="shared" ca="1" si="64"/>
        <v>#VALUE!</v>
      </c>
      <c r="N179" s="199" t="e">
        <f t="shared" ca="1" si="64"/>
        <v>#VALUE!</v>
      </c>
      <c r="O179" s="199" t="e">
        <f t="shared" ca="1" si="64"/>
        <v>#VALUE!</v>
      </c>
      <c r="P179" s="199" t="e">
        <f t="shared" ca="1" si="64"/>
        <v>#VALUE!</v>
      </c>
      <c r="Q179" s="199" t="e">
        <f t="shared" ca="1" si="64"/>
        <v>#VALUE!</v>
      </c>
      <c r="R179" s="199" t="e">
        <f t="shared" ca="1" si="64"/>
        <v>#VALUE!</v>
      </c>
      <c r="S179" s="199" t="e">
        <f t="shared" ca="1" si="64"/>
        <v>#VALUE!</v>
      </c>
      <c r="T179" s="199" t="e">
        <f t="shared" ca="1" si="64"/>
        <v>#VALUE!</v>
      </c>
      <c r="U179" s="199" t="e">
        <f t="shared" ca="1" si="64"/>
        <v>#VALUE!</v>
      </c>
      <c r="V179" s="199" t="e">
        <f t="shared" ca="1" si="64"/>
        <v>#VALUE!</v>
      </c>
      <c r="W179" s="199" t="e">
        <f t="shared" ca="1" si="64"/>
        <v>#VALUE!</v>
      </c>
      <c r="X179" s="199" t="e">
        <f t="shared" ca="1" si="64"/>
        <v>#VALUE!</v>
      </c>
      <c r="Y179" s="199" t="e">
        <f t="shared" ca="1" si="64"/>
        <v>#VALUE!</v>
      </c>
      <c r="Z179" s="199" t="e">
        <f t="shared" ca="1" si="64"/>
        <v>#VALUE!</v>
      </c>
      <c r="AA179" s="199" t="e">
        <f t="shared" ca="1" si="65"/>
        <v>#VALUE!</v>
      </c>
      <c r="AB179" s="199" t="e">
        <f t="shared" ca="1" si="65"/>
        <v>#VALUE!</v>
      </c>
      <c r="AC179" s="199" t="e">
        <f t="shared" ca="1" si="65"/>
        <v>#VALUE!</v>
      </c>
      <c r="AD179" s="199" t="e">
        <f t="shared" ca="1" si="65"/>
        <v>#VALUE!</v>
      </c>
      <c r="AE179" s="199" t="e">
        <f t="shared" ca="1" si="65"/>
        <v>#VALUE!</v>
      </c>
      <c r="AF179" s="199" t="e">
        <f t="shared" ca="1" si="65"/>
        <v>#VALUE!</v>
      </c>
      <c r="AG179" s="199" t="e">
        <f t="shared" ca="1" si="65"/>
        <v>#VALUE!</v>
      </c>
      <c r="AH179" s="199" t="e">
        <f t="shared" ca="1" si="65"/>
        <v>#VALUE!</v>
      </c>
      <c r="AI179" s="199" t="e">
        <f t="shared" ca="1" si="65"/>
        <v>#VALUE!</v>
      </c>
      <c r="AJ179" s="199" t="e">
        <f t="shared" ca="1" si="65"/>
        <v>#VALUE!</v>
      </c>
      <c r="AK179" s="199" t="e">
        <f t="shared" ca="1" si="65"/>
        <v>#VALUE!</v>
      </c>
      <c r="AL179" s="199" t="e">
        <f t="shared" ca="1" si="65"/>
        <v>#VALUE!</v>
      </c>
      <c r="AM179" s="199" t="e">
        <f t="shared" ca="1" si="65"/>
        <v>#VALUE!</v>
      </c>
      <c r="AN179" s="199" t="e">
        <f t="shared" ca="1" si="65"/>
        <v>#VALUE!</v>
      </c>
      <c r="AO179" s="199" t="e">
        <f t="shared" ca="1" si="65"/>
        <v>#VALUE!</v>
      </c>
      <c r="AP179" s="199" t="e">
        <f t="shared" ca="1" si="65"/>
        <v>#VALUE!</v>
      </c>
    </row>
    <row r="180" spans="1:42">
      <c r="A180" s="61" t="str">
        <f>'[4]TS BYDem'!A119</f>
        <v>*</v>
      </c>
      <c r="B180" s="199" t="s">
        <v>288</v>
      </c>
      <c r="C180" s="199" t="s">
        <v>137</v>
      </c>
      <c r="D180" s="199" t="str">
        <f>'[4]TS BYDem'!D119</f>
        <v>INMF</v>
      </c>
      <c r="E180" s="199" t="s">
        <v>137</v>
      </c>
      <c r="F180" s="199" t="s">
        <v>137</v>
      </c>
      <c r="G180" s="199" t="s">
        <v>137</v>
      </c>
      <c r="H180" s="199" t="s">
        <v>137</v>
      </c>
      <c r="I180" s="199">
        <v>0</v>
      </c>
      <c r="J180" s="199" t="str">
        <f>INDEX('[4]TS BYDem'!$J$10:$J$203,MATCH(D180,'[4]TS BYDem'!$D$10:$D$203,0))</f>
        <v/>
      </c>
      <c r="K180" s="199" t="e">
        <f t="shared" ca="1" si="64"/>
        <v>#VALUE!</v>
      </c>
      <c r="L180" s="199" t="e">
        <f t="shared" ca="1" si="64"/>
        <v>#VALUE!</v>
      </c>
      <c r="M180" s="199" t="e">
        <f t="shared" ca="1" si="64"/>
        <v>#VALUE!</v>
      </c>
      <c r="N180" s="199" t="e">
        <f t="shared" ca="1" si="64"/>
        <v>#VALUE!</v>
      </c>
      <c r="O180" s="199" t="e">
        <f t="shared" ca="1" si="64"/>
        <v>#VALUE!</v>
      </c>
      <c r="P180" s="199" t="e">
        <f t="shared" ca="1" si="64"/>
        <v>#VALUE!</v>
      </c>
      <c r="Q180" s="199" t="e">
        <f t="shared" ca="1" si="64"/>
        <v>#VALUE!</v>
      </c>
      <c r="R180" s="199" t="e">
        <f t="shared" ca="1" si="64"/>
        <v>#VALUE!</v>
      </c>
      <c r="S180" s="199" t="e">
        <f t="shared" ca="1" si="64"/>
        <v>#VALUE!</v>
      </c>
      <c r="T180" s="199" t="e">
        <f t="shared" ca="1" si="64"/>
        <v>#VALUE!</v>
      </c>
      <c r="U180" s="199" t="e">
        <f t="shared" ca="1" si="64"/>
        <v>#VALUE!</v>
      </c>
      <c r="V180" s="199" t="e">
        <f t="shared" ca="1" si="64"/>
        <v>#VALUE!</v>
      </c>
      <c r="W180" s="199" t="e">
        <f t="shared" ca="1" si="64"/>
        <v>#VALUE!</v>
      </c>
      <c r="X180" s="199" t="e">
        <f t="shared" ca="1" si="64"/>
        <v>#VALUE!</v>
      </c>
      <c r="Y180" s="199" t="e">
        <f t="shared" ca="1" si="64"/>
        <v>#VALUE!</v>
      </c>
      <c r="Z180" s="199" t="e">
        <f t="shared" ca="1" si="64"/>
        <v>#VALUE!</v>
      </c>
      <c r="AA180" s="199" t="e">
        <f t="shared" ca="1" si="65"/>
        <v>#VALUE!</v>
      </c>
      <c r="AB180" s="199" t="e">
        <f t="shared" ca="1" si="65"/>
        <v>#VALUE!</v>
      </c>
      <c r="AC180" s="199" t="e">
        <f t="shared" ca="1" si="65"/>
        <v>#VALUE!</v>
      </c>
      <c r="AD180" s="199" t="e">
        <f t="shared" ca="1" si="65"/>
        <v>#VALUE!</v>
      </c>
      <c r="AE180" s="199" t="e">
        <f t="shared" ca="1" si="65"/>
        <v>#VALUE!</v>
      </c>
      <c r="AF180" s="199" t="e">
        <f t="shared" ca="1" si="65"/>
        <v>#VALUE!</v>
      </c>
      <c r="AG180" s="199" t="e">
        <f t="shared" ca="1" si="65"/>
        <v>#VALUE!</v>
      </c>
      <c r="AH180" s="199" t="e">
        <f t="shared" ca="1" si="65"/>
        <v>#VALUE!</v>
      </c>
      <c r="AI180" s="199" t="e">
        <f t="shared" ca="1" si="65"/>
        <v>#VALUE!</v>
      </c>
      <c r="AJ180" s="199" t="e">
        <f t="shared" ca="1" si="65"/>
        <v>#VALUE!</v>
      </c>
      <c r="AK180" s="199" t="e">
        <f t="shared" ca="1" si="65"/>
        <v>#VALUE!</v>
      </c>
      <c r="AL180" s="199" t="e">
        <f t="shared" ca="1" si="65"/>
        <v>#VALUE!</v>
      </c>
      <c r="AM180" s="199" t="e">
        <f t="shared" ca="1" si="65"/>
        <v>#VALUE!</v>
      </c>
      <c r="AN180" s="199" t="e">
        <f t="shared" ca="1" si="65"/>
        <v>#VALUE!</v>
      </c>
      <c r="AO180" s="199" t="e">
        <f t="shared" ca="1" si="65"/>
        <v>#VALUE!</v>
      </c>
      <c r="AP180" s="199" t="e">
        <f t="shared" ca="1" si="65"/>
        <v>#VALUE!</v>
      </c>
    </row>
    <row r="181" spans="1:42">
      <c r="A181" s="61" t="str">
        <f>'[4]TS BYDem'!A120</f>
        <v>*</v>
      </c>
      <c r="B181" s="199" t="s">
        <v>288</v>
      </c>
      <c r="C181" s="199" t="s">
        <v>137</v>
      </c>
      <c r="D181" s="199" t="str">
        <f>'[4]TS BYDem'!D120</f>
        <v>INMO</v>
      </c>
      <c r="E181" s="199" t="s">
        <v>137</v>
      </c>
      <c r="F181" s="199" t="s">
        <v>137</v>
      </c>
      <c r="G181" s="199" t="s">
        <v>137</v>
      </c>
      <c r="H181" s="199" t="s">
        <v>137</v>
      </c>
      <c r="I181" s="199">
        <v>0</v>
      </c>
      <c r="J181" s="199" t="str">
        <f>INDEX('[4]TS BYDem'!$J$10:$J$203,MATCH(D181,'[4]TS BYDem'!$D$10:$D$203,0))</f>
        <v/>
      </c>
      <c r="K181" s="199" t="e">
        <f t="shared" ca="1" si="64"/>
        <v>#VALUE!</v>
      </c>
      <c r="L181" s="199" t="e">
        <f t="shared" ca="1" si="64"/>
        <v>#VALUE!</v>
      </c>
      <c r="M181" s="199" t="e">
        <f t="shared" ca="1" si="64"/>
        <v>#VALUE!</v>
      </c>
      <c r="N181" s="199" t="e">
        <f t="shared" ca="1" si="64"/>
        <v>#VALUE!</v>
      </c>
      <c r="O181" s="199" t="e">
        <f t="shared" ca="1" si="64"/>
        <v>#VALUE!</v>
      </c>
      <c r="P181" s="199" t="e">
        <f t="shared" ca="1" si="64"/>
        <v>#VALUE!</v>
      </c>
      <c r="Q181" s="199" t="e">
        <f t="shared" ca="1" si="64"/>
        <v>#VALUE!</v>
      </c>
      <c r="R181" s="199" t="e">
        <f t="shared" ca="1" si="64"/>
        <v>#VALUE!</v>
      </c>
      <c r="S181" s="199" t="e">
        <f t="shared" ca="1" si="64"/>
        <v>#VALUE!</v>
      </c>
      <c r="T181" s="199" t="e">
        <f t="shared" ca="1" si="64"/>
        <v>#VALUE!</v>
      </c>
      <c r="U181" s="199" t="e">
        <f t="shared" ca="1" si="64"/>
        <v>#VALUE!</v>
      </c>
      <c r="V181" s="199" t="e">
        <f t="shared" ca="1" si="64"/>
        <v>#VALUE!</v>
      </c>
      <c r="W181" s="199" t="e">
        <f t="shared" ca="1" si="64"/>
        <v>#VALUE!</v>
      </c>
      <c r="X181" s="199" t="e">
        <f t="shared" ca="1" si="64"/>
        <v>#VALUE!</v>
      </c>
      <c r="Y181" s="199" t="e">
        <f t="shared" ca="1" si="64"/>
        <v>#VALUE!</v>
      </c>
      <c r="Z181" s="199" t="e">
        <f t="shared" ca="1" si="64"/>
        <v>#VALUE!</v>
      </c>
      <c r="AA181" s="199" t="e">
        <f t="shared" ca="1" si="65"/>
        <v>#VALUE!</v>
      </c>
      <c r="AB181" s="199" t="e">
        <f t="shared" ca="1" si="65"/>
        <v>#VALUE!</v>
      </c>
      <c r="AC181" s="199" t="e">
        <f t="shared" ca="1" si="65"/>
        <v>#VALUE!</v>
      </c>
      <c r="AD181" s="199" t="e">
        <f t="shared" ca="1" si="65"/>
        <v>#VALUE!</v>
      </c>
      <c r="AE181" s="199" t="e">
        <f t="shared" ca="1" si="65"/>
        <v>#VALUE!</v>
      </c>
      <c r="AF181" s="199" t="e">
        <f t="shared" ca="1" si="65"/>
        <v>#VALUE!</v>
      </c>
      <c r="AG181" s="199" t="e">
        <f t="shared" ca="1" si="65"/>
        <v>#VALUE!</v>
      </c>
      <c r="AH181" s="199" t="e">
        <f t="shared" ca="1" si="65"/>
        <v>#VALUE!</v>
      </c>
      <c r="AI181" s="199" t="e">
        <f t="shared" ca="1" si="65"/>
        <v>#VALUE!</v>
      </c>
      <c r="AJ181" s="199" t="e">
        <f t="shared" ca="1" si="65"/>
        <v>#VALUE!</v>
      </c>
      <c r="AK181" s="199" t="e">
        <f t="shared" ca="1" si="65"/>
        <v>#VALUE!</v>
      </c>
      <c r="AL181" s="199" t="e">
        <f t="shared" ca="1" si="65"/>
        <v>#VALUE!</v>
      </c>
      <c r="AM181" s="199" t="e">
        <f t="shared" ca="1" si="65"/>
        <v>#VALUE!</v>
      </c>
      <c r="AN181" s="199" t="e">
        <f t="shared" ca="1" si="65"/>
        <v>#VALUE!</v>
      </c>
      <c r="AO181" s="199" t="e">
        <f t="shared" ca="1" si="65"/>
        <v>#VALUE!</v>
      </c>
      <c r="AP181" s="199" t="e">
        <f t="shared" ca="1" si="65"/>
        <v>#VALUE!</v>
      </c>
    </row>
    <row r="182" spans="1:42">
      <c r="A182" s="61" t="str">
        <f>'[4]TS BYDem'!A121</f>
        <v>*</v>
      </c>
      <c r="B182" s="199" t="s">
        <v>288</v>
      </c>
      <c r="C182" s="199" t="s">
        <v>137</v>
      </c>
      <c r="D182" s="199" t="str">
        <f>'[4]TS BYDem'!D121</f>
        <v>INME</v>
      </c>
      <c r="E182" s="199" t="s">
        <v>137</v>
      </c>
      <c r="F182" s="199" t="s">
        <v>137</v>
      </c>
      <c r="G182" s="199" t="s">
        <v>137</v>
      </c>
      <c r="H182" s="199" t="s">
        <v>137</v>
      </c>
      <c r="I182" s="199">
        <v>0</v>
      </c>
      <c r="J182" s="199" t="str">
        <f>INDEX('[4]TS BYDem'!$J$10:$J$203,MATCH(D182,'[4]TS BYDem'!$D$10:$D$203,0))</f>
        <v/>
      </c>
      <c r="K182" s="199" t="e">
        <f t="shared" ca="1" si="64"/>
        <v>#VALUE!</v>
      </c>
      <c r="L182" s="199" t="e">
        <f t="shared" ca="1" si="64"/>
        <v>#VALUE!</v>
      </c>
      <c r="M182" s="199" t="e">
        <f t="shared" ca="1" si="64"/>
        <v>#VALUE!</v>
      </c>
      <c r="N182" s="199" t="e">
        <f t="shared" ca="1" si="64"/>
        <v>#VALUE!</v>
      </c>
      <c r="O182" s="199" t="e">
        <f t="shared" ca="1" si="64"/>
        <v>#VALUE!</v>
      </c>
      <c r="P182" s="199" t="e">
        <f t="shared" ca="1" si="64"/>
        <v>#VALUE!</v>
      </c>
      <c r="Q182" s="199" t="e">
        <f t="shared" ca="1" si="64"/>
        <v>#VALUE!</v>
      </c>
      <c r="R182" s="199" t="e">
        <f t="shared" ca="1" si="64"/>
        <v>#VALUE!</v>
      </c>
      <c r="S182" s="199" t="e">
        <f t="shared" ca="1" si="64"/>
        <v>#VALUE!</v>
      </c>
      <c r="T182" s="199" t="e">
        <f t="shared" ca="1" si="64"/>
        <v>#VALUE!</v>
      </c>
      <c r="U182" s="199" t="e">
        <f t="shared" ca="1" si="64"/>
        <v>#VALUE!</v>
      </c>
      <c r="V182" s="199" t="e">
        <f t="shared" ca="1" si="64"/>
        <v>#VALUE!</v>
      </c>
      <c r="W182" s="199" t="e">
        <f t="shared" ca="1" si="64"/>
        <v>#VALUE!</v>
      </c>
      <c r="X182" s="199" t="e">
        <f t="shared" ca="1" si="64"/>
        <v>#VALUE!</v>
      </c>
      <c r="Y182" s="199" t="e">
        <f t="shared" ca="1" si="64"/>
        <v>#VALUE!</v>
      </c>
      <c r="Z182" s="199" t="e">
        <f t="shared" ca="1" si="64"/>
        <v>#VALUE!</v>
      </c>
      <c r="AA182" s="199" t="e">
        <f t="shared" ca="1" si="65"/>
        <v>#VALUE!</v>
      </c>
      <c r="AB182" s="199" t="e">
        <f t="shared" ca="1" si="65"/>
        <v>#VALUE!</v>
      </c>
      <c r="AC182" s="199" t="e">
        <f t="shared" ca="1" si="65"/>
        <v>#VALUE!</v>
      </c>
      <c r="AD182" s="199" t="e">
        <f t="shared" ca="1" si="65"/>
        <v>#VALUE!</v>
      </c>
      <c r="AE182" s="199" t="e">
        <f t="shared" ca="1" si="65"/>
        <v>#VALUE!</v>
      </c>
      <c r="AF182" s="199" t="e">
        <f t="shared" ca="1" si="65"/>
        <v>#VALUE!</v>
      </c>
      <c r="AG182" s="199" t="e">
        <f t="shared" ca="1" si="65"/>
        <v>#VALUE!</v>
      </c>
      <c r="AH182" s="199" t="e">
        <f t="shared" ca="1" si="65"/>
        <v>#VALUE!</v>
      </c>
      <c r="AI182" s="199" t="e">
        <f t="shared" ca="1" si="65"/>
        <v>#VALUE!</v>
      </c>
      <c r="AJ182" s="199" t="e">
        <f t="shared" ca="1" si="65"/>
        <v>#VALUE!</v>
      </c>
      <c r="AK182" s="199" t="e">
        <f t="shared" ca="1" si="65"/>
        <v>#VALUE!</v>
      </c>
      <c r="AL182" s="199" t="e">
        <f t="shared" ca="1" si="65"/>
        <v>#VALUE!</v>
      </c>
      <c r="AM182" s="199" t="e">
        <f t="shared" ca="1" si="65"/>
        <v>#VALUE!</v>
      </c>
      <c r="AN182" s="199" t="e">
        <f t="shared" ca="1" si="65"/>
        <v>#VALUE!</v>
      </c>
      <c r="AO182" s="199" t="e">
        <f t="shared" ca="1" si="65"/>
        <v>#VALUE!</v>
      </c>
      <c r="AP182" s="199" t="e">
        <f t="shared" ca="1" si="65"/>
        <v>#VALUE!</v>
      </c>
    </row>
    <row r="183" spans="1:42">
      <c r="A183" s="61" t="str">
        <f>'[4]TS BYDem'!A122</f>
        <v>*</v>
      </c>
      <c r="B183" s="199" t="s">
        <v>288</v>
      </c>
      <c r="C183" s="199" t="s">
        <v>137</v>
      </c>
      <c r="D183" s="199" t="str">
        <f>'[4]TS BYDem'!D122</f>
        <v xml:space="preserve"> </v>
      </c>
      <c r="E183" s="199" t="s">
        <v>137</v>
      </c>
      <c r="F183" s="199" t="s">
        <v>137</v>
      </c>
      <c r="G183" s="199" t="s">
        <v>137</v>
      </c>
      <c r="H183" s="199" t="s">
        <v>137</v>
      </c>
      <c r="I183" s="199">
        <v>0</v>
      </c>
      <c r="J183" s="199" t="str">
        <f>INDEX('[4]TS BYDem'!$J$10:$J$203,MATCH(D183,'[4]TS BYDem'!$D$10:$D$203,0))</f>
        <v/>
      </c>
      <c r="K183" s="199" t="e">
        <f t="shared" ca="1" si="64"/>
        <v>#VALUE!</v>
      </c>
      <c r="L183" s="199" t="e">
        <f t="shared" ca="1" si="64"/>
        <v>#VALUE!</v>
      </c>
      <c r="M183" s="199" t="e">
        <f t="shared" ca="1" si="64"/>
        <v>#VALUE!</v>
      </c>
      <c r="N183" s="199" t="e">
        <f t="shared" ca="1" si="64"/>
        <v>#VALUE!</v>
      </c>
      <c r="O183" s="199" t="e">
        <f t="shared" ca="1" si="64"/>
        <v>#VALUE!</v>
      </c>
      <c r="P183" s="199" t="e">
        <f t="shared" ca="1" si="64"/>
        <v>#VALUE!</v>
      </c>
      <c r="Q183" s="199" t="e">
        <f t="shared" ca="1" si="64"/>
        <v>#VALUE!</v>
      </c>
      <c r="R183" s="199" t="e">
        <f t="shared" ca="1" si="64"/>
        <v>#VALUE!</v>
      </c>
      <c r="S183" s="199" t="e">
        <f t="shared" ca="1" si="64"/>
        <v>#VALUE!</v>
      </c>
      <c r="T183" s="199" t="e">
        <f t="shared" ca="1" si="64"/>
        <v>#VALUE!</v>
      </c>
      <c r="U183" s="199" t="e">
        <f t="shared" ca="1" si="64"/>
        <v>#VALUE!</v>
      </c>
      <c r="V183" s="199" t="e">
        <f t="shared" ca="1" si="64"/>
        <v>#VALUE!</v>
      </c>
      <c r="W183" s="199" t="e">
        <f t="shared" ca="1" si="64"/>
        <v>#VALUE!</v>
      </c>
      <c r="X183" s="199" t="e">
        <f t="shared" ca="1" si="64"/>
        <v>#VALUE!</v>
      </c>
      <c r="Y183" s="199" t="e">
        <f t="shared" ca="1" si="64"/>
        <v>#VALUE!</v>
      </c>
      <c r="Z183" s="199" t="e">
        <f t="shared" ca="1" si="64"/>
        <v>#VALUE!</v>
      </c>
      <c r="AA183" s="199" t="e">
        <f t="shared" ca="1" si="65"/>
        <v>#VALUE!</v>
      </c>
      <c r="AB183" s="199" t="e">
        <f t="shared" ca="1" si="65"/>
        <v>#VALUE!</v>
      </c>
      <c r="AC183" s="199" t="e">
        <f t="shared" ca="1" si="65"/>
        <v>#VALUE!</v>
      </c>
      <c r="AD183" s="199" t="e">
        <f t="shared" ca="1" si="65"/>
        <v>#VALUE!</v>
      </c>
      <c r="AE183" s="199" t="e">
        <f t="shared" ca="1" si="65"/>
        <v>#VALUE!</v>
      </c>
      <c r="AF183" s="199" t="e">
        <f t="shared" ca="1" si="65"/>
        <v>#VALUE!</v>
      </c>
      <c r="AG183" s="199" t="e">
        <f t="shared" ca="1" si="65"/>
        <v>#VALUE!</v>
      </c>
      <c r="AH183" s="199" t="e">
        <f t="shared" ca="1" si="65"/>
        <v>#VALUE!</v>
      </c>
      <c r="AI183" s="199" t="e">
        <f t="shared" ca="1" si="65"/>
        <v>#VALUE!</v>
      </c>
      <c r="AJ183" s="199" t="e">
        <f t="shared" ca="1" si="65"/>
        <v>#VALUE!</v>
      </c>
      <c r="AK183" s="199" t="e">
        <f t="shared" ca="1" si="65"/>
        <v>#VALUE!</v>
      </c>
      <c r="AL183" s="199" t="e">
        <f t="shared" ca="1" si="65"/>
        <v>#VALUE!</v>
      </c>
      <c r="AM183" s="199" t="e">
        <f t="shared" ca="1" si="65"/>
        <v>#VALUE!</v>
      </c>
      <c r="AN183" s="199" t="e">
        <f t="shared" ca="1" si="65"/>
        <v>#VALUE!</v>
      </c>
      <c r="AO183" s="199" t="e">
        <f t="shared" ca="1" si="65"/>
        <v>#VALUE!</v>
      </c>
      <c r="AP183" s="199" t="e">
        <f t="shared" ca="1" si="65"/>
        <v>#VALUE!</v>
      </c>
    </row>
    <row r="184" spans="1:42">
      <c r="A184" s="61" t="str">
        <f>'[4]TS BYDem'!A123</f>
        <v>*</v>
      </c>
      <c r="B184" s="199" t="s">
        <v>288</v>
      </c>
      <c r="C184" s="199" t="s">
        <v>137</v>
      </c>
      <c r="D184" s="199" t="str">
        <f>'[4]TS BYDem'!D123</f>
        <v>INMS</v>
      </c>
      <c r="E184" s="199" t="s">
        <v>137</v>
      </c>
      <c r="F184" s="199" t="s">
        <v>137</v>
      </c>
      <c r="G184" s="199" t="s">
        <v>137</v>
      </c>
      <c r="H184" s="199" t="s">
        <v>137</v>
      </c>
      <c r="I184" s="199">
        <v>0</v>
      </c>
      <c r="J184" s="199" t="str">
        <f>INDEX('[4]TS BYDem'!$J$10:$J$203,MATCH(D184,'[4]TS BYDem'!$D$10:$D$203,0))</f>
        <v/>
      </c>
      <c r="K184" s="199" t="e">
        <f t="shared" ca="1" si="64"/>
        <v>#VALUE!</v>
      </c>
      <c r="L184" s="199" t="e">
        <f t="shared" ca="1" si="64"/>
        <v>#VALUE!</v>
      </c>
      <c r="M184" s="199" t="e">
        <f t="shared" ca="1" si="64"/>
        <v>#VALUE!</v>
      </c>
      <c r="N184" s="199" t="e">
        <f t="shared" ca="1" si="64"/>
        <v>#VALUE!</v>
      </c>
      <c r="O184" s="199" t="e">
        <f t="shared" ca="1" si="64"/>
        <v>#VALUE!</v>
      </c>
      <c r="P184" s="199" t="e">
        <f t="shared" ca="1" si="64"/>
        <v>#VALUE!</v>
      </c>
      <c r="Q184" s="199" t="e">
        <f t="shared" ca="1" si="64"/>
        <v>#VALUE!</v>
      </c>
      <c r="R184" s="199" t="e">
        <f t="shared" ca="1" si="64"/>
        <v>#VALUE!</v>
      </c>
      <c r="S184" s="199" t="e">
        <f t="shared" ca="1" si="64"/>
        <v>#VALUE!</v>
      </c>
      <c r="T184" s="199" t="e">
        <f t="shared" ca="1" si="64"/>
        <v>#VALUE!</v>
      </c>
      <c r="U184" s="199" t="e">
        <f t="shared" ca="1" si="64"/>
        <v>#VALUE!</v>
      </c>
      <c r="V184" s="199" t="e">
        <f t="shared" ca="1" si="64"/>
        <v>#VALUE!</v>
      </c>
      <c r="W184" s="199" t="e">
        <f t="shared" ca="1" si="64"/>
        <v>#VALUE!</v>
      </c>
      <c r="X184" s="199" t="e">
        <f t="shared" ca="1" si="64"/>
        <v>#VALUE!</v>
      </c>
      <c r="Y184" s="199" t="e">
        <f t="shared" ca="1" si="64"/>
        <v>#VALUE!</v>
      </c>
      <c r="Z184" s="199" t="e">
        <f t="shared" ca="1" si="64"/>
        <v>#VALUE!</v>
      </c>
      <c r="AA184" s="199" t="e">
        <f t="shared" ca="1" si="65"/>
        <v>#VALUE!</v>
      </c>
      <c r="AB184" s="199" t="e">
        <f t="shared" ca="1" si="65"/>
        <v>#VALUE!</v>
      </c>
      <c r="AC184" s="199" t="e">
        <f t="shared" ca="1" si="65"/>
        <v>#VALUE!</v>
      </c>
      <c r="AD184" s="199" t="e">
        <f t="shared" ca="1" si="65"/>
        <v>#VALUE!</v>
      </c>
      <c r="AE184" s="199" t="e">
        <f t="shared" ca="1" si="65"/>
        <v>#VALUE!</v>
      </c>
      <c r="AF184" s="199" t="e">
        <f t="shared" ca="1" si="65"/>
        <v>#VALUE!</v>
      </c>
      <c r="AG184" s="199" t="e">
        <f t="shared" ca="1" si="65"/>
        <v>#VALUE!</v>
      </c>
      <c r="AH184" s="199" t="e">
        <f t="shared" ca="1" si="65"/>
        <v>#VALUE!</v>
      </c>
      <c r="AI184" s="199" t="e">
        <f t="shared" ca="1" si="65"/>
        <v>#VALUE!</v>
      </c>
      <c r="AJ184" s="199" t="e">
        <f t="shared" ca="1" si="65"/>
        <v>#VALUE!</v>
      </c>
      <c r="AK184" s="199" t="e">
        <f t="shared" ca="1" si="65"/>
        <v>#VALUE!</v>
      </c>
      <c r="AL184" s="199" t="e">
        <f t="shared" ca="1" si="65"/>
        <v>#VALUE!</v>
      </c>
      <c r="AM184" s="199" t="e">
        <f t="shared" ca="1" si="65"/>
        <v>#VALUE!</v>
      </c>
      <c r="AN184" s="199" t="e">
        <f t="shared" ca="1" si="65"/>
        <v>#VALUE!</v>
      </c>
      <c r="AO184" s="199" t="e">
        <f t="shared" ca="1" si="65"/>
        <v>#VALUE!</v>
      </c>
      <c r="AP184" s="199" t="e">
        <f t="shared" ca="1" si="65"/>
        <v>#VALUE!</v>
      </c>
    </row>
    <row r="185" spans="1:42">
      <c r="A185" s="61" t="str">
        <f>'[4]TS BYDem'!A124</f>
        <v>*</v>
      </c>
      <c r="B185" s="199" t="s">
        <v>288</v>
      </c>
      <c r="C185" s="199" t="s">
        <v>137</v>
      </c>
      <c r="D185" s="199" t="str">
        <f>'[4]TS BYDem'!D124</f>
        <v>INMS</v>
      </c>
      <c r="E185" s="199" t="s">
        <v>137</v>
      </c>
      <c r="F185" s="199" t="s">
        <v>137</v>
      </c>
      <c r="G185" s="199" t="s">
        <v>137</v>
      </c>
      <c r="H185" s="199" t="s">
        <v>137</v>
      </c>
      <c r="I185" s="199">
        <v>0</v>
      </c>
      <c r="J185" s="199" t="str">
        <f>INDEX('[4]TS BYDem'!$J$10:$J$203,MATCH(D185,'[4]TS BYDem'!$D$10:$D$203,0))</f>
        <v/>
      </c>
      <c r="K185" s="199" t="e">
        <f t="shared" ca="1" si="64"/>
        <v>#VALUE!</v>
      </c>
      <c r="L185" s="199" t="e">
        <f t="shared" ca="1" si="64"/>
        <v>#VALUE!</v>
      </c>
      <c r="M185" s="199" t="e">
        <f t="shared" ca="1" si="64"/>
        <v>#VALUE!</v>
      </c>
      <c r="N185" s="199" t="e">
        <f t="shared" ca="1" si="64"/>
        <v>#VALUE!</v>
      </c>
      <c r="O185" s="199" t="e">
        <f t="shared" ca="1" si="64"/>
        <v>#VALUE!</v>
      </c>
      <c r="P185" s="199" t="e">
        <f t="shared" ca="1" si="64"/>
        <v>#VALUE!</v>
      </c>
      <c r="Q185" s="199" t="e">
        <f t="shared" ca="1" si="64"/>
        <v>#VALUE!</v>
      </c>
      <c r="R185" s="199" t="e">
        <f t="shared" ca="1" si="64"/>
        <v>#VALUE!</v>
      </c>
      <c r="S185" s="199" t="e">
        <f t="shared" ca="1" si="64"/>
        <v>#VALUE!</v>
      </c>
      <c r="T185" s="199" t="e">
        <f t="shared" ca="1" si="64"/>
        <v>#VALUE!</v>
      </c>
      <c r="U185" s="199" t="e">
        <f t="shared" ca="1" si="64"/>
        <v>#VALUE!</v>
      </c>
      <c r="V185" s="199" t="e">
        <f t="shared" ca="1" si="64"/>
        <v>#VALUE!</v>
      </c>
      <c r="W185" s="199" t="e">
        <f t="shared" ca="1" si="64"/>
        <v>#VALUE!</v>
      </c>
      <c r="X185" s="199" t="e">
        <f t="shared" ca="1" si="64"/>
        <v>#VALUE!</v>
      </c>
      <c r="Y185" s="199" t="e">
        <f t="shared" ca="1" si="64"/>
        <v>#VALUE!</v>
      </c>
      <c r="Z185" s="199" t="e">
        <f t="shared" ca="1" si="64"/>
        <v>#VALUE!</v>
      </c>
      <c r="AA185" s="199" t="e">
        <f t="shared" ca="1" si="65"/>
        <v>#VALUE!</v>
      </c>
      <c r="AB185" s="199" t="e">
        <f t="shared" ca="1" si="65"/>
        <v>#VALUE!</v>
      </c>
      <c r="AC185" s="199" t="e">
        <f t="shared" ca="1" si="65"/>
        <v>#VALUE!</v>
      </c>
      <c r="AD185" s="199" t="e">
        <f t="shared" ca="1" si="65"/>
        <v>#VALUE!</v>
      </c>
      <c r="AE185" s="199" t="e">
        <f t="shared" ca="1" si="65"/>
        <v>#VALUE!</v>
      </c>
      <c r="AF185" s="199" t="e">
        <f t="shared" ca="1" si="65"/>
        <v>#VALUE!</v>
      </c>
      <c r="AG185" s="199" t="e">
        <f t="shared" ca="1" si="65"/>
        <v>#VALUE!</v>
      </c>
      <c r="AH185" s="199" t="e">
        <f t="shared" ca="1" si="65"/>
        <v>#VALUE!</v>
      </c>
      <c r="AI185" s="199" t="e">
        <f t="shared" ca="1" si="65"/>
        <v>#VALUE!</v>
      </c>
      <c r="AJ185" s="199" t="e">
        <f t="shared" ca="1" si="65"/>
        <v>#VALUE!</v>
      </c>
      <c r="AK185" s="199" t="e">
        <f t="shared" ca="1" si="65"/>
        <v>#VALUE!</v>
      </c>
      <c r="AL185" s="199" t="e">
        <f t="shared" ca="1" si="65"/>
        <v>#VALUE!</v>
      </c>
      <c r="AM185" s="199" t="e">
        <f t="shared" ca="1" si="65"/>
        <v>#VALUE!</v>
      </c>
      <c r="AN185" s="199" t="e">
        <f t="shared" ca="1" si="65"/>
        <v>#VALUE!</v>
      </c>
      <c r="AO185" s="199" t="e">
        <f t="shared" ca="1" si="65"/>
        <v>#VALUE!</v>
      </c>
      <c r="AP185" s="199" t="e">
        <f t="shared" ca="1" si="65"/>
        <v>#VALUE!</v>
      </c>
    </row>
    <row r="186" spans="1:42">
      <c r="A186" s="61" t="str">
        <f>'[4]TS BYDem'!A125</f>
        <v>*</v>
      </c>
      <c r="B186" s="199" t="s">
        <v>288</v>
      </c>
      <c r="C186" s="199" t="s">
        <v>137</v>
      </c>
      <c r="D186" s="199" t="str">
        <f>'[4]TS BYDem'!D125</f>
        <v>INMS</v>
      </c>
      <c r="E186" s="199" t="s">
        <v>137</v>
      </c>
      <c r="F186" s="199" t="s">
        <v>137</v>
      </c>
      <c r="G186" s="199" t="s">
        <v>137</v>
      </c>
      <c r="H186" s="199" t="s">
        <v>137</v>
      </c>
      <c r="I186" s="199">
        <v>0</v>
      </c>
      <c r="J186" s="199" t="str">
        <f>INDEX('[4]TS BYDem'!$J$10:$J$203,MATCH(D186,'[4]TS BYDem'!$D$10:$D$203,0))</f>
        <v/>
      </c>
      <c r="K186" s="199" t="e">
        <f t="shared" ca="1" si="64"/>
        <v>#VALUE!</v>
      </c>
      <c r="L186" s="199" t="e">
        <f t="shared" ca="1" si="64"/>
        <v>#VALUE!</v>
      </c>
      <c r="M186" s="199" t="e">
        <f t="shared" ca="1" si="64"/>
        <v>#VALUE!</v>
      </c>
      <c r="N186" s="199" t="e">
        <f t="shared" ca="1" si="64"/>
        <v>#VALUE!</v>
      </c>
      <c r="O186" s="199" t="e">
        <f t="shared" ca="1" si="64"/>
        <v>#VALUE!</v>
      </c>
      <c r="P186" s="199" t="e">
        <f t="shared" ca="1" si="64"/>
        <v>#VALUE!</v>
      </c>
      <c r="Q186" s="199" t="e">
        <f t="shared" ca="1" si="64"/>
        <v>#VALUE!</v>
      </c>
      <c r="R186" s="199" t="e">
        <f t="shared" ca="1" si="64"/>
        <v>#VALUE!</v>
      </c>
      <c r="S186" s="199" t="e">
        <f t="shared" ca="1" si="64"/>
        <v>#VALUE!</v>
      </c>
      <c r="T186" s="199" t="e">
        <f t="shared" ca="1" si="64"/>
        <v>#VALUE!</v>
      </c>
      <c r="U186" s="199" t="e">
        <f t="shared" ca="1" si="64"/>
        <v>#VALUE!</v>
      </c>
      <c r="V186" s="199" t="e">
        <f t="shared" ca="1" si="64"/>
        <v>#VALUE!</v>
      </c>
      <c r="W186" s="199" t="e">
        <f t="shared" ca="1" si="64"/>
        <v>#VALUE!</v>
      </c>
      <c r="X186" s="199" t="e">
        <f t="shared" ca="1" si="64"/>
        <v>#VALUE!</v>
      </c>
      <c r="Y186" s="199" t="e">
        <f t="shared" ca="1" si="64"/>
        <v>#VALUE!</v>
      </c>
      <c r="Z186" s="199" t="e">
        <f t="shared" ca="1" si="64"/>
        <v>#VALUE!</v>
      </c>
      <c r="AA186" s="199" t="e">
        <f t="shared" ca="1" si="65"/>
        <v>#VALUE!</v>
      </c>
      <c r="AB186" s="199" t="e">
        <f t="shared" ca="1" si="65"/>
        <v>#VALUE!</v>
      </c>
      <c r="AC186" s="199" t="e">
        <f t="shared" ca="1" si="65"/>
        <v>#VALUE!</v>
      </c>
      <c r="AD186" s="199" t="e">
        <f t="shared" ca="1" si="65"/>
        <v>#VALUE!</v>
      </c>
      <c r="AE186" s="199" t="e">
        <f t="shared" ca="1" si="65"/>
        <v>#VALUE!</v>
      </c>
      <c r="AF186" s="199" t="e">
        <f t="shared" ca="1" si="65"/>
        <v>#VALUE!</v>
      </c>
      <c r="AG186" s="199" t="e">
        <f t="shared" ca="1" si="65"/>
        <v>#VALUE!</v>
      </c>
      <c r="AH186" s="199" t="e">
        <f t="shared" ca="1" si="65"/>
        <v>#VALUE!</v>
      </c>
      <c r="AI186" s="199" t="e">
        <f t="shared" ca="1" si="65"/>
        <v>#VALUE!</v>
      </c>
      <c r="AJ186" s="199" t="e">
        <f t="shared" ca="1" si="65"/>
        <v>#VALUE!</v>
      </c>
      <c r="AK186" s="199" t="e">
        <f t="shared" ca="1" si="65"/>
        <v>#VALUE!</v>
      </c>
      <c r="AL186" s="199" t="e">
        <f t="shared" ca="1" si="65"/>
        <v>#VALUE!</v>
      </c>
      <c r="AM186" s="199" t="e">
        <f t="shared" ca="1" si="65"/>
        <v>#VALUE!</v>
      </c>
      <c r="AN186" s="199" t="e">
        <f t="shared" ca="1" si="65"/>
        <v>#VALUE!</v>
      </c>
      <c r="AO186" s="199" t="e">
        <f t="shared" ca="1" si="65"/>
        <v>#VALUE!</v>
      </c>
      <c r="AP186" s="199" t="e">
        <f t="shared" ca="1" si="65"/>
        <v>#VALUE!</v>
      </c>
    </row>
    <row r="187" spans="1:42">
      <c r="A187" s="61" t="str">
        <f>'[4]TS BYDem'!A126</f>
        <v>*</v>
      </c>
      <c r="B187" s="199" t="s">
        <v>288</v>
      </c>
      <c r="C187" s="199" t="s">
        <v>137</v>
      </c>
      <c r="D187" s="199" t="str">
        <f>'[4]TS BYDem'!D126</f>
        <v>INMS</v>
      </c>
      <c r="E187" s="199" t="s">
        <v>137</v>
      </c>
      <c r="F187" s="199" t="s">
        <v>137</v>
      </c>
      <c r="G187" s="199" t="s">
        <v>137</v>
      </c>
      <c r="H187" s="199" t="s">
        <v>137</v>
      </c>
      <c r="I187" s="199">
        <v>0</v>
      </c>
      <c r="J187" s="199" t="str">
        <f>INDEX('[4]TS BYDem'!$J$10:$J$203,MATCH(D187,'[4]TS BYDem'!$D$10:$D$203,0))</f>
        <v/>
      </c>
      <c r="K187" s="199" t="e">
        <f t="shared" ca="1" si="64"/>
        <v>#VALUE!</v>
      </c>
      <c r="L187" s="199" t="e">
        <f t="shared" ca="1" si="64"/>
        <v>#VALUE!</v>
      </c>
      <c r="M187" s="199" t="e">
        <f t="shared" ca="1" si="64"/>
        <v>#VALUE!</v>
      </c>
      <c r="N187" s="199" t="e">
        <f t="shared" ca="1" si="64"/>
        <v>#VALUE!</v>
      </c>
      <c r="O187" s="199" t="e">
        <f t="shared" ca="1" si="64"/>
        <v>#VALUE!</v>
      </c>
      <c r="P187" s="199" t="e">
        <f t="shared" ca="1" si="64"/>
        <v>#VALUE!</v>
      </c>
      <c r="Q187" s="199" t="e">
        <f t="shared" ca="1" si="64"/>
        <v>#VALUE!</v>
      </c>
      <c r="R187" s="199" t="e">
        <f t="shared" ca="1" si="64"/>
        <v>#VALUE!</v>
      </c>
      <c r="S187" s="199" t="e">
        <f t="shared" ca="1" si="64"/>
        <v>#VALUE!</v>
      </c>
      <c r="T187" s="199" t="e">
        <f t="shared" ca="1" si="64"/>
        <v>#VALUE!</v>
      </c>
      <c r="U187" s="199" t="e">
        <f t="shared" ca="1" si="64"/>
        <v>#VALUE!</v>
      </c>
      <c r="V187" s="199" t="e">
        <f t="shared" ca="1" si="64"/>
        <v>#VALUE!</v>
      </c>
      <c r="W187" s="199" t="e">
        <f t="shared" ca="1" si="64"/>
        <v>#VALUE!</v>
      </c>
      <c r="X187" s="199" t="e">
        <f t="shared" ca="1" si="64"/>
        <v>#VALUE!</v>
      </c>
      <c r="Y187" s="199" t="e">
        <f t="shared" ca="1" si="64"/>
        <v>#VALUE!</v>
      </c>
      <c r="Z187" s="199" t="e">
        <f t="shared" ca="1" si="64"/>
        <v>#VALUE!</v>
      </c>
      <c r="AA187" s="199" t="e">
        <f t="shared" ca="1" si="65"/>
        <v>#VALUE!</v>
      </c>
      <c r="AB187" s="199" t="e">
        <f t="shared" ca="1" si="65"/>
        <v>#VALUE!</v>
      </c>
      <c r="AC187" s="199" t="e">
        <f t="shared" ca="1" si="65"/>
        <v>#VALUE!</v>
      </c>
      <c r="AD187" s="199" t="e">
        <f t="shared" ca="1" si="65"/>
        <v>#VALUE!</v>
      </c>
      <c r="AE187" s="199" t="e">
        <f t="shared" ca="1" si="65"/>
        <v>#VALUE!</v>
      </c>
      <c r="AF187" s="199" t="e">
        <f t="shared" ca="1" si="65"/>
        <v>#VALUE!</v>
      </c>
      <c r="AG187" s="199" t="e">
        <f t="shared" ca="1" si="65"/>
        <v>#VALUE!</v>
      </c>
      <c r="AH187" s="199" t="e">
        <f t="shared" ca="1" si="65"/>
        <v>#VALUE!</v>
      </c>
      <c r="AI187" s="199" t="e">
        <f t="shared" ca="1" si="65"/>
        <v>#VALUE!</v>
      </c>
      <c r="AJ187" s="199" t="e">
        <f t="shared" ca="1" si="65"/>
        <v>#VALUE!</v>
      </c>
      <c r="AK187" s="199" t="e">
        <f t="shared" ca="1" si="65"/>
        <v>#VALUE!</v>
      </c>
      <c r="AL187" s="199" t="e">
        <f t="shared" ca="1" si="65"/>
        <v>#VALUE!</v>
      </c>
      <c r="AM187" s="199" t="e">
        <f t="shared" ca="1" si="65"/>
        <v>#VALUE!</v>
      </c>
      <c r="AN187" s="199" t="e">
        <f t="shared" ca="1" si="65"/>
        <v>#VALUE!</v>
      </c>
      <c r="AO187" s="199" t="e">
        <f t="shared" ca="1" si="65"/>
        <v>#VALUE!</v>
      </c>
      <c r="AP187" s="199" t="e">
        <f t="shared" ca="1" si="65"/>
        <v>#VALUE!</v>
      </c>
    </row>
    <row r="188" spans="1:42">
      <c r="A188" s="61" t="str">
        <f>'[4]TS BYDem'!A127</f>
        <v>*</v>
      </c>
      <c r="B188" s="199" t="s">
        <v>288</v>
      </c>
      <c r="C188" s="199" t="s">
        <v>137</v>
      </c>
      <c r="D188" s="199" t="str">
        <f>'[4]TS BYDem'!D127</f>
        <v>INMS</v>
      </c>
      <c r="E188" s="199" t="s">
        <v>137</v>
      </c>
      <c r="F188" s="199" t="s">
        <v>137</v>
      </c>
      <c r="G188" s="199" t="s">
        <v>137</v>
      </c>
      <c r="H188" s="199" t="s">
        <v>137</v>
      </c>
      <c r="I188" s="199">
        <v>0</v>
      </c>
      <c r="J188" s="199" t="str">
        <f>INDEX('[4]TS BYDem'!$J$10:$J$203,MATCH(D188,'[4]TS BYDem'!$D$10:$D$203,0))</f>
        <v/>
      </c>
      <c r="K188" s="199" t="e">
        <f t="shared" ca="1" si="64"/>
        <v>#VALUE!</v>
      </c>
      <c r="L188" s="199" t="e">
        <f t="shared" ca="1" si="64"/>
        <v>#VALUE!</v>
      </c>
      <c r="M188" s="199" t="e">
        <f t="shared" ca="1" si="64"/>
        <v>#VALUE!</v>
      </c>
      <c r="N188" s="199" t="e">
        <f t="shared" ca="1" si="64"/>
        <v>#VALUE!</v>
      </c>
      <c r="O188" s="199" t="e">
        <f t="shared" ca="1" si="64"/>
        <v>#VALUE!</v>
      </c>
      <c r="P188" s="199" t="e">
        <f t="shared" ca="1" si="64"/>
        <v>#VALUE!</v>
      </c>
      <c r="Q188" s="199" t="e">
        <f t="shared" ca="1" si="64"/>
        <v>#VALUE!</v>
      </c>
      <c r="R188" s="199" t="e">
        <f t="shared" ca="1" si="64"/>
        <v>#VALUE!</v>
      </c>
      <c r="S188" s="199" t="e">
        <f t="shared" ca="1" si="64"/>
        <v>#VALUE!</v>
      </c>
      <c r="T188" s="199" t="e">
        <f t="shared" ca="1" si="64"/>
        <v>#VALUE!</v>
      </c>
      <c r="U188" s="199" t="e">
        <f t="shared" ca="1" si="64"/>
        <v>#VALUE!</v>
      </c>
      <c r="V188" s="199" t="e">
        <f t="shared" ca="1" si="64"/>
        <v>#VALUE!</v>
      </c>
      <c r="W188" s="199" t="e">
        <f t="shared" ca="1" si="64"/>
        <v>#VALUE!</v>
      </c>
      <c r="X188" s="199" t="e">
        <f t="shared" ca="1" si="64"/>
        <v>#VALUE!</v>
      </c>
      <c r="Y188" s="199" t="e">
        <f t="shared" ca="1" si="64"/>
        <v>#VALUE!</v>
      </c>
      <c r="Z188" s="199" t="e">
        <f t="shared" ca="1" si="64"/>
        <v>#VALUE!</v>
      </c>
      <c r="AA188" s="199" t="e">
        <f t="shared" ca="1" si="65"/>
        <v>#VALUE!</v>
      </c>
      <c r="AB188" s="199" t="e">
        <f t="shared" ca="1" si="65"/>
        <v>#VALUE!</v>
      </c>
      <c r="AC188" s="199" t="e">
        <f t="shared" ca="1" si="65"/>
        <v>#VALUE!</v>
      </c>
      <c r="AD188" s="199" t="e">
        <f t="shared" ca="1" si="65"/>
        <v>#VALUE!</v>
      </c>
      <c r="AE188" s="199" t="e">
        <f t="shared" ca="1" si="65"/>
        <v>#VALUE!</v>
      </c>
      <c r="AF188" s="199" t="e">
        <f t="shared" ca="1" si="65"/>
        <v>#VALUE!</v>
      </c>
      <c r="AG188" s="199" t="e">
        <f t="shared" ca="1" si="65"/>
        <v>#VALUE!</v>
      </c>
      <c r="AH188" s="199" t="e">
        <f t="shared" ca="1" si="65"/>
        <v>#VALUE!</v>
      </c>
      <c r="AI188" s="199" t="e">
        <f t="shared" ca="1" si="65"/>
        <v>#VALUE!</v>
      </c>
      <c r="AJ188" s="199" t="e">
        <f t="shared" ca="1" si="65"/>
        <v>#VALUE!</v>
      </c>
      <c r="AK188" s="199" t="e">
        <f t="shared" ca="1" si="65"/>
        <v>#VALUE!</v>
      </c>
      <c r="AL188" s="199" t="e">
        <f t="shared" ca="1" si="65"/>
        <v>#VALUE!</v>
      </c>
      <c r="AM188" s="199" t="e">
        <f t="shared" ca="1" si="65"/>
        <v>#VALUE!</v>
      </c>
      <c r="AN188" s="199" t="e">
        <f t="shared" ca="1" si="65"/>
        <v>#VALUE!</v>
      </c>
      <c r="AO188" s="199" t="e">
        <f t="shared" ca="1" si="65"/>
        <v>#VALUE!</v>
      </c>
      <c r="AP188" s="199" t="e">
        <f t="shared" ca="1" si="65"/>
        <v>#VALUE!</v>
      </c>
    </row>
    <row r="189" spans="1:42">
      <c r="A189" s="61" t="str">
        <f>'[4]TS BYDem'!A128</f>
        <v>*</v>
      </c>
      <c r="B189" s="199" t="s">
        <v>288</v>
      </c>
      <c r="C189" s="199" t="s">
        <v>137</v>
      </c>
      <c r="D189" s="199" t="str">
        <f>'[4]TS BYDem'!D128</f>
        <v>INMS</v>
      </c>
      <c r="E189" s="199" t="s">
        <v>137</v>
      </c>
      <c r="F189" s="199" t="s">
        <v>137</v>
      </c>
      <c r="G189" s="199" t="s">
        <v>137</v>
      </c>
      <c r="H189" s="199" t="s">
        <v>137</v>
      </c>
      <c r="I189" s="199">
        <v>0</v>
      </c>
      <c r="J189" s="199" t="str">
        <f>INDEX('[4]TS BYDem'!$J$10:$J$203,MATCH(D189,'[4]TS BYDem'!$D$10:$D$203,0))</f>
        <v/>
      </c>
      <c r="K189" s="199" t="e">
        <f t="shared" ca="1" si="64"/>
        <v>#VALUE!</v>
      </c>
      <c r="L189" s="199" t="e">
        <f t="shared" ca="1" si="64"/>
        <v>#VALUE!</v>
      </c>
      <c r="M189" s="199" t="e">
        <f t="shared" ca="1" si="64"/>
        <v>#VALUE!</v>
      </c>
      <c r="N189" s="199" t="e">
        <f t="shared" ca="1" si="64"/>
        <v>#VALUE!</v>
      </c>
      <c r="O189" s="199" t="e">
        <f t="shared" ca="1" si="64"/>
        <v>#VALUE!</v>
      </c>
      <c r="P189" s="199" t="e">
        <f t="shared" ca="1" si="64"/>
        <v>#VALUE!</v>
      </c>
      <c r="Q189" s="199" t="e">
        <f t="shared" ca="1" si="64"/>
        <v>#VALUE!</v>
      </c>
      <c r="R189" s="199" t="e">
        <f t="shared" ca="1" si="64"/>
        <v>#VALUE!</v>
      </c>
      <c r="S189" s="199" t="e">
        <f t="shared" ca="1" si="64"/>
        <v>#VALUE!</v>
      </c>
      <c r="T189" s="199" t="e">
        <f t="shared" ca="1" si="64"/>
        <v>#VALUE!</v>
      </c>
      <c r="U189" s="199" t="e">
        <f t="shared" ca="1" si="64"/>
        <v>#VALUE!</v>
      </c>
      <c r="V189" s="199" t="e">
        <f t="shared" ca="1" si="64"/>
        <v>#VALUE!</v>
      </c>
      <c r="W189" s="199" t="e">
        <f t="shared" ca="1" si="64"/>
        <v>#VALUE!</v>
      </c>
      <c r="X189" s="199" t="e">
        <f t="shared" ca="1" si="64"/>
        <v>#VALUE!</v>
      </c>
      <c r="Y189" s="199" t="e">
        <f t="shared" ca="1" si="64"/>
        <v>#VALUE!</v>
      </c>
      <c r="Z189" s="199" t="e">
        <f t="shared" ref="Z189:AO189" ca="1" si="66">Z$173/Y$173*Y189</f>
        <v>#VALUE!</v>
      </c>
      <c r="AA189" s="199" t="e">
        <f t="shared" ca="1" si="66"/>
        <v>#VALUE!</v>
      </c>
      <c r="AB189" s="199" t="e">
        <f t="shared" ca="1" si="66"/>
        <v>#VALUE!</v>
      </c>
      <c r="AC189" s="199" t="e">
        <f t="shared" ca="1" si="66"/>
        <v>#VALUE!</v>
      </c>
      <c r="AD189" s="199" t="e">
        <f t="shared" ca="1" si="66"/>
        <v>#VALUE!</v>
      </c>
      <c r="AE189" s="199" t="e">
        <f t="shared" ca="1" si="66"/>
        <v>#VALUE!</v>
      </c>
      <c r="AF189" s="199" t="e">
        <f t="shared" ca="1" si="66"/>
        <v>#VALUE!</v>
      </c>
      <c r="AG189" s="199" t="e">
        <f t="shared" ca="1" si="66"/>
        <v>#VALUE!</v>
      </c>
      <c r="AH189" s="199" t="e">
        <f t="shared" ca="1" si="66"/>
        <v>#VALUE!</v>
      </c>
      <c r="AI189" s="199" t="e">
        <f t="shared" ca="1" si="66"/>
        <v>#VALUE!</v>
      </c>
      <c r="AJ189" s="199" t="e">
        <f t="shared" ca="1" si="66"/>
        <v>#VALUE!</v>
      </c>
      <c r="AK189" s="199" t="e">
        <f t="shared" ca="1" si="66"/>
        <v>#VALUE!</v>
      </c>
      <c r="AL189" s="199" t="e">
        <f t="shared" ca="1" si="66"/>
        <v>#VALUE!</v>
      </c>
      <c r="AM189" s="199" t="e">
        <f t="shared" ca="1" si="66"/>
        <v>#VALUE!</v>
      </c>
      <c r="AN189" s="199" t="e">
        <f t="shared" ca="1" si="66"/>
        <v>#VALUE!</v>
      </c>
      <c r="AO189" s="199" t="e">
        <f t="shared" ca="1" si="66"/>
        <v>#VALUE!</v>
      </c>
      <c r="AP189" s="199" t="e">
        <f t="shared" ca="1" si="65"/>
        <v>#VALUE!</v>
      </c>
    </row>
    <row r="190" spans="1:42">
      <c r="A190" s="61" t="str">
        <f>'[4]TS BYDem'!A129</f>
        <v>*</v>
      </c>
      <c r="B190" s="199" t="s">
        <v>288</v>
      </c>
      <c r="C190" s="199" t="s">
        <v>137</v>
      </c>
      <c r="D190" s="199" t="str">
        <f>'[4]TS BYDem'!D129</f>
        <v>Useful Energy Service</v>
      </c>
      <c r="E190" s="199" t="s">
        <v>137</v>
      </c>
      <c r="F190" s="199" t="s">
        <v>137</v>
      </c>
      <c r="G190" s="199" t="s">
        <v>137</v>
      </c>
      <c r="H190" s="199" t="s">
        <v>137</v>
      </c>
      <c r="I190" s="199">
        <v>0</v>
      </c>
      <c r="J190" s="199" t="str">
        <f>INDEX('[4]TS BYDem'!$J$10:$J$203,MATCH(D190,'[4]TS BYDem'!$D$10:$D$203,0))</f>
        <v/>
      </c>
    </row>
    <row r="191" spans="1:42">
      <c r="A191" s="61" t="str">
        <f>'[4]TS BYDem'!A130</f>
        <v>*</v>
      </c>
      <c r="B191" s="199" t="s">
        <v>288</v>
      </c>
      <c r="C191" s="199" t="s">
        <v>137</v>
      </c>
      <c r="D191" s="199">
        <f>'[4]TS BYDem'!D130</f>
        <v>0</v>
      </c>
      <c r="E191" s="199" t="s">
        <v>137</v>
      </c>
      <c r="F191" s="199" t="s">
        <v>137</v>
      </c>
      <c r="G191" s="199" t="s">
        <v>137</v>
      </c>
      <c r="H191" s="199" t="s">
        <v>137</v>
      </c>
      <c r="I191" s="199">
        <v>0</v>
      </c>
      <c r="J191" s="199" t="str">
        <f>INDEX('[4]TS BYDem'!$J$10:$J$203,MATCH(D191,'[4]TS BYDem'!$D$10:$D$203,0))</f>
        <v/>
      </c>
    </row>
    <row r="192" spans="1:42" s="5" customFormat="1">
      <c r="A192" s="61" t="str">
        <f>'[4]TS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96.58</v>
      </c>
      <c r="L192" s="5">
        <f t="shared" ca="1" si="67"/>
        <v>99.16</v>
      </c>
      <c r="M192" s="5">
        <f t="shared" ca="1" si="67"/>
        <v>100.5</v>
      </c>
      <c r="N192" s="5">
        <f t="shared" ca="1" si="67"/>
        <v>102.67</v>
      </c>
      <c r="O192" s="5">
        <f t="shared" ca="1" si="67"/>
        <v>103.77</v>
      </c>
      <c r="P192" s="5">
        <f t="shared" ca="1" si="67"/>
        <v>105.55</v>
      </c>
      <c r="Q192" s="5">
        <f t="shared" ca="1" si="67"/>
        <v>105.8</v>
      </c>
      <c r="R192" s="5">
        <f t="shared" ca="1" si="67"/>
        <v>101.17</v>
      </c>
      <c r="S192" s="5">
        <f t="shared" ca="1" si="67"/>
        <v>105.94</v>
      </c>
      <c r="T192" s="5">
        <f t="shared" ca="1" si="67"/>
        <v>109.95</v>
      </c>
      <c r="U192" s="5">
        <f t="shared" ca="1" si="67"/>
        <v>113.88</v>
      </c>
      <c r="V192" s="5">
        <f t="shared" ca="1" si="67"/>
        <v>118.34</v>
      </c>
      <c r="W192" s="5">
        <f t="shared" ca="1" si="67"/>
        <v>123.16</v>
      </c>
      <c r="X192" s="5">
        <f t="shared" ca="1" si="67"/>
        <v>128.15</v>
      </c>
      <c r="Y192" s="5">
        <f t="shared" ca="1" si="67"/>
        <v>133.38999999999999</v>
      </c>
      <c r="Z192" s="5">
        <f t="shared" ca="1" si="67"/>
        <v>138.88999999999999</v>
      </c>
      <c r="AA192" s="5">
        <f t="shared" ca="1" si="67"/>
        <v>145.15</v>
      </c>
      <c r="AB192" s="5">
        <f t="shared" ca="1" si="67"/>
        <v>151.62</v>
      </c>
      <c r="AC192" s="5">
        <f t="shared" ca="1" si="67"/>
        <v>157.66</v>
      </c>
      <c r="AD192" s="5">
        <f t="shared" ca="1" si="67"/>
        <v>163.97</v>
      </c>
      <c r="AE192" s="5">
        <f t="shared" ca="1" si="67"/>
        <v>170.17</v>
      </c>
      <c r="AF192" s="5">
        <f t="shared" ca="1" si="67"/>
        <v>176.9</v>
      </c>
      <c r="AG192" s="5">
        <f t="shared" ca="1" si="67"/>
        <v>183.28</v>
      </c>
      <c r="AH192" s="5">
        <f t="shared" ca="1" si="67"/>
        <v>189.7</v>
      </c>
      <c r="AI192" s="5">
        <f t="shared" ca="1" si="67"/>
        <v>196.91</v>
      </c>
      <c r="AJ192" s="5">
        <f t="shared" ca="1" si="67"/>
        <v>204.55</v>
      </c>
      <c r="AK192" s="5">
        <f t="shared" ca="1" si="67"/>
        <v>212.82</v>
      </c>
      <c r="AL192" s="5">
        <f t="shared" ca="1" si="67"/>
        <v>221.76</v>
      </c>
      <c r="AM192" s="5">
        <f t="shared" ca="1" si="67"/>
        <v>274.19</v>
      </c>
      <c r="AN192" s="5">
        <f t="shared" ca="1" si="67"/>
        <v>337.54</v>
      </c>
      <c r="AO192" s="5">
        <f t="shared" ca="1" si="67"/>
        <v>451.50000000000364</v>
      </c>
      <c r="AP192" s="5">
        <f t="shared" ca="1" si="67"/>
        <v>567.28000000000247</v>
      </c>
    </row>
    <row r="193" spans="1:42">
      <c r="A193" s="61" t="str">
        <f>'[4]TS BYDem'!A132</f>
        <v/>
      </c>
      <c r="B193" s="199" t="s">
        <v>288</v>
      </c>
      <c r="C193" s="199" t="s">
        <v>137</v>
      </c>
      <c r="D193" s="199" t="str">
        <f>'[4]TS BYDem'!D132</f>
        <v>IFBK</v>
      </c>
      <c r="E193" s="199" t="s">
        <v>137</v>
      </c>
      <c r="F193" s="199" t="s">
        <v>137</v>
      </c>
      <c r="G193" s="199" t="s">
        <v>137</v>
      </c>
      <c r="H193" s="199" t="s">
        <v>137</v>
      </c>
      <c r="I193" s="199">
        <v>0</v>
      </c>
      <c r="J193" s="199">
        <f>INDEX('[4]TS BYDem'!$J$10:$J$203,MATCH(D193,'[4]TS BYDem'!$D$10:$D$203,0))</f>
        <v>1.1176071642017353</v>
      </c>
      <c r="K193" s="199">
        <f t="shared" ref="K193:Z208" ca="1" si="68">K$192/J$192*J193</f>
        <v>1.1593823836584705</v>
      </c>
      <c r="L193" s="199">
        <f t="shared" ca="1" si="68"/>
        <v>1.1903536670488086</v>
      </c>
      <c r="M193" s="206">
        <f t="shared" ref="M193:M201" si="69">O193</f>
        <v>1.04664</v>
      </c>
      <c r="N193" s="206">
        <f t="shared" ref="N193:N201" si="70">O193</f>
        <v>1.04664</v>
      </c>
      <c r="O193" s="206">
        <f>INDEX('[4]TS BYDem'!$O$10:$O$203,MATCH(D193,'[4]TS BYDem'!$D$10:$D$203,0))</f>
        <v>1.04664</v>
      </c>
      <c r="P193" s="199">
        <f t="shared" ca="1" si="68"/>
        <v>1.0645933506793872</v>
      </c>
      <c r="Q193" s="199">
        <f t="shared" ca="1" si="68"/>
        <v>1.0671148886961552</v>
      </c>
      <c r="R193" s="199">
        <f t="shared" ca="1" si="68"/>
        <v>1.0204160046256148</v>
      </c>
      <c r="S193" s="199">
        <f t="shared" ca="1" si="68"/>
        <v>1.0685269499855454</v>
      </c>
      <c r="T193" s="199">
        <f t="shared" ca="1" si="68"/>
        <v>1.1089724197745017</v>
      </c>
      <c r="U193" s="199">
        <f t="shared" ca="1" si="68"/>
        <v>1.1486109973980922</v>
      </c>
      <c r="V193" s="199">
        <f t="shared" ca="1" si="68"/>
        <v>1.1935952356172308</v>
      </c>
      <c r="W193" s="199">
        <f t="shared" ca="1" si="68"/>
        <v>1.242210488580515</v>
      </c>
      <c r="X193" s="199">
        <f t="shared" ca="1" si="68"/>
        <v>1.2925403873952015</v>
      </c>
      <c r="Y193" s="199">
        <f t="shared" ca="1" si="68"/>
        <v>1.3453918242266554</v>
      </c>
      <c r="Z193" s="199">
        <f t="shared" ca="1" si="68"/>
        <v>1.4008656605955481</v>
      </c>
      <c r="AA193" s="199">
        <f t="shared" ref="AA193:AP208" ca="1" si="71">AA$192/Z$192*Z193</f>
        <v>1.4640049725354152</v>
      </c>
      <c r="AB193" s="199">
        <f t="shared" ca="1" si="71"/>
        <v>1.5292623764093671</v>
      </c>
      <c r="AC193" s="199">
        <f t="shared" ca="1" si="71"/>
        <v>1.5901827348944784</v>
      </c>
      <c r="AD193" s="199">
        <f t="shared" ca="1" si="71"/>
        <v>1.6538263544376988</v>
      </c>
      <c r="AE193" s="199">
        <f t="shared" ca="1" si="71"/>
        <v>1.7163604972535411</v>
      </c>
      <c r="AF193" s="199">
        <f t="shared" ca="1" si="71"/>
        <v>1.7842403006649319</v>
      </c>
      <c r="AG193" s="199">
        <f t="shared" ca="1" si="71"/>
        <v>1.8485899508528474</v>
      </c>
      <c r="AH193" s="199">
        <f t="shared" ca="1" si="71"/>
        <v>1.9133430471234458</v>
      </c>
      <c r="AI193" s="199">
        <f t="shared" ca="1" si="71"/>
        <v>1.9860642035270308</v>
      </c>
      <c r="AJ193" s="199">
        <f t="shared" ca="1" si="71"/>
        <v>2.0631224053194566</v>
      </c>
      <c r="AK193" s="199">
        <f t="shared" ca="1" si="71"/>
        <v>2.1465348829141369</v>
      </c>
      <c r="AL193" s="199">
        <f t="shared" ca="1" si="71"/>
        <v>2.2367050823937551</v>
      </c>
      <c r="AM193" s="199">
        <f t="shared" ca="1" si="71"/>
        <v>2.7655220352703092</v>
      </c>
      <c r="AN193" s="199">
        <f t="shared" ca="1" si="71"/>
        <v>3.4044797687192832</v>
      </c>
      <c r="AO193" s="199">
        <f t="shared" ca="1" si="71"/>
        <v>4.5538976582827777</v>
      </c>
      <c r="AP193" s="199">
        <f t="shared" ca="1" si="71"/>
        <v>5.7216723446082938</v>
      </c>
    </row>
    <row r="194" spans="1:42">
      <c r="A194" s="61" t="str">
        <f>'[4]TS BYDem'!A133</f>
        <v/>
      </c>
      <c r="B194" s="199" t="s">
        <v>288</v>
      </c>
      <c r="C194" s="199" t="s">
        <v>137</v>
      </c>
      <c r="D194" s="199" t="str">
        <f>'[4]TS BYDem'!D133</f>
        <v>IFBA</v>
      </c>
      <c r="E194" s="199" t="s">
        <v>137</v>
      </c>
      <c r="F194" s="199" t="s">
        <v>137</v>
      </c>
      <c r="G194" s="199" t="s">
        <v>137</v>
      </c>
      <c r="H194" s="199" t="s">
        <v>137</v>
      </c>
      <c r="I194" s="199">
        <v>0</v>
      </c>
      <c r="J194" s="199">
        <f>INDEX('[4]TS BYDem'!$J$10:$J$203,MATCH(D194,'[4]TS BYDem'!$D$10:$D$203,0))</f>
        <v>3.1931633262906718E-2</v>
      </c>
      <c r="K194" s="199">
        <f t="shared" ca="1" si="68"/>
        <v>3.3125210961670579E-2</v>
      </c>
      <c r="L194" s="199">
        <f t="shared" ca="1" si="68"/>
        <v>3.4010104772823097E-2</v>
      </c>
      <c r="M194" s="206">
        <f t="shared" si="69"/>
        <v>2.9904000000000003E-2</v>
      </c>
      <c r="N194" s="206">
        <f t="shared" si="70"/>
        <v>2.9904000000000003E-2</v>
      </c>
      <c r="O194" s="206">
        <f>INDEX('[4]TS BYDem'!$O$10:$O$203,MATCH(D194,'[4]TS BYDem'!$D$10:$D$203,0))</f>
        <v>2.9904000000000003E-2</v>
      </c>
      <c r="P194" s="199">
        <f t="shared" ca="1" si="68"/>
        <v>3.0416952876553924E-2</v>
      </c>
      <c r="Q194" s="199">
        <f t="shared" ca="1" si="68"/>
        <v>3.048899681989015E-2</v>
      </c>
      <c r="R194" s="199">
        <f t="shared" ca="1" si="68"/>
        <v>2.9154742989303276E-2</v>
      </c>
      <c r="S194" s="199">
        <f t="shared" ca="1" si="68"/>
        <v>3.0529341428158437E-2</v>
      </c>
      <c r="T194" s="199">
        <f t="shared" ca="1" si="68"/>
        <v>3.1684926279271476E-2</v>
      </c>
      <c r="U194" s="199">
        <f t="shared" ca="1" si="68"/>
        <v>3.2817457068516923E-2</v>
      </c>
      <c r="V194" s="199">
        <f t="shared" ca="1" si="68"/>
        <v>3.4102721017635167E-2</v>
      </c>
      <c r="W194" s="199">
        <f t="shared" ca="1" si="68"/>
        <v>3.5491728245157575E-2</v>
      </c>
      <c r="X194" s="199">
        <f t="shared" ca="1" si="68"/>
        <v>3.6929725354148617E-2</v>
      </c>
      <c r="Y194" s="199">
        <f t="shared" ca="1" si="68"/>
        <v>3.8439766406475874E-2</v>
      </c>
      <c r="Z194" s="199">
        <f t="shared" ca="1" si="68"/>
        <v>4.0024733159872809E-2</v>
      </c>
      <c r="AA194" s="199">
        <f t="shared" ca="1" si="71"/>
        <v>4.1828713501011867E-2</v>
      </c>
      <c r="AB194" s="199">
        <f t="shared" ca="1" si="71"/>
        <v>4.3693210754553354E-2</v>
      </c>
      <c r="AC194" s="199">
        <f t="shared" ca="1" si="71"/>
        <v>4.5433792425556535E-2</v>
      </c>
      <c r="AD194" s="199">
        <f t="shared" ca="1" si="71"/>
        <v>4.7252181555362836E-2</v>
      </c>
      <c r="AE194" s="199">
        <f t="shared" ca="1" si="71"/>
        <v>4.9038871350101196E-2</v>
      </c>
      <c r="AF194" s="199">
        <f t="shared" ca="1" si="71"/>
        <v>5.0978294304712367E-2</v>
      </c>
      <c r="AG194" s="199">
        <f t="shared" ca="1" si="71"/>
        <v>5.2816855738652815E-2</v>
      </c>
      <c r="AH194" s="199">
        <f t="shared" ca="1" si="71"/>
        <v>5.4666944203527058E-2</v>
      </c>
      <c r="AI194" s="199">
        <f t="shared" ca="1" si="71"/>
        <v>5.674469152934377E-2</v>
      </c>
      <c r="AJ194" s="199">
        <f t="shared" ca="1" si="71"/>
        <v>5.8946354437698786E-2</v>
      </c>
      <c r="AK194" s="199">
        <f t="shared" ca="1" si="71"/>
        <v>6.132956808326108E-2</v>
      </c>
      <c r="AL194" s="199">
        <f t="shared" ca="1" si="71"/>
        <v>6.3905859496964465E-2</v>
      </c>
      <c r="AM194" s="199">
        <f t="shared" ca="1" si="71"/>
        <v>7.9014915293437446E-2</v>
      </c>
      <c r="AN194" s="199">
        <f t="shared" ca="1" si="71"/>
        <v>9.7270850534836709E-2</v>
      </c>
      <c r="AO194" s="199">
        <f t="shared" ca="1" si="71"/>
        <v>0.13011136166522227</v>
      </c>
      <c r="AP194" s="199">
        <f t="shared" ca="1" si="71"/>
        <v>0.16347635270309416</v>
      </c>
    </row>
    <row r="195" spans="1:42">
      <c r="A195" s="61" t="str">
        <f>'[4]TS BYDem'!A134</f>
        <v/>
      </c>
      <c r="B195" s="199" t="s">
        <v>288</v>
      </c>
      <c r="C195" s="199" t="s">
        <v>137</v>
      </c>
      <c r="D195" s="199" t="str">
        <f>'[4]TS BYDem'!D134</f>
        <v>IFBL</v>
      </c>
      <c r="E195" s="199" t="s">
        <v>137</v>
      </c>
      <c r="F195" s="199" t="s">
        <v>137</v>
      </c>
      <c r="G195" s="199" t="s">
        <v>137</v>
      </c>
      <c r="H195" s="199" t="s">
        <v>137</v>
      </c>
      <c r="I195" s="199">
        <v>0</v>
      </c>
      <c r="J195" s="199">
        <f>INDEX('[4]TS BYDem'!$J$10:$J$203,MATCH(D195,'[4]TS BYDem'!$D$10:$D$203,0))</f>
        <v>0.23948724947180039</v>
      </c>
      <c r="K195" s="199">
        <f t="shared" ca="1" si="68"/>
        <v>0.24843908221252936</v>
      </c>
      <c r="L195" s="199">
        <f t="shared" ca="1" si="68"/>
        <v>0.25507578579617324</v>
      </c>
      <c r="M195" s="206">
        <f t="shared" si="69"/>
        <v>0.22428000000000001</v>
      </c>
      <c r="N195" s="206">
        <f t="shared" si="70"/>
        <v>0.22428000000000001</v>
      </c>
      <c r="O195" s="206">
        <f>INDEX('[4]TS BYDem'!$O$10:$O$203,MATCH(D195,'[4]TS BYDem'!$D$10:$D$203,0))</f>
        <v>0.22428000000000001</v>
      </c>
      <c r="P195" s="199">
        <f t="shared" ca="1" si="68"/>
        <v>0.22812714657415439</v>
      </c>
      <c r="Q195" s="199">
        <f t="shared" ca="1" si="68"/>
        <v>0.2286674761491761</v>
      </c>
      <c r="R195" s="199">
        <f t="shared" ca="1" si="68"/>
        <v>0.21866057241977455</v>
      </c>
      <c r="S195" s="199">
        <f t="shared" ca="1" si="68"/>
        <v>0.22897006071118828</v>
      </c>
      <c r="T195" s="199">
        <f t="shared" ca="1" si="68"/>
        <v>0.23763694709453606</v>
      </c>
      <c r="U195" s="199">
        <f t="shared" ca="1" si="68"/>
        <v>0.2461309280138769</v>
      </c>
      <c r="V195" s="199">
        <f t="shared" ca="1" si="68"/>
        <v>0.25577040763226372</v>
      </c>
      <c r="W195" s="199">
        <f t="shared" ca="1" si="68"/>
        <v>0.26618796183868176</v>
      </c>
      <c r="X195" s="199">
        <f t="shared" ca="1" si="68"/>
        <v>0.27697294015611457</v>
      </c>
      <c r="Y195" s="199">
        <f t="shared" ca="1" si="68"/>
        <v>0.28829824804856896</v>
      </c>
      <c r="Z195" s="199">
        <f t="shared" ca="1" si="68"/>
        <v>0.30018549869904598</v>
      </c>
      <c r="AA195" s="199">
        <f t="shared" ca="1" si="71"/>
        <v>0.31371535125758893</v>
      </c>
      <c r="AB195" s="199">
        <f t="shared" ca="1" si="71"/>
        <v>0.3276990806591501</v>
      </c>
      <c r="AC195" s="199">
        <f t="shared" ca="1" si="71"/>
        <v>0.34075344319167394</v>
      </c>
      <c r="AD195" s="199">
        <f t="shared" ca="1" si="71"/>
        <v>0.35439136166522117</v>
      </c>
      <c r="AE195" s="199">
        <f t="shared" ca="1" si="71"/>
        <v>0.36779153512575885</v>
      </c>
      <c r="AF195" s="199">
        <f t="shared" ca="1" si="71"/>
        <v>0.3823372072853426</v>
      </c>
      <c r="AG195" s="199">
        <f t="shared" ca="1" si="71"/>
        <v>0.39612641803989596</v>
      </c>
      <c r="AH195" s="199">
        <f t="shared" ca="1" si="71"/>
        <v>0.41000208152645279</v>
      </c>
      <c r="AI195" s="199">
        <f t="shared" ca="1" si="71"/>
        <v>0.42558518647007815</v>
      </c>
      <c r="AJ195" s="199">
        <f t="shared" ca="1" si="71"/>
        <v>0.44209765828274078</v>
      </c>
      <c r="AK195" s="199">
        <f t="shared" ca="1" si="71"/>
        <v>0.45997176062445799</v>
      </c>
      <c r="AL195" s="199">
        <f t="shared" ca="1" si="71"/>
        <v>0.47929394622723337</v>
      </c>
      <c r="AM195" s="199">
        <f t="shared" ca="1" si="71"/>
        <v>0.59261186470078064</v>
      </c>
      <c r="AN195" s="199">
        <f t="shared" ca="1" si="71"/>
        <v>0.72953137901127507</v>
      </c>
      <c r="AO195" s="199">
        <f t="shared" ca="1" si="71"/>
        <v>0.97583521248916671</v>
      </c>
      <c r="AP195" s="199">
        <f t="shared" ca="1" si="71"/>
        <v>1.2260726452732058</v>
      </c>
    </row>
    <row r="196" spans="1:42">
      <c r="A196" s="61" t="str">
        <f>'[4]TS BYDem'!A135</f>
        <v/>
      </c>
      <c r="B196" s="199" t="s">
        <v>288</v>
      </c>
      <c r="C196" s="199" t="s">
        <v>137</v>
      </c>
      <c r="D196" s="199" t="str">
        <f>'[4]TS BYDem'!D135</f>
        <v>IFBC</v>
      </c>
      <c r="E196" s="199" t="s">
        <v>137</v>
      </c>
      <c r="F196" s="199" t="s">
        <v>137</v>
      </c>
      <c r="G196" s="199" t="s">
        <v>137</v>
      </c>
      <c r="H196" s="199" t="s">
        <v>137</v>
      </c>
      <c r="I196" s="199">
        <v>0</v>
      </c>
      <c r="J196" s="199">
        <f>INDEX('[4]TS BYDem'!$J$10:$J$203,MATCH(D196,'[4]TS BYDem'!$D$10:$D$203,0))</f>
        <v>7.3442756504685454</v>
      </c>
      <c r="K196" s="199">
        <f t="shared" ca="1" si="68"/>
        <v>7.6187985211842335</v>
      </c>
      <c r="L196" s="199">
        <f t="shared" ca="1" si="68"/>
        <v>7.8223240977493127</v>
      </c>
      <c r="M196" s="206">
        <f t="shared" si="69"/>
        <v>6.8779200000000005</v>
      </c>
      <c r="N196" s="206">
        <f t="shared" si="70"/>
        <v>6.8779200000000005</v>
      </c>
      <c r="O196" s="206">
        <f>INDEX('[4]TS BYDem'!$O$10:$O$203,MATCH(D196,'[4]TS BYDem'!$D$10:$D$203,0))</f>
        <v>6.8779200000000005</v>
      </c>
      <c r="P196" s="199">
        <f t="shared" ca="1" si="68"/>
        <v>6.9958991616074018</v>
      </c>
      <c r="Q196" s="199">
        <f t="shared" ca="1" si="68"/>
        <v>7.0124692685747334</v>
      </c>
      <c r="R196" s="199">
        <f t="shared" ca="1" si="68"/>
        <v>6.7055908875397527</v>
      </c>
      <c r="S196" s="199">
        <f t="shared" ca="1" si="68"/>
        <v>7.02174852847644</v>
      </c>
      <c r="T196" s="199">
        <f t="shared" ca="1" si="68"/>
        <v>7.2875330442324389</v>
      </c>
      <c r="U196" s="199">
        <f t="shared" ca="1" si="68"/>
        <v>7.5480151257588908</v>
      </c>
      <c r="V196" s="199">
        <f t="shared" ca="1" si="68"/>
        <v>7.8436258340560867</v>
      </c>
      <c r="W196" s="199">
        <f t="shared" ca="1" si="68"/>
        <v>8.1630974963862393</v>
      </c>
      <c r="X196" s="199">
        <f t="shared" ca="1" si="68"/>
        <v>8.4938368314541801</v>
      </c>
      <c r="Y196" s="199">
        <f t="shared" ca="1" si="68"/>
        <v>8.8411462734894481</v>
      </c>
      <c r="Z196" s="199">
        <f t="shared" ca="1" si="68"/>
        <v>9.2056886267707423</v>
      </c>
      <c r="AA196" s="199">
        <f t="shared" ca="1" si="71"/>
        <v>9.6206041052327258</v>
      </c>
      <c r="AB196" s="199">
        <f t="shared" ca="1" si="71"/>
        <v>10.049438473547267</v>
      </c>
      <c r="AC196" s="199">
        <f t="shared" ca="1" si="71"/>
        <v>10.449772257877999</v>
      </c>
      <c r="AD196" s="199">
        <f t="shared" ca="1" si="71"/>
        <v>10.868001757733447</v>
      </c>
      <c r="AE196" s="199">
        <f t="shared" ca="1" si="71"/>
        <v>11.278940410523269</v>
      </c>
      <c r="AF196" s="199">
        <f t="shared" ca="1" si="71"/>
        <v>11.725007690083837</v>
      </c>
      <c r="AG196" s="199">
        <f t="shared" ca="1" si="71"/>
        <v>12.14787681989014</v>
      </c>
      <c r="AH196" s="199">
        <f t="shared" ca="1" si="71"/>
        <v>12.573397166811215</v>
      </c>
      <c r="AI196" s="199">
        <f t="shared" ca="1" si="71"/>
        <v>13.051279051749059</v>
      </c>
      <c r="AJ196" s="199">
        <f t="shared" ca="1" si="71"/>
        <v>13.557661520670713</v>
      </c>
      <c r="AK196" s="199">
        <f t="shared" ca="1" si="71"/>
        <v>14.10580065915004</v>
      </c>
      <c r="AL196" s="199">
        <f t="shared" ca="1" si="71"/>
        <v>14.698347684301819</v>
      </c>
      <c r="AM196" s="199">
        <f t="shared" ca="1" si="71"/>
        <v>18.173430517490601</v>
      </c>
      <c r="AN196" s="199">
        <f t="shared" ca="1" si="71"/>
        <v>22.37229562301243</v>
      </c>
      <c r="AO196" s="199">
        <f t="shared" ca="1" si="71"/>
        <v>29.925613183001108</v>
      </c>
      <c r="AP196" s="199">
        <f t="shared" ca="1" si="71"/>
        <v>37.599561121711638</v>
      </c>
    </row>
    <row r="197" spans="1:42">
      <c r="A197" s="61" t="str">
        <f>'[4]TS BYDem'!A136</f>
        <v/>
      </c>
      <c r="B197" s="199" t="s">
        <v>288</v>
      </c>
      <c r="C197" s="199" t="s">
        <v>137</v>
      </c>
      <c r="D197" s="199" t="str">
        <f>'[4]TS BYDem'!D136</f>
        <v>IFBH</v>
      </c>
      <c r="E197" s="199" t="s">
        <v>137</v>
      </c>
      <c r="F197" s="199" t="s">
        <v>137</v>
      </c>
      <c r="G197" s="199" t="s">
        <v>137</v>
      </c>
      <c r="H197" s="199" t="s">
        <v>137</v>
      </c>
      <c r="I197" s="199">
        <v>0</v>
      </c>
      <c r="J197" s="199">
        <f>INDEX('[4]TS BYDem'!$J$10:$J$203,MATCH(D197,'[4]TS BYDem'!$D$10:$D$203,0))</f>
        <v>0.86215409809848131</v>
      </c>
      <c r="K197" s="199">
        <f t="shared" ca="1" si="68"/>
        <v>0.89438069596510561</v>
      </c>
      <c r="L197" s="199">
        <f t="shared" ca="1" si="68"/>
        <v>0.91827282886622352</v>
      </c>
      <c r="M197" s="206">
        <f t="shared" si="69"/>
        <v>0.8074079999999999</v>
      </c>
      <c r="N197" s="206">
        <f t="shared" si="70"/>
        <v>0.8074079999999999</v>
      </c>
      <c r="O197" s="206">
        <f>INDEX('[4]TS BYDem'!$O$10:$O$203,MATCH(D197,'[4]TS BYDem'!$D$10:$D$203,0))</f>
        <v>0.8074079999999999</v>
      </c>
      <c r="P197" s="199">
        <f t="shared" ca="1" si="68"/>
        <v>0.82125772766695571</v>
      </c>
      <c r="Q197" s="199">
        <f t="shared" ca="1" si="68"/>
        <v>0.82320291413703384</v>
      </c>
      <c r="R197" s="199">
        <f t="shared" ca="1" si="68"/>
        <v>0.78717806071118823</v>
      </c>
      <c r="S197" s="199">
        <f t="shared" ca="1" si="68"/>
        <v>0.82429221856027757</v>
      </c>
      <c r="T197" s="199">
        <f t="shared" ca="1" si="68"/>
        <v>0.85549300954032959</v>
      </c>
      <c r="U197" s="199">
        <f t="shared" ca="1" si="68"/>
        <v>0.88607134084995653</v>
      </c>
      <c r="V197" s="199">
        <f t="shared" ca="1" si="68"/>
        <v>0.92077346747614919</v>
      </c>
      <c r="W197" s="199">
        <f t="shared" ca="1" si="68"/>
        <v>0.95827666261925415</v>
      </c>
      <c r="X197" s="199">
        <f t="shared" ca="1" si="68"/>
        <v>0.99710258456201228</v>
      </c>
      <c r="Y197" s="199">
        <f t="shared" ca="1" si="68"/>
        <v>1.0378736929748482</v>
      </c>
      <c r="Z197" s="199">
        <f t="shared" ca="1" si="68"/>
        <v>1.0806677953165653</v>
      </c>
      <c r="AA197" s="199">
        <f t="shared" ca="1" si="71"/>
        <v>1.1293752645273198</v>
      </c>
      <c r="AB197" s="199">
        <f t="shared" ca="1" si="71"/>
        <v>1.1797166903729399</v>
      </c>
      <c r="AC197" s="199">
        <f t="shared" ca="1" si="71"/>
        <v>1.2267123954900256</v>
      </c>
      <c r="AD197" s="199">
        <f t="shared" ca="1" si="71"/>
        <v>1.2758089019947958</v>
      </c>
      <c r="AE197" s="199">
        <f t="shared" ca="1" si="71"/>
        <v>1.3240495264527314</v>
      </c>
      <c r="AF197" s="199">
        <f t="shared" ca="1" si="71"/>
        <v>1.3764139462272329</v>
      </c>
      <c r="AG197" s="199">
        <f t="shared" ca="1" si="71"/>
        <v>1.426055104943625</v>
      </c>
      <c r="AH197" s="199">
        <f t="shared" ca="1" si="71"/>
        <v>1.4760074934952296</v>
      </c>
      <c r="AI197" s="199">
        <f t="shared" ca="1" si="71"/>
        <v>1.5321066712922808</v>
      </c>
      <c r="AJ197" s="199">
        <f t="shared" ca="1" si="71"/>
        <v>1.5915515698178662</v>
      </c>
      <c r="AK197" s="199">
        <f t="shared" ca="1" si="71"/>
        <v>1.6558983382480481</v>
      </c>
      <c r="AL197" s="199">
        <f t="shared" ca="1" si="71"/>
        <v>1.7254582064180395</v>
      </c>
      <c r="AM197" s="199">
        <f t="shared" ca="1" si="71"/>
        <v>2.1334027129228095</v>
      </c>
      <c r="AN197" s="199">
        <f t="shared" ca="1" si="71"/>
        <v>2.6263129644405891</v>
      </c>
      <c r="AO197" s="199">
        <f t="shared" ca="1" si="71"/>
        <v>3.5130067649609988</v>
      </c>
      <c r="AP197" s="199">
        <f t="shared" ca="1" si="71"/>
        <v>4.413861522983539</v>
      </c>
    </row>
    <row r="198" spans="1:42">
      <c r="A198" s="61" t="str">
        <f>'[4]TS BYDem'!A137</f>
        <v/>
      </c>
      <c r="B198" s="199" t="s">
        <v>288</v>
      </c>
      <c r="C198" s="199" t="s">
        <v>137</v>
      </c>
      <c r="D198" s="199" t="str">
        <f>'[4]TS BYDem'!D137</f>
        <v>IFBP</v>
      </c>
      <c r="E198" s="199" t="s">
        <v>137</v>
      </c>
      <c r="F198" s="199" t="s">
        <v>137</v>
      </c>
      <c r="G198" s="199" t="s">
        <v>137</v>
      </c>
      <c r="H198" s="199" t="s">
        <v>137</v>
      </c>
      <c r="I198" s="199">
        <v>0</v>
      </c>
      <c r="J198" s="199">
        <f>INDEX('[4]TS BYDem'!$J$10:$J$203,MATCH(D198,'[4]TS BYDem'!$D$10:$D$203,0))</f>
        <v>3.576342925445553</v>
      </c>
      <c r="K198" s="199">
        <f t="shared" ca="1" si="68"/>
        <v>3.7100236277071055</v>
      </c>
      <c r="L198" s="199">
        <f t="shared" ca="1" si="68"/>
        <v>3.8091317345561873</v>
      </c>
      <c r="M198" s="206">
        <f t="shared" si="69"/>
        <v>3.3492480000000002</v>
      </c>
      <c r="N198" s="206">
        <f t="shared" si="70"/>
        <v>3.3492480000000002</v>
      </c>
      <c r="O198" s="206">
        <f>INDEX('[4]TS BYDem'!$O$10:$O$203,MATCH(D198,'[4]TS BYDem'!$D$10:$D$203,0))</f>
        <v>3.3492480000000002</v>
      </c>
      <c r="P198" s="199">
        <f t="shared" ca="1" si="68"/>
        <v>3.4066987221740392</v>
      </c>
      <c r="Q198" s="199">
        <f t="shared" ca="1" si="68"/>
        <v>3.4147676438276964</v>
      </c>
      <c r="R198" s="199">
        <f t="shared" ca="1" si="68"/>
        <v>3.2653312148019666</v>
      </c>
      <c r="S198" s="199">
        <f t="shared" ca="1" si="68"/>
        <v>3.4192862399537449</v>
      </c>
      <c r="T198" s="199">
        <f t="shared" ca="1" si="68"/>
        <v>3.548711743278405</v>
      </c>
      <c r="U198" s="199">
        <f t="shared" ca="1" si="68"/>
        <v>3.6755551916738947</v>
      </c>
      <c r="V198" s="199">
        <f t="shared" ca="1" si="68"/>
        <v>3.8195047539751381</v>
      </c>
      <c r="W198" s="199">
        <f t="shared" ca="1" si="68"/>
        <v>3.9750735634576477</v>
      </c>
      <c r="X198" s="199">
        <f t="shared" ca="1" si="68"/>
        <v>4.136129239664645</v>
      </c>
      <c r="Y198" s="199">
        <f t="shared" ca="1" si="68"/>
        <v>4.3052538375252976</v>
      </c>
      <c r="Z198" s="199">
        <f t="shared" ca="1" si="68"/>
        <v>4.4827701139057536</v>
      </c>
      <c r="AA198" s="199">
        <f t="shared" ca="1" si="71"/>
        <v>4.6848159121133284</v>
      </c>
      <c r="AB198" s="199">
        <f t="shared" ca="1" si="71"/>
        <v>4.8936396045099748</v>
      </c>
      <c r="AC198" s="199">
        <f t="shared" ca="1" si="71"/>
        <v>5.0885847516623306</v>
      </c>
      <c r="AD198" s="199">
        <f t="shared" ca="1" si="71"/>
        <v>5.2922443342006362</v>
      </c>
      <c r="AE198" s="199">
        <f t="shared" ca="1" si="71"/>
        <v>5.4923535912113319</v>
      </c>
      <c r="AF198" s="199">
        <f t="shared" ca="1" si="71"/>
        <v>5.7095689621277828</v>
      </c>
      <c r="AG198" s="199">
        <f t="shared" ca="1" si="71"/>
        <v>5.9154878427291129</v>
      </c>
      <c r="AH198" s="199">
        <f t="shared" ca="1" si="71"/>
        <v>6.1226977507950284</v>
      </c>
      <c r="AI198" s="199">
        <f t="shared" ca="1" si="71"/>
        <v>6.3554054512864999</v>
      </c>
      <c r="AJ198" s="199">
        <f t="shared" ca="1" si="71"/>
        <v>6.6019916970222621</v>
      </c>
      <c r="AK198" s="199">
        <f t="shared" ca="1" si="71"/>
        <v>6.8689116253252385</v>
      </c>
      <c r="AL198" s="199">
        <f t="shared" ca="1" si="71"/>
        <v>7.1574562636600172</v>
      </c>
      <c r="AM198" s="199">
        <f t="shared" ca="1" si="71"/>
        <v>8.8496705128649893</v>
      </c>
      <c r="AN198" s="199">
        <f t="shared" ca="1" si="71"/>
        <v>10.894335259901705</v>
      </c>
      <c r="AO198" s="199">
        <f t="shared" ca="1" si="71"/>
        <v>14.572472506504887</v>
      </c>
      <c r="AP198" s="199">
        <f t="shared" ca="1" si="71"/>
        <v>18.309351502746537</v>
      </c>
    </row>
    <row r="199" spans="1:42">
      <c r="A199" s="61" t="str">
        <f>'[4]TS BYDem'!A138</f>
        <v/>
      </c>
      <c r="B199" s="199" t="s">
        <v>288</v>
      </c>
      <c r="C199" s="199" t="s">
        <v>137</v>
      </c>
      <c r="D199" s="199" t="str">
        <f>'[4]TS BYDem'!D138</f>
        <v>IFBF</v>
      </c>
      <c r="E199" s="199" t="s">
        <v>137</v>
      </c>
      <c r="F199" s="199" t="s">
        <v>137</v>
      </c>
      <c r="G199" s="199" t="s">
        <v>137</v>
      </c>
      <c r="H199" s="199" t="s">
        <v>137</v>
      </c>
      <c r="I199" s="199">
        <v>0</v>
      </c>
      <c r="J199" s="199">
        <f>INDEX('[4]TS BYDem'!$J$10:$J$203,MATCH(D199,'[4]TS BYDem'!$D$10:$D$203,0))</f>
        <v>0.51090613220650749</v>
      </c>
      <c r="K199" s="199">
        <f t="shared" ca="1" si="68"/>
        <v>0.53000337538672926</v>
      </c>
      <c r="L199" s="199">
        <f t="shared" ca="1" si="68"/>
        <v>0.54416167636516954</v>
      </c>
      <c r="M199" s="206">
        <f t="shared" si="69"/>
        <v>0.47846400000000006</v>
      </c>
      <c r="N199" s="206">
        <f t="shared" si="70"/>
        <v>0.47846400000000006</v>
      </c>
      <c r="O199" s="206">
        <f>INDEX('[4]TS BYDem'!$O$10:$O$203,MATCH(D199,'[4]TS BYDem'!$D$10:$D$203,0))</f>
        <v>0.47846400000000006</v>
      </c>
      <c r="P199" s="199">
        <f t="shared" ca="1" si="68"/>
        <v>0.48667124602486278</v>
      </c>
      <c r="Q199" s="199">
        <f t="shared" ca="1" si="68"/>
        <v>0.48782394911824239</v>
      </c>
      <c r="R199" s="199">
        <f t="shared" ca="1" si="68"/>
        <v>0.46647588782885241</v>
      </c>
      <c r="S199" s="199">
        <f t="shared" ca="1" si="68"/>
        <v>0.488469462850535</v>
      </c>
      <c r="T199" s="199">
        <f t="shared" ca="1" si="68"/>
        <v>0.50695882046834362</v>
      </c>
      <c r="U199" s="199">
        <f t="shared" ca="1" si="68"/>
        <v>0.52507931309627076</v>
      </c>
      <c r="V199" s="199">
        <f t="shared" ca="1" si="68"/>
        <v>0.54564353628216267</v>
      </c>
      <c r="W199" s="199">
        <f t="shared" ca="1" si="68"/>
        <v>0.5678676519225212</v>
      </c>
      <c r="X199" s="199">
        <f t="shared" ca="1" si="68"/>
        <v>0.59087560566637787</v>
      </c>
      <c r="Y199" s="199">
        <f t="shared" ca="1" si="68"/>
        <v>0.61503626250361398</v>
      </c>
      <c r="Z199" s="199">
        <f t="shared" ca="1" si="68"/>
        <v>0.64039573055796495</v>
      </c>
      <c r="AA199" s="199">
        <f t="shared" ca="1" si="71"/>
        <v>0.66925941601618988</v>
      </c>
      <c r="AB199" s="199">
        <f t="shared" ca="1" si="71"/>
        <v>0.69909137207285366</v>
      </c>
      <c r="AC199" s="199">
        <f t="shared" ca="1" si="71"/>
        <v>0.72694067880890456</v>
      </c>
      <c r="AD199" s="199">
        <f t="shared" ca="1" si="71"/>
        <v>0.75603490488580538</v>
      </c>
      <c r="AE199" s="199">
        <f t="shared" ca="1" si="71"/>
        <v>0.78462194160161913</v>
      </c>
      <c r="AF199" s="199">
        <f t="shared" ca="1" si="71"/>
        <v>0.81565270887539787</v>
      </c>
      <c r="AG199" s="199">
        <f t="shared" ca="1" si="71"/>
        <v>0.84506969181844505</v>
      </c>
      <c r="AH199" s="199">
        <f t="shared" ca="1" si="71"/>
        <v>0.87467110725643293</v>
      </c>
      <c r="AI199" s="199">
        <f t="shared" ca="1" si="71"/>
        <v>0.90791506446950032</v>
      </c>
      <c r="AJ199" s="199">
        <f t="shared" ca="1" si="71"/>
        <v>0.94314167100318058</v>
      </c>
      <c r="AK199" s="199">
        <f t="shared" ca="1" si="71"/>
        <v>0.98127308933217727</v>
      </c>
      <c r="AL199" s="199">
        <f t="shared" ca="1" si="71"/>
        <v>1.0224937519514314</v>
      </c>
      <c r="AM199" s="199">
        <f t="shared" ca="1" si="71"/>
        <v>1.2642386446949991</v>
      </c>
      <c r="AN199" s="199">
        <f t="shared" ca="1" si="71"/>
        <v>1.5563336085573873</v>
      </c>
      <c r="AO199" s="199">
        <f t="shared" ca="1" si="71"/>
        <v>2.0817817866435564</v>
      </c>
      <c r="AP199" s="199">
        <f t="shared" ca="1" si="71"/>
        <v>2.6156216432495065</v>
      </c>
    </row>
    <row r="200" spans="1:42">
      <c r="A200" s="61" t="str">
        <f>'[4]TS BYDem'!A139</f>
        <v/>
      </c>
      <c r="B200" s="199" t="s">
        <v>288</v>
      </c>
      <c r="C200" s="199" t="s">
        <v>137</v>
      </c>
      <c r="D200" s="199" t="str">
        <f>'[4]TS BYDem'!D139</f>
        <v>IFBO</v>
      </c>
      <c r="E200" s="199" t="s">
        <v>137</v>
      </c>
      <c r="F200" s="199" t="s">
        <v>137</v>
      </c>
      <c r="G200" s="199" t="s">
        <v>137</v>
      </c>
      <c r="H200" s="199" t="s">
        <v>137</v>
      </c>
      <c r="I200" s="199">
        <v>0</v>
      </c>
      <c r="J200" s="199">
        <f>INDEX('[4]TS BYDem'!$J$10:$J$203,MATCH(D200,'[4]TS BYDem'!$D$10:$D$203,0))</f>
        <v>2.6822571940841642</v>
      </c>
      <c r="K200" s="199">
        <f t="shared" ca="1" si="68"/>
        <v>2.7825177207803287</v>
      </c>
      <c r="L200" s="199">
        <f t="shared" ca="1" si="68"/>
        <v>2.85684880091714</v>
      </c>
      <c r="M200" s="206">
        <f t="shared" si="69"/>
        <v>2.5119360000000004</v>
      </c>
      <c r="N200" s="206">
        <f t="shared" si="70"/>
        <v>2.5119360000000004</v>
      </c>
      <c r="O200" s="206">
        <f>INDEX('[4]TS BYDem'!$O$10:$O$203,MATCH(D200,'[4]TS BYDem'!$D$10:$D$203,0))</f>
        <v>2.5119360000000004</v>
      </c>
      <c r="P200" s="199">
        <f t="shared" ca="1" si="68"/>
        <v>2.5550240416305297</v>
      </c>
      <c r="Q200" s="199">
        <f t="shared" ca="1" si="68"/>
        <v>2.5610757328707727</v>
      </c>
      <c r="R200" s="199">
        <f t="shared" ca="1" si="68"/>
        <v>2.4489984111014755</v>
      </c>
      <c r="S200" s="199">
        <f t="shared" ca="1" si="68"/>
        <v>2.564464679965309</v>
      </c>
      <c r="T200" s="199">
        <f t="shared" ca="1" si="68"/>
        <v>2.6615338074588042</v>
      </c>
      <c r="U200" s="199">
        <f t="shared" ca="1" si="68"/>
        <v>2.7566663937554217</v>
      </c>
      <c r="V200" s="199">
        <f t="shared" ca="1" si="68"/>
        <v>2.8646285654813544</v>
      </c>
      <c r="W200" s="199">
        <f t="shared" ca="1" si="68"/>
        <v>2.9813051725932365</v>
      </c>
      <c r="X200" s="199">
        <f t="shared" ca="1" si="68"/>
        <v>3.1020969297484844</v>
      </c>
      <c r="Y200" s="199">
        <f t="shared" ca="1" si="68"/>
        <v>3.2289403781439736</v>
      </c>
      <c r="Z200" s="199">
        <f t="shared" ca="1" si="68"/>
        <v>3.3620775854293159</v>
      </c>
      <c r="AA200" s="199">
        <f t="shared" ca="1" si="71"/>
        <v>3.5136119340849969</v>
      </c>
      <c r="AB200" s="199">
        <f t="shared" ca="1" si="71"/>
        <v>3.670229703382482</v>
      </c>
      <c r="AC200" s="199">
        <f t="shared" ca="1" si="71"/>
        <v>3.8164385637467491</v>
      </c>
      <c r="AD200" s="199">
        <f t="shared" ca="1" si="71"/>
        <v>3.9691832506504783</v>
      </c>
      <c r="AE200" s="199">
        <f t="shared" ca="1" si="71"/>
        <v>4.1192651934085003</v>
      </c>
      <c r="AF200" s="199">
        <f t="shared" ca="1" si="71"/>
        <v>4.2821767215958388</v>
      </c>
      <c r="AG200" s="199">
        <f t="shared" ca="1" si="71"/>
        <v>4.4366158820468362</v>
      </c>
      <c r="AH200" s="199">
        <f t="shared" ca="1" si="71"/>
        <v>4.5920233130962727</v>
      </c>
      <c r="AI200" s="199">
        <f t="shared" ca="1" si="71"/>
        <v>4.7665540884648765</v>
      </c>
      <c r="AJ200" s="199">
        <f t="shared" ca="1" si="71"/>
        <v>4.9514937727666979</v>
      </c>
      <c r="AK200" s="199">
        <f t="shared" ca="1" si="71"/>
        <v>5.1516837189939304</v>
      </c>
      <c r="AL200" s="199">
        <f t="shared" ca="1" si="71"/>
        <v>5.3680921977450149</v>
      </c>
      <c r="AM200" s="199">
        <f t="shared" ca="1" si="71"/>
        <v>6.6372528846487446</v>
      </c>
      <c r="AN200" s="199">
        <f t="shared" ca="1" si="71"/>
        <v>8.1707514449262817</v>
      </c>
      <c r="AO200" s="199">
        <f t="shared" ca="1" si="71"/>
        <v>10.929354379878669</v>
      </c>
      <c r="AP200" s="199">
        <f t="shared" ca="1" si="71"/>
        <v>13.732013627059908</v>
      </c>
    </row>
    <row r="201" spans="1:42">
      <c r="A201" s="61" t="str">
        <f>'[4]TS BYDem'!A140</f>
        <v/>
      </c>
      <c r="B201" s="199" t="s">
        <v>288</v>
      </c>
      <c r="C201" s="199" t="s">
        <v>137</v>
      </c>
      <c r="D201" s="199" t="str">
        <f>'[4]TS BYDem'!D140</f>
        <v>IFBE</v>
      </c>
      <c r="E201" s="199" t="s">
        <v>137</v>
      </c>
      <c r="F201" s="199" t="s">
        <v>137</v>
      </c>
      <c r="G201" s="199" t="s">
        <v>137</v>
      </c>
      <c r="H201" s="199" t="s">
        <v>137</v>
      </c>
      <c r="I201" s="199">
        <v>0</v>
      </c>
      <c r="J201" s="199">
        <f>INDEX('[4]TS BYDem'!$J$10:$J$203,MATCH(D201,'[4]TS BYDem'!$D$10:$D$203,0))</f>
        <v>0</v>
      </c>
      <c r="K201" s="199">
        <f t="shared" ca="1" si="68"/>
        <v>0</v>
      </c>
      <c r="L201" s="199">
        <f t="shared" ca="1" si="68"/>
        <v>0</v>
      </c>
      <c r="M201" s="206">
        <f t="shared" si="69"/>
        <v>0</v>
      </c>
      <c r="N201" s="206">
        <f t="shared" si="70"/>
        <v>0</v>
      </c>
      <c r="O201" s="206">
        <f>INDEX('[4]TS BYDem'!$O$10:$O$203,MATCH(D201,'[4]TS BYDem'!$D$10:$D$203,0))</f>
        <v>0</v>
      </c>
      <c r="P201" s="199">
        <f t="shared" ca="1" si="68"/>
        <v>0</v>
      </c>
      <c r="Q201" s="199">
        <f t="shared" ca="1" si="68"/>
        <v>0</v>
      </c>
      <c r="R201" s="199">
        <f t="shared" ca="1" si="68"/>
        <v>0</v>
      </c>
      <c r="S201" s="199">
        <f t="shared" ca="1" si="68"/>
        <v>0</v>
      </c>
      <c r="T201" s="199">
        <f t="shared" ca="1" si="68"/>
        <v>0</v>
      </c>
      <c r="U201" s="199">
        <f t="shared" ca="1" si="68"/>
        <v>0</v>
      </c>
      <c r="V201" s="199">
        <f t="shared" ca="1" si="68"/>
        <v>0</v>
      </c>
      <c r="W201" s="199">
        <f t="shared" ca="1" si="68"/>
        <v>0</v>
      </c>
      <c r="X201" s="199">
        <f t="shared" ca="1" si="68"/>
        <v>0</v>
      </c>
      <c r="Y201" s="199">
        <f t="shared" ca="1" si="68"/>
        <v>0</v>
      </c>
      <c r="Z201" s="199">
        <f t="shared" ca="1" si="68"/>
        <v>0</v>
      </c>
      <c r="AA201" s="199">
        <f t="shared" ca="1" si="71"/>
        <v>0</v>
      </c>
      <c r="AB201" s="199">
        <f t="shared" ca="1" si="71"/>
        <v>0</v>
      </c>
      <c r="AC201" s="199">
        <f t="shared" ca="1" si="71"/>
        <v>0</v>
      </c>
      <c r="AD201" s="199">
        <f t="shared" ca="1" si="71"/>
        <v>0</v>
      </c>
      <c r="AE201" s="199">
        <f t="shared" ca="1" si="71"/>
        <v>0</v>
      </c>
      <c r="AF201" s="199">
        <f t="shared" ca="1" si="71"/>
        <v>0</v>
      </c>
      <c r="AG201" s="199">
        <f t="shared" ca="1" si="71"/>
        <v>0</v>
      </c>
      <c r="AH201" s="199">
        <f t="shared" ca="1" si="71"/>
        <v>0</v>
      </c>
      <c r="AI201" s="199">
        <f t="shared" ca="1" si="71"/>
        <v>0</v>
      </c>
      <c r="AJ201" s="199">
        <f t="shared" ca="1" si="71"/>
        <v>0</v>
      </c>
      <c r="AK201" s="199">
        <f t="shared" ca="1" si="71"/>
        <v>0</v>
      </c>
      <c r="AL201" s="199">
        <f t="shared" ca="1" si="71"/>
        <v>0</v>
      </c>
      <c r="AM201" s="199">
        <f t="shared" ca="1" si="71"/>
        <v>0</v>
      </c>
      <c r="AN201" s="199">
        <f t="shared" ca="1" si="71"/>
        <v>0</v>
      </c>
      <c r="AO201" s="199">
        <f t="shared" ca="1" si="71"/>
        <v>0</v>
      </c>
      <c r="AP201" s="199">
        <f t="shared" ca="1" si="71"/>
        <v>0</v>
      </c>
    </row>
    <row r="202" spans="1:42">
      <c r="A202" s="61" t="str">
        <f>'[4]TS BYDem'!A141</f>
        <v>*</v>
      </c>
      <c r="B202" s="199" t="s">
        <v>288</v>
      </c>
      <c r="C202" s="199" t="s">
        <v>137</v>
      </c>
      <c r="D202" s="199" t="str">
        <f>'[4]TS BYDem'!D141</f>
        <v xml:space="preserve"> </v>
      </c>
      <c r="E202" s="199" t="s">
        <v>137</v>
      </c>
      <c r="F202" s="199" t="s">
        <v>137</v>
      </c>
      <c r="G202" s="199" t="s">
        <v>137</v>
      </c>
      <c r="H202" s="199" t="s">
        <v>137</v>
      </c>
      <c r="I202" s="199">
        <v>0</v>
      </c>
      <c r="J202" s="199" t="str">
        <f>INDEX('[4]TS BYDem'!$J$10:$J$203,MATCH(D202,'[4]TS BYDem'!$D$10:$D$203,0))</f>
        <v/>
      </c>
      <c r="K202" s="199" t="e">
        <f t="shared" ca="1" si="68"/>
        <v>#VALUE!</v>
      </c>
      <c r="L202" s="199" t="e">
        <f t="shared" ca="1" si="68"/>
        <v>#VALUE!</v>
      </c>
      <c r="M202" s="199" t="e">
        <f t="shared" ca="1" si="68"/>
        <v>#VALUE!</v>
      </c>
      <c r="N202" s="199" t="e">
        <f t="shared" ca="1" si="68"/>
        <v>#VALUE!</v>
      </c>
      <c r="O202" s="199" t="e">
        <f t="shared" ca="1" si="68"/>
        <v>#VALUE!</v>
      </c>
      <c r="P202" s="199" t="e">
        <f t="shared" ca="1" si="68"/>
        <v>#VALUE!</v>
      </c>
      <c r="Q202" s="199" t="e">
        <f t="shared" ca="1" si="68"/>
        <v>#VALUE!</v>
      </c>
      <c r="R202" s="199" t="e">
        <f t="shared" ca="1" si="68"/>
        <v>#VALUE!</v>
      </c>
      <c r="S202" s="199" t="e">
        <f t="shared" ca="1" si="68"/>
        <v>#VALUE!</v>
      </c>
      <c r="T202" s="199" t="e">
        <f t="shared" ca="1" si="68"/>
        <v>#VALUE!</v>
      </c>
      <c r="U202" s="199" t="e">
        <f t="shared" ca="1" si="68"/>
        <v>#VALUE!</v>
      </c>
      <c r="V202" s="199" t="e">
        <f t="shared" ca="1" si="68"/>
        <v>#VALUE!</v>
      </c>
      <c r="W202" s="199" t="e">
        <f t="shared" ca="1" si="68"/>
        <v>#VALUE!</v>
      </c>
      <c r="X202" s="199" t="e">
        <f t="shared" ca="1" si="68"/>
        <v>#VALUE!</v>
      </c>
      <c r="Y202" s="199" t="e">
        <f t="shared" ca="1" si="68"/>
        <v>#VALUE!</v>
      </c>
      <c r="Z202" s="199" t="e">
        <f t="shared" ca="1" si="68"/>
        <v>#VALUE!</v>
      </c>
      <c r="AA202" s="199" t="e">
        <f t="shared" ca="1" si="71"/>
        <v>#VALUE!</v>
      </c>
      <c r="AB202" s="199" t="e">
        <f t="shared" ca="1" si="71"/>
        <v>#VALUE!</v>
      </c>
      <c r="AC202" s="199" t="e">
        <f t="shared" ca="1" si="71"/>
        <v>#VALUE!</v>
      </c>
      <c r="AD202" s="199" t="e">
        <f t="shared" ca="1" si="71"/>
        <v>#VALUE!</v>
      </c>
      <c r="AE202" s="199" t="e">
        <f t="shared" ca="1" si="71"/>
        <v>#VALUE!</v>
      </c>
      <c r="AF202" s="199" t="e">
        <f t="shared" ca="1" si="71"/>
        <v>#VALUE!</v>
      </c>
      <c r="AG202" s="199" t="e">
        <f t="shared" ca="1" si="71"/>
        <v>#VALUE!</v>
      </c>
      <c r="AH202" s="199" t="e">
        <f t="shared" ca="1" si="71"/>
        <v>#VALUE!</v>
      </c>
      <c r="AI202" s="199" t="e">
        <f t="shared" ca="1" si="71"/>
        <v>#VALUE!</v>
      </c>
      <c r="AJ202" s="199" t="e">
        <f t="shared" ca="1" si="71"/>
        <v>#VALUE!</v>
      </c>
      <c r="AK202" s="199" t="e">
        <f t="shared" ca="1" si="71"/>
        <v>#VALUE!</v>
      </c>
      <c r="AL202" s="199" t="e">
        <f t="shared" ca="1" si="71"/>
        <v>#VALUE!</v>
      </c>
      <c r="AM202" s="199" t="e">
        <f t="shared" ca="1" si="71"/>
        <v>#VALUE!</v>
      </c>
      <c r="AN202" s="199" t="e">
        <f t="shared" ca="1" si="71"/>
        <v>#VALUE!</v>
      </c>
      <c r="AO202" s="199" t="e">
        <f t="shared" ca="1" si="71"/>
        <v>#VALUE!</v>
      </c>
      <c r="AP202" s="199" t="e">
        <f t="shared" ca="1" si="71"/>
        <v>#VALUE!</v>
      </c>
    </row>
    <row r="203" spans="1:42">
      <c r="A203" s="61" t="str">
        <f>'[4]TS BYDem'!A142</f>
        <v/>
      </c>
      <c r="B203" s="199" t="s">
        <v>288</v>
      </c>
      <c r="C203" s="199" t="s">
        <v>137</v>
      </c>
      <c r="D203" s="199" t="str">
        <f>'[4]TS BYDem'!D142</f>
        <v>IFBS</v>
      </c>
      <c r="E203" s="199" t="s">
        <v>137</v>
      </c>
      <c r="F203" s="199" t="s">
        <v>137</v>
      </c>
      <c r="G203" s="199" t="s">
        <v>137</v>
      </c>
      <c r="H203" s="199" t="s">
        <v>137</v>
      </c>
      <c r="I203" s="199">
        <v>0</v>
      </c>
      <c r="J203" s="199">
        <f>INDEX('[4]TS BYDem'!$J$10:$J$203,MATCH(D203,'[4]TS BYDem'!$D$10:$D$203,0))</f>
        <v>20.421862032418336</v>
      </c>
      <c r="K203" s="199">
        <f t="shared" ca="1" si="68"/>
        <v>21.185214125574252</v>
      </c>
      <c r="L203" s="199">
        <f t="shared" ca="1" si="68"/>
        <v>21.751147573948465</v>
      </c>
      <c r="M203" s="206">
        <f t="shared" ref="M203" si="72">O203</f>
        <v>6.8922304000000008</v>
      </c>
      <c r="N203" s="206">
        <f t="shared" ref="N203" si="73">O203</f>
        <v>6.8922304000000008</v>
      </c>
      <c r="O203" s="206">
        <f>INDEX('[4]TS BYDem'!$O$10:$O$203,MATCH(D203,'[4]TS BYDem'!$D$10:$D$203,0))</f>
        <v>6.8922304000000008</v>
      </c>
      <c r="P203" s="199">
        <f t="shared" ca="1" si="68"/>
        <v>7.0104550324756687</v>
      </c>
      <c r="Q203" s="199">
        <f t="shared" ca="1" si="68"/>
        <v>7.0270596156885441</v>
      </c>
      <c r="R203" s="199">
        <f t="shared" ca="1" si="68"/>
        <v>6.7195427345861063</v>
      </c>
      <c r="S203" s="199">
        <f t="shared" ca="1" si="68"/>
        <v>7.0363581822877546</v>
      </c>
      <c r="T203" s="199">
        <f t="shared" ca="1" si="68"/>
        <v>7.302695697022263</v>
      </c>
      <c r="U203" s="199">
        <f t="shared" ca="1" si="68"/>
        <v>7.5637197451286511</v>
      </c>
      <c r="V203" s="199">
        <f t="shared" ca="1" si="68"/>
        <v>7.8599455096463346</v>
      </c>
      <c r="W203" s="199">
        <f t="shared" ca="1" si="68"/>
        <v>8.1800818739905576</v>
      </c>
      <c r="X203" s="199">
        <f t="shared" ca="1" si="68"/>
        <v>8.5115093549195358</v>
      </c>
      <c r="Y203" s="199">
        <f t="shared" ca="1" si="68"/>
        <v>8.8595414190613866</v>
      </c>
      <c r="Z203" s="199">
        <f t="shared" ca="1" si="68"/>
        <v>9.2248422497446274</v>
      </c>
      <c r="AA203" s="199">
        <f t="shared" ca="1" si="71"/>
        <v>9.640621013395009</v>
      </c>
      <c r="AB203" s="199">
        <f t="shared" ca="1" si="71"/>
        <v>10.070347626944205</v>
      </c>
      <c r="AC203" s="199">
        <f t="shared" ca="1" si="71"/>
        <v>10.471514357367255</v>
      </c>
      <c r="AD203" s="199">
        <f t="shared" ca="1" si="71"/>
        <v>10.89061403766021</v>
      </c>
      <c r="AE203" s="199">
        <f t="shared" ca="1" si="71"/>
        <v>11.302407701339499</v>
      </c>
      <c r="AF203" s="199">
        <f t="shared" ca="1" si="71"/>
        <v>11.749403081430087</v>
      </c>
      <c r="AG203" s="199">
        <f t="shared" ca="1" si="71"/>
        <v>12.173152045022647</v>
      </c>
      <c r="AH203" s="199">
        <f t="shared" ca="1" si="71"/>
        <v>12.599557741929267</v>
      </c>
      <c r="AI203" s="199">
        <f t="shared" ca="1" si="71"/>
        <v>13.078433921788571</v>
      </c>
      <c r="AJ203" s="199">
        <f t="shared" ca="1" si="71"/>
        <v>13.585869984774019</v>
      </c>
      <c r="AK203" s="199">
        <f t="shared" ca="1" si="71"/>
        <v>14.135149597455911</v>
      </c>
      <c r="AL203" s="199">
        <f t="shared" ca="1" si="71"/>
        <v>14.728929493148307</v>
      </c>
      <c r="AM203" s="199">
        <f t="shared" ca="1" si="71"/>
        <v>18.211242684552374</v>
      </c>
      <c r="AN203" s="199">
        <f t="shared" ca="1" si="71"/>
        <v>22.418844070694806</v>
      </c>
      <c r="AO203" s="199">
        <f t="shared" ca="1" si="71"/>
        <v>29.987877282451819</v>
      </c>
      <c r="AP203" s="199">
        <f t="shared" ca="1" si="71"/>
        <v>37.677791859998237</v>
      </c>
    </row>
    <row r="204" spans="1:42">
      <c r="A204" s="61" t="str">
        <f>'[4]TS BYDem'!A143</f>
        <v>*</v>
      </c>
      <c r="B204" s="199" t="s">
        <v>288</v>
      </c>
      <c r="C204" s="199" t="s">
        <v>137</v>
      </c>
      <c r="D204" s="199" t="str">
        <f>'[4]TS BYDem'!D143</f>
        <v>IFBS</v>
      </c>
      <c r="E204" s="199" t="s">
        <v>137</v>
      </c>
      <c r="F204" s="199" t="s">
        <v>137</v>
      </c>
      <c r="G204" s="199" t="s">
        <v>137</v>
      </c>
      <c r="H204" s="199" t="s">
        <v>137</v>
      </c>
      <c r="I204" s="199">
        <v>0</v>
      </c>
      <c r="J204" s="199">
        <f>INDEX('[4]TS BYDem'!$J$10:$J$203,MATCH(D204,'[4]TS BYDem'!$D$10:$D$203,0))</f>
        <v>20.421862032418336</v>
      </c>
      <c r="K204" s="199">
        <f t="shared" ca="1" si="68"/>
        <v>21.185214125574252</v>
      </c>
      <c r="L204" s="199">
        <f t="shared" ca="1" si="68"/>
        <v>21.751147573948465</v>
      </c>
      <c r="M204" s="199">
        <f t="shared" ca="1" si="68"/>
        <v>22.045082000623445</v>
      </c>
      <c r="N204" s="199">
        <f t="shared" ca="1" si="68"/>
        <v>22.521080288597105</v>
      </c>
      <c r="O204" s="199">
        <f t="shared" ca="1" si="68"/>
        <v>22.762369743330293</v>
      </c>
      <c r="P204" s="199">
        <f t="shared" ca="1" si="68"/>
        <v>23.15281995189855</v>
      </c>
      <c r="Q204" s="199">
        <f t="shared" ca="1" si="68"/>
        <v>23.207658464337914</v>
      </c>
      <c r="R204" s="199">
        <f t="shared" ca="1" si="68"/>
        <v>22.192049213960935</v>
      </c>
      <c r="S204" s="199">
        <f t="shared" ca="1" si="68"/>
        <v>23.23836803130396</v>
      </c>
      <c r="T204" s="199">
        <f t="shared" ca="1" si="68"/>
        <v>24.117977770831324</v>
      </c>
      <c r="U204" s="199">
        <f t="shared" ca="1" si="68"/>
        <v>24.98003918637809</v>
      </c>
      <c r="V204" s="199">
        <f t="shared" ca="1" si="68"/>
        <v>25.958358248296307</v>
      </c>
      <c r="W204" s="199">
        <f t="shared" ca="1" si="68"/>
        <v>27.015644768127203</v>
      </c>
      <c r="X204" s="199">
        <f t="shared" ca="1" si="68"/>
        <v>28.110221476416868</v>
      </c>
      <c r="Y204" s="199">
        <f t="shared" ca="1" si="68"/>
        <v>29.259636697145886</v>
      </c>
      <c r="Z204" s="199">
        <f t="shared" ca="1" si="68"/>
        <v>30.466083970811844</v>
      </c>
      <c r="AA204" s="199">
        <f t="shared" ca="1" si="71"/>
        <v>31.839240322293467</v>
      </c>
      <c r="AB204" s="199">
        <f t="shared" ca="1" si="71"/>
        <v>33.258461024224154</v>
      </c>
      <c r="AC204" s="199">
        <f t="shared" ca="1" si="71"/>
        <v>34.583359484759136</v>
      </c>
      <c r="AD204" s="199">
        <f t="shared" ca="1" si="71"/>
        <v>35.967483538728622</v>
      </c>
      <c r="AE204" s="199">
        <f t="shared" ca="1" si="71"/>
        <v>37.327478647224787</v>
      </c>
      <c r="AF204" s="199">
        <f t="shared" ca="1" si="71"/>
        <v>38.80373140209241</v>
      </c>
      <c r="AG204" s="199">
        <f t="shared" ca="1" si="71"/>
        <v>40.203210239544923</v>
      </c>
      <c r="AH204" s="199">
        <f t="shared" ca="1" si="71"/>
        <v>41.611463238987739</v>
      </c>
      <c r="AI204" s="199">
        <f t="shared" ca="1" si="71"/>
        <v>43.193005937738931</v>
      </c>
      <c r="AJ204" s="199">
        <f t="shared" ca="1" si="71"/>
        <v>44.868870877885826</v>
      </c>
      <c r="AK204" s="199">
        <f t="shared" ca="1" si="71"/>
        <v>46.682928869379907</v>
      </c>
      <c r="AL204" s="199">
        <f t="shared" ca="1" si="71"/>
        <v>48.643954074211486</v>
      </c>
      <c r="AM204" s="199">
        <f t="shared" ca="1" si="71"/>
        <v>60.144686902994444</v>
      </c>
      <c r="AN204" s="199">
        <f t="shared" ca="1" si="71"/>
        <v>74.040765955128734</v>
      </c>
      <c r="AO204" s="199">
        <f t="shared" ca="1" si="71"/>
        <v>99.038353465488214</v>
      </c>
      <c r="AP204" s="199">
        <f t="shared" ca="1" si="71"/>
        <v>124.4351653464052</v>
      </c>
    </row>
    <row r="205" spans="1:42">
      <c r="A205" s="61" t="str">
        <f>'[4]TS BYDem'!A144</f>
        <v>*</v>
      </c>
      <c r="B205" s="199" t="s">
        <v>288</v>
      </c>
      <c r="C205" s="199" t="s">
        <v>137</v>
      </c>
      <c r="D205" s="199" t="str">
        <f>'[4]TS BYDem'!D144</f>
        <v>IFBS</v>
      </c>
      <c r="E205" s="199" t="s">
        <v>137</v>
      </c>
      <c r="F205" s="199" t="s">
        <v>137</v>
      </c>
      <c r="G205" s="199" t="s">
        <v>137</v>
      </c>
      <c r="H205" s="199" t="s">
        <v>137</v>
      </c>
      <c r="I205" s="199">
        <v>0</v>
      </c>
      <c r="J205" s="199">
        <f>INDEX('[4]TS BYDem'!$J$10:$J$203,MATCH(D205,'[4]TS BYDem'!$D$10:$D$203,0))</f>
        <v>20.421862032418336</v>
      </c>
      <c r="K205" s="199">
        <f t="shared" ca="1" si="68"/>
        <v>21.185214125574252</v>
      </c>
      <c r="L205" s="199">
        <f t="shared" ca="1" si="68"/>
        <v>21.751147573948465</v>
      </c>
      <c r="M205" s="199">
        <f t="shared" ca="1" si="68"/>
        <v>22.045082000623445</v>
      </c>
      <c r="N205" s="199">
        <f t="shared" ca="1" si="68"/>
        <v>22.521080288597105</v>
      </c>
      <c r="O205" s="199">
        <f t="shared" ca="1" si="68"/>
        <v>22.762369743330293</v>
      </c>
      <c r="P205" s="199">
        <f t="shared" ca="1" si="68"/>
        <v>23.15281995189855</v>
      </c>
      <c r="Q205" s="199">
        <f t="shared" ca="1" si="68"/>
        <v>23.207658464337914</v>
      </c>
      <c r="R205" s="199">
        <f t="shared" ca="1" si="68"/>
        <v>22.192049213960935</v>
      </c>
      <c r="S205" s="199">
        <f t="shared" ca="1" si="68"/>
        <v>23.23836803130396</v>
      </c>
      <c r="T205" s="199">
        <f t="shared" ca="1" si="68"/>
        <v>24.117977770831324</v>
      </c>
      <c r="U205" s="199">
        <f t="shared" ca="1" si="68"/>
        <v>24.98003918637809</v>
      </c>
      <c r="V205" s="199">
        <f t="shared" ca="1" si="68"/>
        <v>25.958358248296307</v>
      </c>
      <c r="W205" s="199">
        <f t="shared" ca="1" si="68"/>
        <v>27.015644768127203</v>
      </c>
      <c r="X205" s="199">
        <f t="shared" ca="1" si="68"/>
        <v>28.110221476416868</v>
      </c>
      <c r="Y205" s="199">
        <f t="shared" ca="1" si="68"/>
        <v>29.259636697145886</v>
      </c>
      <c r="Z205" s="199">
        <f t="shared" ca="1" si="68"/>
        <v>30.466083970811844</v>
      </c>
      <c r="AA205" s="199">
        <f t="shared" ca="1" si="71"/>
        <v>31.839240322293467</v>
      </c>
      <c r="AB205" s="199">
        <f t="shared" ca="1" si="71"/>
        <v>33.258461024224154</v>
      </c>
      <c r="AC205" s="199">
        <f t="shared" ca="1" si="71"/>
        <v>34.583359484759136</v>
      </c>
      <c r="AD205" s="199">
        <f t="shared" ca="1" si="71"/>
        <v>35.967483538728622</v>
      </c>
      <c r="AE205" s="199">
        <f t="shared" ca="1" si="71"/>
        <v>37.327478647224787</v>
      </c>
      <c r="AF205" s="199">
        <f t="shared" ca="1" si="71"/>
        <v>38.80373140209241</v>
      </c>
      <c r="AG205" s="199">
        <f t="shared" ca="1" si="71"/>
        <v>40.203210239544923</v>
      </c>
      <c r="AH205" s="199">
        <f t="shared" ca="1" si="71"/>
        <v>41.611463238987739</v>
      </c>
      <c r="AI205" s="199">
        <f t="shared" ca="1" si="71"/>
        <v>43.193005937738931</v>
      </c>
      <c r="AJ205" s="199">
        <f t="shared" ca="1" si="71"/>
        <v>44.868870877885826</v>
      </c>
      <c r="AK205" s="199">
        <f t="shared" ca="1" si="71"/>
        <v>46.682928869379907</v>
      </c>
      <c r="AL205" s="199">
        <f t="shared" ca="1" si="71"/>
        <v>48.643954074211486</v>
      </c>
      <c r="AM205" s="199">
        <f t="shared" ca="1" si="71"/>
        <v>60.144686902994444</v>
      </c>
      <c r="AN205" s="199">
        <f t="shared" ca="1" si="71"/>
        <v>74.040765955128734</v>
      </c>
      <c r="AO205" s="199">
        <f t="shared" ca="1" si="71"/>
        <v>99.038353465488214</v>
      </c>
      <c r="AP205" s="199">
        <f t="shared" ca="1" si="71"/>
        <v>124.4351653464052</v>
      </c>
    </row>
    <row r="206" spans="1:42">
      <c r="A206" s="61" t="str">
        <f>'[4]TS BYDem'!A145</f>
        <v>*</v>
      </c>
      <c r="B206" s="199" t="s">
        <v>288</v>
      </c>
      <c r="C206" s="199" t="s">
        <v>137</v>
      </c>
      <c r="D206" s="199" t="str">
        <f>'[4]TS BYDem'!D145</f>
        <v>IFBS</v>
      </c>
      <c r="E206" s="199" t="s">
        <v>137</v>
      </c>
      <c r="F206" s="199" t="s">
        <v>137</v>
      </c>
      <c r="G206" s="199" t="s">
        <v>137</v>
      </c>
      <c r="H206" s="199" t="s">
        <v>137</v>
      </c>
      <c r="I206" s="199">
        <v>0</v>
      </c>
      <c r="J206" s="199">
        <f>INDEX('[4]TS BYDem'!$J$10:$J$203,MATCH(D206,'[4]TS BYDem'!$D$10:$D$203,0))</f>
        <v>20.421862032418336</v>
      </c>
      <c r="K206" s="199">
        <f t="shared" ca="1" si="68"/>
        <v>21.185214125574252</v>
      </c>
      <c r="L206" s="199">
        <f t="shared" ca="1" si="68"/>
        <v>21.751147573948465</v>
      </c>
      <c r="M206" s="199">
        <f t="shared" ca="1" si="68"/>
        <v>22.045082000623445</v>
      </c>
      <c r="N206" s="199">
        <f t="shared" ca="1" si="68"/>
        <v>22.521080288597105</v>
      </c>
      <c r="O206" s="199">
        <f t="shared" ca="1" si="68"/>
        <v>22.762369743330293</v>
      </c>
      <c r="P206" s="199">
        <f t="shared" ca="1" si="68"/>
        <v>23.15281995189855</v>
      </c>
      <c r="Q206" s="199">
        <f t="shared" ca="1" si="68"/>
        <v>23.207658464337914</v>
      </c>
      <c r="R206" s="199">
        <f t="shared" ca="1" si="68"/>
        <v>22.192049213960935</v>
      </c>
      <c r="S206" s="199">
        <f t="shared" ca="1" si="68"/>
        <v>23.23836803130396</v>
      </c>
      <c r="T206" s="199">
        <f t="shared" ca="1" si="68"/>
        <v>24.117977770831324</v>
      </c>
      <c r="U206" s="199">
        <f t="shared" ca="1" si="68"/>
        <v>24.98003918637809</v>
      </c>
      <c r="V206" s="199">
        <f t="shared" ca="1" si="68"/>
        <v>25.958358248296307</v>
      </c>
      <c r="W206" s="199">
        <f t="shared" ca="1" si="68"/>
        <v>27.015644768127203</v>
      </c>
      <c r="X206" s="199">
        <f t="shared" ca="1" si="68"/>
        <v>28.110221476416868</v>
      </c>
      <c r="Y206" s="199">
        <f t="shared" ca="1" si="68"/>
        <v>29.259636697145886</v>
      </c>
      <c r="Z206" s="199">
        <f t="shared" ca="1" si="68"/>
        <v>30.466083970811844</v>
      </c>
      <c r="AA206" s="199">
        <f t="shared" ca="1" si="71"/>
        <v>31.839240322293467</v>
      </c>
      <c r="AB206" s="199">
        <f t="shared" ca="1" si="71"/>
        <v>33.258461024224154</v>
      </c>
      <c r="AC206" s="199">
        <f t="shared" ca="1" si="71"/>
        <v>34.583359484759136</v>
      </c>
      <c r="AD206" s="199">
        <f t="shared" ca="1" si="71"/>
        <v>35.967483538728622</v>
      </c>
      <c r="AE206" s="199">
        <f t="shared" ca="1" si="71"/>
        <v>37.327478647224787</v>
      </c>
      <c r="AF206" s="199">
        <f t="shared" ca="1" si="71"/>
        <v>38.80373140209241</v>
      </c>
      <c r="AG206" s="199">
        <f t="shared" ca="1" si="71"/>
        <v>40.203210239544923</v>
      </c>
      <c r="AH206" s="199">
        <f t="shared" ca="1" si="71"/>
        <v>41.611463238987739</v>
      </c>
      <c r="AI206" s="199">
        <f t="shared" ca="1" si="71"/>
        <v>43.193005937738931</v>
      </c>
      <c r="AJ206" s="199">
        <f t="shared" ca="1" si="71"/>
        <v>44.868870877885826</v>
      </c>
      <c r="AK206" s="199">
        <f t="shared" ca="1" si="71"/>
        <v>46.682928869379907</v>
      </c>
      <c r="AL206" s="199">
        <f t="shared" ca="1" si="71"/>
        <v>48.643954074211486</v>
      </c>
      <c r="AM206" s="199">
        <f t="shared" ca="1" si="71"/>
        <v>60.144686902994444</v>
      </c>
      <c r="AN206" s="199">
        <f t="shared" ca="1" si="71"/>
        <v>74.040765955128734</v>
      </c>
      <c r="AO206" s="199">
        <f t="shared" ca="1" si="71"/>
        <v>99.038353465488214</v>
      </c>
      <c r="AP206" s="199">
        <f t="shared" ca="1" si="71"/>
        <v>124.4351653464052</v>
      </c>
    </row>
    <row r="207" spans="1:42">
      <c r="A207" s="61" t="str">
        <f>'[4]TS BYDem'!A146</f>
        <v>*</v>
      </c>
      <c r="B207" s="199" t="s">
        <v>288</v>
      </c>
      <c r="C207" s="199" t="s">
        <v>137</v>
      </c>
      <c r="D207" s="199" t="str">
        <f>'[4]TS BYDem'!D146</f>
        <v>IFBS</v>
      </c>
      <c r="E207" s="199" t="s">
        <v>137</v>
      </c>
      <c r="F207" s="199" t="s">
        <v>137</v>
      </c>
      <c r="G207" s="199" t="s">
        <v>137</v>
      </c>
      <c r="H207" s="199" t="s">
        <v>137</v>
      </c>
      <c r="I207" s="199">
        <v>0</v>
      </c>
      <c r="J207" s="199">
        <f>INDEX('[4]TS BYDem'!$J$10:$J$203,MATCH(D207,'[4]TS BYDem'!$D$10:$D$203,0))</f>
        <v>20.421862032418336</v>
      </c>
      <c r="K207" s="199">
        <f t="shared" ca="1" si="68"/>
        <v>21.185214125574252</v>
      </c>
      <c r="L207" s="199">
        <f t="shared" ca="1" si="68"/>
        <v>21.751147573948465</v>
      </c>
      <c r="M207" s="199">
        <f t="shared" ca="1" si="68"/>
        <v>22.045082000623445</v>
      </c>
      <c r="N207" s="199">
        <f t="shared" ca="1" si="68"/>
        <v>22.521080288597105</v>
      </c>
      <c r="O207" s="199">
        <f t="shared" ca="1" si="68"/>
        <v>22.762369743330293</v>
      </c>
      <c r="P207" s="199">
        <f t="shared" ca="1" si="68"/>
        <v>23.15281995189855</v>
      </c>
      <c r="Q207" s="199">
        <f t="shared" ca="1" si="68"/>
        <v>23.207658464337914</v>
      </c>
      <c r="R207" s="199">
        <f t="shared" ca="1" si="68"/>
        <v>22.192049213960935</v>
      </c>
      <c r="S207" s="199">
        <f t="shared" ca="1" si="68"/>
        <v>23.23836803130396</v>
      </c>
      <c r="T207" s="199">
        <f t="shared" ca="1" si="68"/>
        <v>24.117977770831324</v>
      </c>
      <c r="U207" s="199">
        <f t="shared" ca="1" si="68"/>
        <v>24.98003918637809</v>
      </c>
      <c r="V207" s="199">
        <f t="shared" ca="1" si="68"/>
        <v>25.958358248296307</v>
      </c>
      <c r="W207" s="199">
        <f t="shared" ca="1" si="68"/>
        <v>27.015644768127203</v>
      </c>
      <c r="X207" s="199">
        <f t="shared" ca="1" si="68"/>
        <v>28.110221476416868</v>
      </c>
      <c r="Y207" s="199">
        <f t="shared" ca="1" si="68"/>
        <v>29.259636697145886</v>
      </c>
      <c r="Z207" s="199">
        <f t="shared" ca="1" si="68"/>
        <v>30.466083970811844</v>
      </c>
      <c r="AA207" s="199">
        <f t="shared" ca="1" si="71"/>
        <v>31.839240322293467</v>
      </c>
      <c r="AB207" s="199">
        <f t="shared" ca="1" si="71"/>
        <v>33.258461024224154</v>
      </c>
      <c r="AC207" s="199">
        <f t="shared" ca="1" si="71"/>
        <v>34.583359484759136</v>
      </c>
      <c r="AD207" s="199">
        <f t="shared" ca="1" si="71"/>
        <v>35.967483538728622</v>
      </c>
      <c r="AE207" s="199">
        <f t="shared" ca="1" si="71"/>
        <v>37.327478647224787</v>
      </c>
      <c r="AF207" s="199">
        <f t="shared" ca="1" si="71"/>
        <v>38.80373140209241</v>
      </c>
      <c r="AG207" s="199">
        <f t="shared" ca="1" si="71"/>
        <v>40.203210239544923</v>
      </c>
      <c r="AH207" s="199">
        <f t="shared" ca="1" si="71"/>
        <v>41.611463238987739</v>
      </c>
      <c r="AI207" s="199">
        <f t="shared" ca="1" si="71"/>
        <v>43.193005937738931</v>
      </c>
      <c r="AJ207" s="199">
        <f t="shared" ca="1" si="71"/>
        <v>44.868870877885826</v>
      </c>
      <c r="AK207" s="199">
        <f t="shared" ca="1" si="71"/>
        <v>46.682928869379907</v>
      </c>
      <c r="AL207" s="199">
        <f t="shared" ca="1" si="71"/>
        <v>48.643954074211486</v>
      </c>
      <c r="AM207" s="199">
        <f t="shared" ca="1" si="71"/>
        <v>60.144686902994444</v>
      </c>
      <c r="AN207" s="199">
        <f t="shared" ca="1" si="71"/>
        <v>74.040765955128734</v>
      </c>
      <c r="AO207" s="199">
        <f t="shared" ca="1" si="71"/>
        <v>99.038353465488214</v>
      </c>
      <c r="AP207" s="199">
        <f t="shared" ca="1" si="71"/>
        <v>124.4351653464052</v>
      </c>
    </row>
    <row r="208" spans="1:42">
      <c r="A208" s="61" t="str">
        <f>'[4]TS BYDem'!A147</f>
        <v>*</v>
      </c>
      <c r="B208" s="199" t="s">
        <v>288</v>
      </c>
      <c r="C208" s="199" t="s">
        <v>137</v>
      </c>
      <c r="D208" s="199" t="str">
        <f>'[4]TS BYDem'!D147</f>
        <v>IFBS</v>
      </c>
      <c r="E208" s="199" t="s">
        <v>137</v>
      </c>
      <c r="F208" s="199" t="s">
        <v>137</v>
      </c>
      <c r="G208" s="199" t="s">
        <v>137</v>
      </c>
      <c r="H208" s="199" t="s">
        <v>137</v>
      </c>
      <c r="I208" s="199">
        <v>0</v>
      </c>
      <c r="J208" s="199">
        <f>INDEX('[4]TS BYDem'!$J$10:$J$203,MATCH(D208,'[4]TS BYDem'!$D$10:$D$203,0))</f>
        <v>20.421862032418336</v>
      </c>
      <c r="K208" s="199">
        <f t="shared" ca="1" si="68"/>
        <v>21.185214125574252</v>
      </c>
      <c r="L208" s="199">
        <f t="shared" ca="1" si="68"/>
        <v>21.751147573948465</v>
      </c>
      <c r="M208" s="199">
        <f t="shared" ca="1" si="68"/>
        <v>22.045082000623445</v>
      </c>
      <c r="N208" s="199">
        <f t="shared" ca="1" si="68"/>
        <v>22.521080288597105</v>
      </c>
      <c r="O208" s="199">
        <f t="shared" ca="1" si="68"/>
        <v>22.762369743330293</v>
      </c>
      <c r="P208" s="199">
        <f t="shared" ca="1" si="68"/>
        <v>23.15281995189855</v>
      </c>
      <c r="Q208" s="199">
        <f t="shared" ca="1" si="68"/>
        <v>23.207658464337914</v>
      </c>
      <c r="R208" s="199">
        <f t="shared" ca="1" si="68"/>
        <v>22.192049213960935</v>
      </c>
      <c r="S208" s="199">
        <f t="shared" ca="1" si="68"/>
        <v>23.23836803130396</v>
      </c>
      <c r="T208" s="199">
        <f t="shared" ca="1" si="68"/>
        <v>24.117977770831324</v>
      </c>
      <c r="U208" s="199">
        <f t="shared" ca="1" si="68"/>
        <v>24.98003918637809</v>
      </c>
      <c r="V208" s="199">
        <f t="shared" ca="1" si="68"/>
        <v>25.958358248296307</v>
      </c>
      <c r="W208" s="199">
        <f t="shared" ca="1" si="68"/>
        <v>27.015644768127203</v>
      </c>
      <c r="X208" s="199">
        <f t="shared" ca="1" si="68"/>
        <v>28.110221476416868</v>
      </c>
      <c r="Y208" s="199">
        <f t="shared" ca="1" si="68"/>
        <v>29.259636697145886</v>
      </c>
      <c r="Z208" s="199">
        <f t="shared" ca="1" si="68"/>
        <v>30.466083970811844</v>
      </c>
      <c r="AA208" s="199">
        <f t="shared" ca="1" si="71"/>
        <v>31.839240322293467</v>
      </c>
      <c r="AB208" s="199">
        <f t="shared" ca="1" si="71"/>
        <v>33.258461024224154</v>
      </c>
      <c r="AC208" s="199">
        <f t="shared" ca="1" si="71"/>
        <v>34.583359484759136</v>
      </c>
      <c r="AD208" s="199">
        <f t="shared" ca="1" si="71"/>
        <v>35.967483538728622</v>
      </c>
      <c r="AE208" s="199">
        <f t="shared" ca="1" si="71"/>
        <v>37.327478647224787</v>
      </c>
      <c r="AF208" s="199">
        <f t="shared" ca="1" si="71"/>
        <v>38.80373140209241</v>
      </c>
      <c r="AG208" s="199">
        <f t="shared" ca="1" si="71"/>
        <v>40.203210239544923</v>
      </c>
      <c r="AH208" s="199">
        <f t="shared" ca="1" si="71"/>
        <v>41.611463238987739</v>
      </c>
      <c r="AI208" s="199">
        <f t="shared" ca="1" si="71"/>
        <v>43.193005937738931</v>
      </c>
      <c r="AJ208" s="199">
        <f t="shared" ca="1" si="71"/>
        <v>44.868870877885826</v>
      </c>
      <c r="AK208" s="199">
        <f t="shared" ca="1" si="71"/>
        <v>46.682928869379907</v>
      </c>
      <c r="AL208" s="199">
        <f t="shared" ca="1" si="71"/>
        <v>48.643954074211486</v>
      </c>
      <c r="AM208" s="199">
        <f t="shared" ca="1" si="71"/>
        <v>60.144686902994444</v>
      </c>
      <c r="AN208" s="199">
        <f t="shared" ca="1" si="71"/>
        <v>74.040765955128734</v>
      </c>
      <c r="AO208" s="199">
        <f t="shared" ca="1" si="71"/>
        <v>99.038353465488214</v>
      </c>
      <c r="AP208" s="199">
        <f t="shared" ref="AP208" ca="1" si="74">AP$192/AO$192*AO208</f>
        <v>124.4351653464052</v>
      </c>
    </row>
    <row r="209" spans="1:42">
      <c r="A209" s="61" t="str">
        <f>'[4]TS BYDem'!A148</f>
        <v>*</v>
      </c>
      <c r="B209" s="199" t="s">
        <v>288</v>
      </c>
      <c r="C209" s="199" t="s">
        <v>137</v>
      </c>
      <c r="D209" s="199" t="str">
        <f>'[4]TS BYDem'!D148</f>
        <v>IFBS</v>
      </c>
      <c r="E209" s="199" t="s">
        <v>137</v>
      </c>
      <c r="F209" s="199" t="s">
        <v>137</v>
      </c>
      <c r="G209" s="199" t="s">
        <v>137</v>
      </c>
      <c r="H209" s="199" t="s">
        <v>137</v>
      </c>
      <c r="I209" s="199">
        <v>0</v>
      </c>
      <c r="J209" s="199">
        <f>INDEX('[4]TS BYDem'!$J$10:$J$203,MATCH(D209,'[4]TS BYDem'!$D$10:$D$203,0))</f>
        <v>20.421862032418336</v>
      </c>
    </row>
    <row r="210" spans="1:42">
      <c r="A210" s="61" t="str">
        <f>'[4]TS BYDem'!A149</f>
        <v>*</v>
      </c>
      <c r="B210" s="199" t="s">
        <v>288</v>
      </c>
      <c r="C210" s="199" t="s">
        <v>137</v>
      </c>
      <c r="D210" s="199" t="str">
        <f>'[4]TS BYDem'!D149</f>
        <v>Useful Energy Service</v>
      </c>
      <c r="E210" s="199" t="s">
        <v>137</v>
      </c>
      <c r="F210" s="199" t="s">
        <v>137</v>
      </c>
      <c r="G210" s="199" t="s">
        <v>137</v>
      </c>
      <c r="H210" s="199" t="s">
        <v>137</v>
      </c>
      <c r="I210" s="199">
        <v>0</v>
      </c>
      <c r="J210" s="199" t="str">
        <f>INDEX('[4]TS BYDem'!$J$10:$J$203,MATCH(D210,'[4]TS BYDem'!$D$10:$D$203,0))</f>
        <v/>
      </c>
    </row>
    <row r="211" spans="1:42" s="5" customFormat="1">
      <c r="A211" s="61" t="str">
        <f>'[4]TS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73.040000000000006</v>
      </c>
      <c r="L211" s="5">
        <f t="shared" ca="1" si="75"/>
        <v>74.64</v>
      </c>
      <c r="M211" s="5">
        <f t="shared" ca="1" si="75"/>
        <v>75.680000000000007</v>
      </c>
      <c r="N211" s="5">
        <f t="shared" ca="1" si="75"/>
        <v>77.12</v>
      </c>
      <c r="O211" s="5">
        <f t="shared" ca="1" si="75"/>
        <v>77.44</v>
      </c>
      <c r="P211" s="5">
        <f t="shared" ca="1" si="75"/>
        <v>79.28</v>
      </c>
      <c r="Q211" s="5">
        <f t="shared" ca="1" si="75"/>
        <v>79.84</v>
      </c>
      <c r="R211" s="5">
        <f t="shared" ca="1" si="75"/>
        <v>74.319999999999993</v>
      </c>
      <c r="S211" s="5">
        <f t="shared" ca="1" si="75"/>
        <v>77.52</v>
      </c>
      <c r="T211" s="5">
        <f t="shared" ca="1" si="75"/>
        <v>80.319999999999993</v>
      </c>
      <c r="U211" s="5">
        <f t="shared" ca="1" si="75"/>
        <v>83.32</v>
      </c>
      <c r="V211" s="5">
        <f t="shared" ca="1" si="75"/>
        <v>86.76</v>
      </c>
      <c r="W211" s="5">
        <f t="shared" ca="1" si="75"/>
        <v>90.8</v>
      </c>
      <c r="X211" s="5">
        <f t="shared" ca="1" si="75"/>
        <v>94.88</v>
      </c>
      <c r="Y211" s="5">
        <f t="shared" ca="1" si="75"/>
        <v>99.28</v>
      </c>
      <c r="Z211" s="5">
        <f t="shared" ca="1" si="75"/>
        <v>104</v>
      </c>
      <c r="AA211" s="5">
        <f t="shared" ca="1" si="75"/>
        <v>109.2</v>
      </c>
      <c r="AB211" s="5">
        <f t="shared" ca="1" si="75"/>
        <v>114.64</v>
      </c>
      <c r="AC211" s="5">
        <f t="shared" ca="1" si="75"/>
        <v>119.96</v>
      </c>
      <c r="AD211" s="5">
        <f t="shared" ca="1" si="75"/>
        <v>125.6</v>
      </c>
      <c r="AE211" s="5">
        <f t="shared" ca="1" si="75"/>
        <v>131.47999999999999</v>
      </c>
      <c r="AF211" s="5">
        <f t="shared" ca="1" si="75"/>
        <v>137.6</v>
      </c>
      <c r="AG211" s="5">
        <f t="shared" ca="1" si="75"/>
        <v>143.04</v>
      </c>
      <c r="AH211" s="5">
        <f t="shared" ca="1" si="75"/>
        <v>149.12</v>
      </c>
      <c r="AI211" s="5">
        <f t="shared" ca="1" si="75"/>
        <v>155.84</v>
      </c>
      <c r="AJ211" s="5">
        <f t="shared" ca="1" si="75"/>
        <v>163.08000000000001</v>
      </c>
      <c r="AK211" s="5">
        <f t="shared" ca="1" si="75"/>
        <v>170.76</v>
      </c>
      <c r="AL211" s="5">
        <f t="shared" ca="1" si="75"/>
        <v>178.88</v>
      </c>
      <c r="AM211" s="5">
        <f t="shared" ca="1" si="75"/>
        <v>228.72</v>
      </c>
      <c r="AN211" s="5">
        <f t="shared" ca="1" si="75"/>
        <v>291.12</v>
      </c>
      <c r="AO211" s="5">
        <f t="shared" ca="1" si="75"/>
        <v>401.26666666666279</v>
      </c>
      <c r="AP211" s="5">
        <f t="shared" ca="1" si="75"/>
        <v>513.50666666666439</v>
      </c>
    </row>
    <row r="212" spans="1:42">
      <c r="A212" s="61" t="str">
        <f>'[4]TS BYDem'!A151</f>
        <v>*</v>
      </c>
      <c r="B212" s="199" t="s">
        <v>288</v>
      </c>
      <c r="C212" s="199" t="s">
        <v>137</v>
      </c>
      <c r="D212" s="199">
        <f>'[4]TS BYDem'!D151</f>
        <v>2</v>
      </c>
      <c r="E212" s="199" t="s">
        <v>137</v>
      </c>
      <c r="F212" s="199" t="s">
        <v>137</v>
      </c>
      <c r="G212" s="199" t="s">
        <v>137</v>
      </c>
      <c r="H212" s="199" t="s">
        <v>137</v>
      </c>
      <c r="I212" s="199">
        <v>0</v>
      </c>
      <c r="J212" s="199" t="str">
        <f>INDEX('[4]TS BYDem'!$J$10:$J$203,MATCH(D212,'[4]TS BYDem'!$D$10:$D$203,0))</f>
        <v/>
      </c>
      <c r="K212" s="199" t="e">
        <f t="shared" ref="K212:Z227" ca="1" si="76">K$211/J$211*J212</f>
        <v>#VALUE!</v>
      </c>
      <c r="L212" s="199" t="e">
        <f t="shared" ca="1" si="76"/>
        <v>#VALUE!</v>
      </c>
      <c r="M212" s="199" t="e">
        <f t="shared" ca="1" si="76"/>
        <v>#VALUE!</v>
      </c>
      <c r="N212" s="199" t="e">
        <f t="shared" ca="1" si="76"/>
        <v>#VALUE!</v>
      </c>
      <c r="O212" s="199" t="e">
        <f t="shared" ca="1" si="76"/>
        <v>#VALUE!</v>
      </c>
      <c r="P212" s="199" t="e">
        <f t="shared" ca="1" si="76"/>
        <v>#VALUE!</v>
      </c>
      <c r="Q212" s="199" t="e">
        <f t="shared" ca="1" si="76"/>
        <v>#VALUE!</v>
      </c>
      <c r="R212" s="199" t="e">
        <f t="shared" ca="1" si="76"/>
        <v>#VALUE!</v>
      </c>
      <c r="S212" s="199" t="e">
        <f t="shared" ca="1" si="76"/>
        <v>#VALUE!</v>
      </c>
      <c r="T212" s="199" t="e">
        <f t="shared" ca="1" si="76"/>
        <v>#VALUE!</v>
      </c>
      <c r="U212" s="199" t="e">
        <f t="shared" ca="1" si="76"/>
        <v>#VALUE!</v>
      </c>
      <c r="V212" s="199" t="e">
        <f t="shared" ca="1" si="76"/>
        <v>#VALUE!</v>
      </c>
      <c r="W212" s="199" t="e">
        <f t="shared" ca="1" si="76"/>
        <v>#VALUE!</v>
      </c>
      <c r="X212" s="199" t="e">
        <f t="shared" ca="1" si="76"/>
        <v>#VALUE!</v>
      </c>
      <c r="Y212" s="199" t="e">
        <f t="shared" ca="1" si="76"/>
        <v>#VALUE!</v>
      </c>
      <c r="Z212" s="199" t="e">
        <f t="shared" ca="1" si="76"/>
        <v>#VALUE!</v>
      </c>
      <c r="AA212" s="199" t="e">
        <f t="shared" ref="AA212:AP227" ca="1" si="77">AA$211/Z$211*Z212</f>
        <v>#VALUE!</v>
      </c>
      <c r="AB212" s="199" t="e">
        <f t="shared" ca="1" si="77"/>
        <v>#VALUE!</v>
      </c>
      <c r="AC212" s="199" t="e">
        <f t="shared" ca="1" si="77"/>
        <v>#VALUE!</v>
      </c>
      <c r="AD212" s="199" t="e">
        <f t="shared" ca="1" si="77"/>
        <v>#VALUE!</v>
      </c>
      <c r="AE212" s="199" t="e">
        <f t="shared" ca="1" si="77"/>
        <v>#VALUE!</v>
      </c>
      <c r="AF212" s="199" t="e">
        <f t="shared" ca="1" si="77"/>
        <v>#VALUE!</v>
      </c>
      <c r="AG212" s="199" t="e">
        <f t="shared" ca="1" si="77"/>
        <v>#VALUE!</v>
      </c>
      <c r="AH212" s="199" t="e">
        <f t="shared" ca="1" si="77"/>
        <v>#VALUE!</v>
      </c>
      <c r="AI212" s="199" t="e">
        <f t="shared" ca="1" si="77"/>
        <v>#VALUE!</v>
      </c>
      <c r="AJ212" s="199" t="e">
        <f t="shared" ca="1" si="77"/>
        <v>#VALUE!</v>
      </c>
      <c r="AK212" s="199" t="e">
        <f t="shared" ca="1" si="77"/>
        <v>#VALUE!</v>
      </c>
      <c r="AL212" s="199" t="e">
        <f t="shared" ca="1" si="77"/>
        <v>#VALUE!</v>
      </c>
      <c r="AM212" s="199" t="e">
        <f t="shared" ca="1" si="77"/>
        <v>#VALUE!</v>
      </c>
      <c r="AN212" s="199" t="e">
        <f t="shared" ca="1" si="77"/>
        <v>#VALUE!</v>
      </c>
      <c r="AO212" s="199" t="e">
        <f t="shared" ca="1" si="77"/>
        <v>#VALUE!</v>
      </c>
      <c r="AP212" s="199" t="e">
        <f t="shared" ca="1" si="77"/>
        <v>#VALUE!</v>
      </c>
    </row>
    <row r="213" spans="1:42">
      <c r="A213" s="61" t="str">
        <f>'[4]TS BYDem'!A152</f>
        <v>*</v>
      </c>
      <c r="B213" s="199" t="s">
        <v>288</v>
      </c>
      <c r="C213" s="199" t="s">
        <v>137</v>
      </c>
      <c r="D213" s="199" t="str">
        <f>'[4]TS BYDem'!D152</f>
        <v>IPPK</v>
      </c>
      <c r="E213" s="199" t="s">
        <v>137</v>
      </c>
      <c r="F213" s="199" t="s">
        <v>137</v>
      </c>
      <c r="G213" s="199" t="s">
        <v>137</v>
      </c>
      <c r="H213" s="199" t="s">
        <v>137</v>
      </c>
      <c r="I213" s="199">
        <v>0</v>
      </c>
      <c r="J213" s="199" t="str">
        <f>INDEX('[4]TS BYDem'!$J$10:$J$203,MATCH(D213,'[4]TS BYDem'!$D$10:$D$203,0))</f>
        <v/>
      </c>
      <c r="K213" s="199" t="e">
        <f t="shared" ca="1" si="76"/>
        <v>#VALUE!</v>
      </c>
      <c r="L213" s="199" t="e">
        <f t="shared" ca="1" si="76"/>
        <v>#VALUE!</v>
      </c>
      <c r="M213" s="199" t="e">
        <f t="shared" ca="1" si="76"/>
        <v>#VALUE!</v>
      </c>
      <c r="N213" s="199" t="e">
        <f t="shared" ca="1" si="76"/>
        <v>#VALUE!</v>
      </c>
      <c r="O213" s="199" t="e">
        <f t="shared" ca="1" si="76"/>
        <v>#VALUE!</v>
      </c>
      <c r="P213" s="199" t="e">
        <f t="shared" ca="1" si="76"/>
        <v>#VALUE!</v>
      </c>
      <c r="Q213" s="199" t="e">
        <f t="shared" ca="1" si="76"/>
        <v>#VALUE!</v>
      </c>
      <c r="R213" s="199" t="e">
        <f t="shared" ca="1" si="76"/>
        <v>#VALUE!</v>
      </c>
      <c r="S213" s="199" t="e">
        <f t="shared" ca="1" si="76"/>
        <v>#VALUE!</v>
      </c>
      <c r="T213" s="199" t="e">
        <f t="shared" ca="1" si="76"/>
        <v>#VALUE!</v>
      </c>
      <c r="U213" s="199" t="e">
        <f t="shared" ca="1" si="76"/>
        <v>#VALUE!</v>
      </c>
      <c r="V213" s="199" t="e">
        <f t="shared" ca="1" si="76"/>
        <v>#VALUE!</v>
      </c>
      <c r="W213" s="199" t="e">
        <f t="shared" ca="1" si="76"/>
        <v>#VALUE!</v>
      </c>
      <c r="X213" s="199" t="e">
        <f t="shared" ca="1" si="76"/>
        <v>#VALUE!</v>
      </c>
      <c r="Y213" s="199" t="e">
        <f t="shared" ca="1" si="76"/>
        <v>#VALUE!</v>
      </c>
      <c r="Z213" s="199" t="e">
        <f t="shared" ca="1" si="76"/>
        <v>#VALUE!</v>
      </c>
      <c r="AA213" s="199" t="e">
        <f t="shared" ca="1" si="77"/>
        <v>#VALUE!</v>
      </c>
      <c r="AB213" s="199" t="e">
        <f t="shared" ca="1" si="77"/>
        <v>#VALUE!</v>
      </c>
      <c r="AC213" s="199" t="e">
        <f t="shared" ca="1" si="77"/>
        <v>#VALUE!</v>
      </c>
      <c r="AD213" s="199" t="e">
        <f t="shared" ca="1" si="77"/>
        <v>#VALUE!</v>
      </c>
      <c r="AE213" s="199" t="e">
        <f t="shared" ca="1" si="77"/>
        <v>#VALUE!</v>
      </c>
      <c r="AF213" s="199" t="e">
        <f t="shared" ca="1" si="77"/>
        <v>#VALUE!</v>
      </c>
      <c r="AG213" s="199" t="e">
        <f t="shared" ca="1" si="77"/>
        <v>#VALUE!</v>
      </c>
      <c r="AH213" s="199" t="e">
        <f t="shared" ca="1" si="77"/>
        <v>#VALUE!</v>
      </c>
      <c r="AI213" s="199" t="e">
        <f t="shared" ca="1" si="77"/>
        <v>#VALUE!</v>
      </c>
      <c r="AJ213" s="199" t="e">
        <f t="shared" ca="1" si="77"/>
        <v>#VALUE!</v>
      </c>
      <c r="AK213" s="199" t="e">
        <f t="shared" ca="1" si="77"/>
        <v>#VALUE!</v>
      </c>
      <c r="AL213" s="199" t="e">
        <f t="shared" ca="1" si="77"/>
        <v>#VALUE!</v>
      </c>
      <c r="AM213" s="199" t="e">
        <f t="shared" ca="1" si="77"/>
        <v>#VALUE!</v>
      </c>
      <c r="AN213" s="199" t="e">
        <f t="shared" ca="1" si="77"/>
        <v>#VALUE!</v>
      </c>
      <c r="AO213" s="199" t="e">
        <f t="shared" ca="1" si="77"/>
        <v>#VALUE!</v>
      </c>
      <c r="AP213" s="199" t="e">
        <f t="shared" ca="1" si="77"/>
        <v>#VALUE!</v>
      </c>
    </row>
    <row r="214" spans="1:42">
      <c r="A214" s="61" t="str">
        <f>'[4]TS BYDem'!A153</f>
        <v>*</v>
      </c>
      <c r="B214" s="199" t="s">
        <v>288</v>
      </c>
      <c r="C214" s="199" t="s">
        <v>137</v>
      </c>
      <c r="D214" s="199" t="str">
        <f>'[4]TS BYDem'!D153</f>
        <v>IPPA</v>
      </c>
      <c r="E214" s="199" t="s">
        <v>137</v>
      </c>
      <c r="F214" s="199" t="s">
        <v>137</v>
      </c>
      <c r="G214" s="199" t="s">
        <v>137</v>
      </c>
      <c r="H214" s="199" t="s">
        <v>137</v>
      </c>
      <c r="I214" s="199">
        <v>0</v>
      </c>
      <c r="J214" s="199" t="str">
        <f>INDEX('[4]TS BYDem'!$J$10:$J$203,MATCH(D214,'[4]TS BYDem'!$D$10:$D$203,0))</f>
        <v/>
      </c>
      <c r="K214" s="199" t="e">
        <f t="shared" ca="1" si="76"/>
        <v>#VALUE!</v>
      </c>
      <c r="L214" s="199" t="e">
        <f t="shared" ca="1" si="76"/>
        <v>#VALUE!</v>
      </c>
      <c r="M214" s="199" t="e">
        <f t="shared" ca="1" si="76"/>
        <v>#VALUE!</v>
      </c>
      <c r="N214" s="199" t="e">
        <f t="shared" ca="1" si="76"/>
        <v>#VALUE!</v>
      </c>
      <c r="O214" s="199" t="e">
        <f t="shared" ca="1" si="76"/>
        <v>#VALUE!</v>
      </c>
      <c r="P214" s="199" t="e">
        <f t="shared" ca="1" si="76"/>
        <v>#VALUE!</v>
      </c>
      <c r="Q214" s="199" t="e">
        <f t="shared" ca="1" si="76"/>
        <v>#VALUE!</v>
      </c>
      <c r="R214" s="199" t="e">
        <f t="shared" ca="1" si="76"/>
        <v>#VALUE!</v>
      </c>
      <c r="S214" s="199" t="e">
        <f t="shared" ca="1" si="76"/>
        <v>#VALUE!</v>
      </c>
      <c r="T214" s="199" t="e">
        <f t="shared" ca="1" si="76"/>
        <v>#VALUE!</v>
      </c>
      <c r="U214" s="199" t="e">
        <f t="shared" ca="1" si="76"/>
        <v>#VALUE!</v>
      </c>
      <c r="V214" s="199" t="e">
        <f t="shared" ca="1" si="76"/>
        <v>#VALUE!</v>
      </c>
      <c r="W214" s="199" t="e">
        <f t="shared" ca="1" si="76"/>
        <v>#VALUE!</v>
      </c>
      <c r="X214" s="199" t="e">
        <f t="shared" ca="1" si="76"/>
        <v>#VALUE!</v>
      </c>
      <c r="Y214" s="199" t="e">
        <f t="shared" ca="1" si="76"/>
        <v>#VALUE!</v>
      </c>
      <c r="Z214" s="199" t="e">
        <f t="shared" ca="1" si="76"/>
        <v>#VALUE!</v>
      </c>
      <c r="AA214" s="199" t="e">
        <f t="shared" ca="1" si="77"/>
        <v>#VALUE!</v>
      </c>
      <c r="AB214" s="199" t="e">
        <f t="shared" ca="1" si="77"/>
        <v>#VALUE!</v>
      </c>
      <c r="AC214" s="199" t="e">
        <f t="shared" ca="1" si="77"/>
        <v>#VALUE!</v>
      </c>
      <c r="AD214" s="199" t="e">
        <f t="shared" ca="1" si="77"/>
        <v>#VALUE!</v>
      </c>
      <c r="AE214" s="199" t="e">
        <f t="shared" ca="1" si="77"/>
        <v>#VALUE!</v>
      </c>
      <c r="AF214" s="199" t="e">
        <f t="shared" ca="1" si="77"/>
        <v>#VALUE!</v>
      </c>
      <c r="AG214" s="199" t="e">
        <f t="shared" ca="1" si="77"/>
        <v>#VALUE!</v>
      </c>
      <c r="AH214" s="199" t="e">
        <f t="shared" ca="1" si="77"/>
        <v>#VALUE!</v>
      </c>
      <c r="AI214" s="199" t="e">
        <f t="shared" ca="1" si="77"/>
        <v>#VALUE!</v>
      </c>
      <c r="AJ214" s="199" t="e">
        <f t="shared" ca="1" si="77"/>
        <v>#VALUE!</v>
      </c>
      <c r="AK214" s="199" t="e">
        <f t="shared" ca="1" si="77"/>
        <v>#VALUE!</v>
      </c>
      <c r="AL214" s="199" t="e">
        <f t="shared" ca="1" si="77"/>
        <v>#VALUE!</v>
      </c>
      <c r="AM214" s="199" t="e">
        <f t="shared" ca="1" si="77"/>
        <v>#VALUE!</v>
      </c>
      <c r="AN214" s="199" t="e">
        <f t="shared" ca="1" si="77"/>
        <v>#VALUE!</v>
      </c>
      <c r="AO214" s="199" t="e">
        <f t="shared" ca="1" si="77"/>
        <v>#VALUE!</v>
      </c>
      <c r="AP214" s="199" t="e">
        <f t="shared" ca="1" si="77"/>
        <v>#VALUE!</v>
      </c>
    </row>
    <row r="215" spans="1:42">
      <c r="A215" s="61" t="str">
        <f>'[4]TS BYDem'!A154</f>
        <v>*</v>
      </c>
      <c r="B215" s="199" t="s">
        <v>288</v>
      </c>
      <c r="C215" s="199" t="s">
        <v>137</v>
      </c>
      <c r="D215" s="199" t="str">
        <f>'[4]TS BYDem'!D154</f>
        <v>IPPL</v>
      </c>
      <c r="E215" s="199" t="s">
        <v>137</v>
      </c>
      <c r="F215" s="199" t="s">
        <v>137</v>
      </c>
      <c r="G215" s="199" t="s">
        <v>137</v>
      </c>
      <c r="H215" s="199" t="s">
        <v>137</v>
      </c>
      <c r="I215" s="199">
        <v>0</v>
      </c>
      <c r="J215" s="199" t="str">
        <f>INDEX('[4]TS BYDem'!$J$10:$J$203,MATCH(D215,'[4]TS BYDem'!$D$10:$D$203,0))</f>
        <v/>
      </c>
      <c r="K215" s="199" t="e">
        <f t="shared" ca="1" si="76"/>
        <v>#VALUE!</v>
      </c>
      <c r="L215" s="199" t="e">
        <f t="shared" ca="1" si="76"/>
        <v>#VALUE!</v>
      </c>
      <c r="M215" s="199" t="e">
        <f t="shared" ca="1" si="76"/>
        <v>#VALUE!</v>
      </c>
      <c r="N215" s="199" t="e">
        <f t="shared" ca="1" si="76"/>
        <v>#VALUE!</v>
      </c>
      <c r="O215" s="199" t="e">
        <f t="shared" ca="1" si="76"/>
        <v>#VALUE!</v>
      </c>
      <c r="P215" s="199" t="e">
        <f t="shared" ca="1" si="76"/>
        <v>#VALUE!</v>
      </c>
      <c r="Q215" s="199" t="e">
        <f t="shared" ca="1" si="76"/>
        <v>#VALUE!</v>
      </c>
      <c r="R215" s="199" t="e">
        <f t="shared" ca="1" si="76"/>
        <v>#VALUE!</v>
      </c>
      <c r="S215" s="199" t="e">
        <f t="shared" ca="1" si="76"/>
        <v>#VALUE!</v>
      </c>
      <c r="T215" s="199" t="e">
        <f t="shared" ca="1" si="76"/>
        <v>#VALUE!</v>
      </c>
      <c r="U215" s="199" t="e">
        <f t="shared" ca="1" si="76"/>
        <v>#VALUE!</v>
      </c>
      <c r="V215" s="199" t="e">
        <f t="shared" ca="1" si="76"/>
        <v>#VALUE!</v>
      </c>
      <c r="W215" s="199" t="e">
        <f t="shared" ca="1" si="76"/>
        <v>#VALUE!</v>
      </c>
      <c r="X215" s="199" t="e">
        <f t="shared" ca="1" si="76"/>
        <v>#VALUE!</v>
      </c>
      <c r="Y215" s="199" t="e">
        <f t="shared" ca="1" si="76"/>
        <v>#VALUE!</v>
      </c>
      <c r="Z215" s="199" t="e">
        <f t="shared" ca="1" si="76"/>
        <v>#VALUE!</v>
      </c>
      <c r="AA215" s="199" t="e">
        <f t="shared" ca="1" si="77"/>
        <v>#VALUE!</v>
      </c>
      <c r="AB215" s="199" t="e">
        <f t="shared" ca="1" si="77"/>
        <v>#VALUE!</v>
      </c>
      <c r="AC215" s="199" t="e">
        <f t="shared" ca="1" si="77"/>
        <v>#VALUE!</v>
      </c>
      <c r="AD215" s="199" t="e">
        <f t="shared" ca="1" si="77"/>
        <v>#VALUE!</v>
      </c>
      <c r="AE215" s="199" t="e">
        <f t="shared" ca="1" si="77"/>
        <v>#VALUE!</v>
      </c>
      <c r="AF215" s="199" t="e">
        <f t="shared" ca="1" si="77"/>
        <v>#VALUE!</v>
      </c>
      <c r="AG215" s="199" t="e">
        <f t="shared" ca="1" si="77"/>
        <v>#VALUE!</v>
      </c>
      <c r="AH215" s="199" t="e">
        <f t="shared" ca="1" si="77"/>
        <v>#VALUE!</v>
      </c>
      <c r="AI215" s="199" t="e">
        <f t="shared" ca="1" si="77"/>
        <v>#VALUE!</v>
      </c>
      <c r="AJ215" s="199" t="e">
        <f t="shared" ca="1" si="77"/>
        <v>#VALUE!</v>
      </c>
      <c r="AK215" s="199" t="e">
        <f t="shared" ca="1" si="77"/>
        <v>#VALUE!</v>
      </c>
      <c r="AL215" s="199" t="e">
        <f t="shared" ca="1" si="77"/>
        <v>#VALUE!</v>
      </c>
      <c r="AM215" s="199" t="e">
        <f t="shared" ca="1" si="77"/>
        <v>#VALUE!</v>
      </c>
      <c r="AN215" s="199" t="e">
        <f t="shared" ca="1" si="77"/>
        <v>#VALUE!</v>
      </c>
      <c r="AO215" s="199" t="e">
        <f t="shared" ca="1" si="77"/>
        <v>#VALUE!</v>
      </c>
      <c r="AP215" s="199" t="e">
        <f t="shared" ca="1" si="77"/>
        <v>#VALUE!</v>
      </c>
    </row>
    <row r="216" spans="1:42">
      <c r="A216" s="61" t="str">
        <f>'[4]TS BYDem'!A155</f>
        <v>*</v>
      </c>
      <c r="B216" s="199" t="s">
        <v>288</v>
      </c>
      <c r="C216" s="199" t="s">
        <v>137</v>
      </c>
      <c r="D216" s="199" t="str">
        <f>'[4]TS BYDem'!D155</f>
        <v>IPPC</v>
      </c>
      <c r="E216" s="199" t="s">
        <v>137</v>
      </c>
      <c r="F216" s="199" t="s">
        <v>137</v>
      </c>
      <c r="G216" s="199" t="s">
        <v>137</v>
      </c>
      <c r="H216" s="199" t="s">
        <v>137</v>
      </c>
      <c r="I216" s="199">
        <v>0</v>
      </c>
      <c r="J216" s="199" t="str">
        <f>INDEX('[4]TS BYDem'!$J$10:$J$203,MATCH(D216,'[4]TS BYDem'!$D$10:$D$203,0))</f>
        <v/>
      </c>
      <c r="K216" s="199" t="e">
        <f t="shared" ca="1" si="76"/>
        <v>#VALUE!</v>
      </c>
      <c r="L216" s="199" t="e">
        <f t="shared" ca="1" si="76"/>
        <v>#VALUE!</v>
      </c>
      <c r="M216" s="199" t="e">
        <f t="shared" ca="1" si="76"/>
        <v>#VALUE!</v>
      </c>
      <c r="N216" s="199" t="e">
        <f t="shared" ca="1" si="76"/>
        <v>#VALUE!</v>
      </c>
      <c r="O216" s="199" t="e">
        <f t="shared" ca="1" si="76"/>
        <v>#VALUE!</v>
      </c>
      <c r="P216" s="199" t="e">
        <f t="shared" ca="1" si="76"/>
        <v>#VALUE!</v>
      </c>
      <c r="Q216" s="199" t="e">
        <f t="shared" ca="1" si="76"/>
        <v>#VALUE!</v>
      </c>
      <c r="R216" s="199" t="e">
        <f t="shared" ca="1" si="76"/>
        <v>#VALUE!</v>
      </c>
      <c r="S216" s="199" t="e">
        <f t="shared" ca="1" si="76"/>
        <v>#VALUE!</v>
      </c>
      <c r="T216" s="199" t="e">
        <f t="shared" ca="1" si="76"/>
        <v>#VALUE!</v>
      </c>
      <c r="U216" s="199" t="e">
        <f t="shared" ca="1" si="76"/>
        <v>#VALUE!</v>
      </c>
      <c r="V216" s="199" t="e">
        <f t="shared" ca="1" si="76"/>
        <v>#VALUE!</v>
      </c>
      <c r="W216" s="199" t="e">
        <f t="shared" ca="1" si="76"/>
        <v>#VALUE!</v>
      </c>
      <c r="X216" s="199" t="e">
        <f t="shared" ca="1" si="76"/>
        <v>#VALUE!</v>
      </c>
      <c r="Y216" s="199" t="e">
        <f t="shared" ca="1" si="76"/>
        <v>#VALUE!</v>
      </c>
      <c r="Z216" s="199" t="e">
        <f t="shared" ca="1" si="76"/>
        <v>#VALUE!</v>
      </c>
      <c r="AA216" s="199" t="e">
        <f t="shared" ca="1" si="77"/>
        <v>#VALUE!</v>
      </c>
      <c r="AB216" s="199" t="e">
        <f t="shared" ca="1" si="77"/>
        <v>#VALUE!</v>
      </c>
      <c r="AC216" s="199" t="e">
        <f t="shared" ca="1" si="77"/>
        <v>#VALUE!</v>
      </c>
      <c r="AD216" s="199" t="e">
        <f t="shared" ca="1" si="77"/>
        <v>#VALUE!</v>
      </c>
      <c r="AE216" s="199" t="e">
        <f t="shared" ca="1" si="77"/>
        <v>#VALUE!</v>
      </c>
      <c r="AF216" s="199" t="e">
        <f t="shared" ca="1" si="77"/>
        <v>#VALUE!</v>
      </c>
      <c r="AG216" s="199" t="e">
        <f t="shared" ca="1" si="77"/>
        <v>#VALUE!</v>
      </c>
      <c r="AH216" s="199" t="e">
        <f t="shared" ca="1" si="77"/>
        <v>#VALUE!</v>
      </c>
      <c r="AI216" s="199" t="e">
        <f t="shared" ca="1" si="77"/>
        <v>#VALUE!</v>
      </c>
      <c r="AJ216" s="199" t="e">
        <f t="shared" ca="1" si="77"/>
        <v>#VALUE!</v>
      </c>
      <c r="AK216" s="199" t="e">
        <f t="shared" ca="1" si="77"/>
        <v>#VALUE!</v>
      </c>
      <c r="AL216" s="199" t="e">
        <f t="shared" ca="1" si="77"/>
        <v>#VALUE!</v>
      </c>
      <c r="AM216" s="199" t="e">
        <f t="shared" ca="1" si="77"/>
        <v>#VALUE!</v>
      </c>
      <c r="AN216" s="199" t="e">
        <f t="shared" ca="1" si="77"/>
        <v>#VALUE!</v>
      </c>
      <c r="AO216" s="199" t="e">
        <f t="shared" ca="1" si="77"/>
        <v>#VALUE!</v>
      </c>
      <c r="AP216" s="199" t="e">
        <f t="shared" ca="1" si="77"/>
        <v>#VALUE!</v>
      </c>
    </row>
    <row r="217" spans="1:42">
      <c r="A217" s="61" t="str">
        <f>'[4]TS BYDem'!A156</f>
        <v>*</v>
      </c>
      <c r="B217" s="199" t="s">
        <v>288</v>
      </c>
      <c r="C217" s="199" t="s">
        <v>137</v>
      </c>
      <c r="D217" s="199" t="str">
        <f>'[4]TS BYDem'!D156</f>
        <v>IPPH</v>
      </c>
      <c r="E217" s="199" t="s">
        <v>137</v>
      </c>
      <c r="F217" s="199" t="s">
        <v>137</v>
      </c>
      <c r="G217" s="199" t="s">
        <v>137</v>
      </c>
      <c r="H217" s="199" t="s">
        <v>137</v>
      </c>
      <c r="I217" s="199">
        <v>0</v>
      </c>
      <c r="J217" s="199" t="str">
        <f>INDEX('[4]TS BYDem'!$J$10:$J$203,MATCH(D217,'[4]TS BYDem'!$D$10:$D$203,0))</f>
        <v/>
      </c>
      <c r="K217" s="199" t="e">
        <f t="shared" ca="1" si="76"/>
        <v>#VALUE!</v>
      </c>
      <c r="L217" s="199" t="e">
        <f t="shared" ca="1" si="76"/>
        <v>#VALUE!</v>
      </c>
      <c r="M217" s="199" t="e">
        <f t="shared" ca="1" si="76"/>
        <v>#VALUE!</v>
      </c>
      <c r="N217" s="199" t="e">
        <f t="shared" ca="1" si="76"/>
        <v>#VALUE!</v>
      </c>
      <c r="O217" s="199" t="e">
        <f t="shared" ca="1" si="76"/>
        <v>#VALUE!</v>
      </c>
      <c r="P217" s="199" t="e">
        <f t="shared" ca="1" si="76"/>
        <v>#VALUE!</v>
      </c>
      <c r="Q217" s="199" t="e">
        <f t="shared" ca="1" si="76"/>
        <v>#VALUE!</v>
      </c>
      <c r="R217" s="199" t="e">
        <f t="shared" ca="1" si="76"/>
        <v>#VALUE!</v>
      </c>
      <c r="S217" s="199" t="e">
        <f t="shared" ca="1" si="76"/>
        <v>#VALUE!</v>
      </c>
      <c r="T217" s="199" t="e">
        <f t="shared" ca="1" si="76"/>
        <v>#VALUE!</v>
      </c>
      <c r="U217" s="199" t="e">
        <f t="shared" ca="1" si="76"/>
        <v>#VALUE!</v>
      </c>
      <c r="V217" s="199" t="e">
        <f t="shared" ca="1" si="76"/>
        <v>#VALUE!</v>
      </c>
      <c r="W217" s="199" t="e">
        <f t="shared" ca="1" si="76"/>
        <v>#VALUE!</v>
      </c>
      <c r="X217" s="199" t="e">
        <f t="shared" ca="1" si="76"/>
        <v>#VALUE!</v>
      </c>
      <c r="Y217" s="199" t="e">
        <f t="shared" ca="1" si="76"/>
        <v>#VALUE!</v>
      </c>
      <c r="Z217" s="199" t="e">
        <f t="shared" ca="1" si="76"/>
        <v>#VALUE!</v>
      </c>
      <c r="AA217" s="199" t="e">
        <f t="shared" ca="1" si="77"/>
        <v>#VALUE!</v>
      </c>
      <c r="AB217" s="199" t="e">
        <f t="shared" ca="1" si="77"/>
        <v>#VALUE!</v>
      </c>
      <c r="AC217" s="199" t="e">
        <f t="shared" ca="1" si="77"/>
        <v>#VALUE!</v>
      </c>
      <c r="AD217" s="199" t="e">
        <f t="shared" ca="1" si="77"/>
        <v>#VALUE!</v>
      </c>
      <c r="AE217" s="199" t="e">
        <f t="shared" ca="1" si="77"/>
        <v>#VALUE!</v>
      </c>
      <c r="AF217" s="199" t="e">
        <f t="shared" ca="1" si="77"/>
        <v>#VALUE!</v>
      </c>
      <c r="AG217" s="199" t="e">
        <f t="shared" ca="1" si="77"/>
        <v>#VALUE!</v>
      </c>
      <c r="AH217" s="199" t="e">
        <f t="shared" ca="1" si="77"/>
        <v>#VALUE!</v>
      </c>
      <c r="AI217" s="199" t="e">
        <f t="shared" ca="1" si="77"/>
        <v>#VALUE!</v>
      </c>
      <c r="AJ217" s="199" t="e">
        <f t="shared" ca="1" si="77"/>
        <v>#VALUE!</v>
      </c>
      <c r="AK217" s="199" t="e">
        <f t="shared" ca="1" si="77"/>
        <v>#VALUE!</v>
      </c>
      <c r="AL217" s="199" t="e">
        <f t="shared" ca="1" si="77"/>
        <v>#VALUE!</v>
      </c>
      <c r="AM217" s="199" t="e">
        <f t="shared" ca="1" si="77"/>
        <v>#VALUE!</v>
      </c>
      <c r="AN217" s="199" t="e">
        <f t="shared" ca="1" si="77"/>
        <v>#VALUE!</v>
      </c>
      <c r="AO217" s="199" t="e">
        <f t="shared" ca="1" si="77"/>
        <v>#VALUE!</v>
      </c>
      <c r="AP217" s="199" t="e">
        <f t="shared" ca="1" si="77"/>
        <v>#VALUE!</v>
      </c>
    </row>
    <row r="218" spans="1:42">
      <c r="A218" s="61" t="str">
        <f>'[4]TS BYDem'!A157</f>
        <v>*</v>
      </c>
      <c r="B218" s="199" t="s">
        <v>288</v>
      </c>
      <c r="C218" s="199" t="s">
        <v>137</v>
      </c>
      <c r="D218" s="199" t="str">
        <f>'[4]TS BYDem'!D157</f>
        <v>IPPP</v>
      </c>
      <c r="E218" s="199" t="s">
        <v>137</v>
      </c>
      <c r="F218" s="199" t="s">
        <v>137</v>
      </c>
      <c r="G218" s="199" t="s">
        <v>137</v>
      </c>
      <c r="H218" s="199" t="s">
        <v>137</v>
      </c>
      <c r="I218" s="199">
        <v>0</v>
      </c>
      <c r="J218" s="199" t="str">
        <f>INDEX('[4]TS BYDem'!$J$10:$J$203,MATCH(D218,'[4]TS BYDem'!$D$10:$D$203,0))</f>
        <v/>
      </c>
      <c r="K218" s="199" t="e">
        <f t="shared" ca="1" si="76"/>
        <v>#VALUE!</v>
      </c>
      <c r="L218" s="199" t="e">
        <f t="shared" ca="1" si="76"/>
        <v>#VALUE!</v>
      </c>
      <c r="M218" s="199" t="e">
        <f t="shared" ca="1" si="76"/>
        <v>#VALUE!</v>
      </c>
      <c r="N218" s="199" t="e">
        <f t="shared" ca="1" si="76"/>
        <v>#VALUE!</v>
      </c>
      <c r="O218" s="199" t="e">
        <f t="shared" ca="1" si="76"/>
        <v>#VALUE!</v>
      </c>
      <c r="P218" s="199" t="e">
        <f t="shared" ca="1" si="76"/>
        <v>#VALUE!</v>
      </c>
      <c r="Q218" s="199" t="e">
        <f t="shared" ca="1" si="76"/>
        <v>#VALUE!</v>
      </c>
      <c r="R218" s="199" t="e">
        <f t="shared" ca="1" si="76"/>
        <v>#VALUE!</v>
      </c>
      <c r="S218" s="199" t="e">
        <f t="shared" ca="1" si="76"/>
        <v>#VALUE!</v>
      </c>
      <c r="T218" s="199" t="e">
        <f t="shared" ca="1" si="76"/>
        <v>#VALUE!</v>
      </c>
      <c r="U218" s="199" t="e">
        <f t="shared" ca="1" si="76"/>
        <v>#VALUE!</v>
      </c>
      <c r="V218" s="199" t="e">
        <f t="shared" ca="1" si="76"/>
        <v>#VALUE!</v>
      </c>
      <c r="W218" s="199" t="e">
        <f t="shared" ca="1" si="76"/>
        <v>#VALUE!</v>
      </c>
      <c r="X218" s="199" t="e">
        <f t="shared" ca="1" si="76"/>
        <v>#VALUE!</v>
      </c>
      <c r="Y218" s="199" t="e">
        <f t="shared" ca="1" si="76"/>
        <v>#VALUE!</v>
      </c>
      <c r="Z218" s="199" t="e">
        <f t="shared" ca="1" si="76"/>
        <v>#VALUE!</v>
      </c>
      <c r="AA218" s="199" t="e">
        <f t="shared" ca="1" si="77"/>
        <v>#VALUE!</v>
      </c>
      <c r="AB218" s="199" t="e">
        <f t="shared" ca="1" si="77"/>
        <v>#VALUE!</v>
      </c>
      <c r="AC218" s="199" t="e">
        <f t="shared" ca="1" si="77"/>
        <v>#VALUE!</v>
      </c>
      <c r="AD218" s="199" t="e">
        <f t="shared" ca="1" si="77"/>
        <v>#VALUE!</v>
      </c>
      <c r="AE218" s="199" t="e">
        <f t="shared" ca="1" si="77"/>
        <v>#VALUE!</v>
      </c>
      <c r="AF218" s="199" t="e">
        <f t="shared" ca="1" si="77"/>
        <v>#VALUE!</v>
      </c>
      <c r="AG218" s="199" t="e">
        <f t="shared" ca="1" si="77"/>
        <v>#VALUE!</v>
      </c>
      <c r="AH218" s="199" t="e">
        <f t="shared" ca="1" si="77"/>
        <v>#VALUE!</v>
      </c>
      <c r="AI218" s="199" t="e">
        <f t="shared" ca="1" si="77"/>
        <v>#VALUE!</v>
      </c>
      <c r="AJ218" s="199" t="e">
        <f t="shared" ca="1" si="77"/>
        <v>#VALUE!</v>
      </c>
      <c r="AK218" s="199" t="e">
        <f t="shared" ca="1" si="77"/>
        <v>#VALUE!</v>
      </c>
      <c r="AL218" s="199" t="e">
        <f t="shared" ca="1" si="77"/>
        <v>#VALUE!</v>
      </c>
      <c r="AM218" s="199" t="e">
        <f t="shared" ca="1" si="77"/>
        <v>#VALUE!</v>
      </c>
      <c r="AN218" s="199" t="e">
        <f t="shared" ca="1" si="77"/>
        <v>#VALUE!</v>
      </c>
      <c r="AO218" s="199" t="e">
        <f t="shared" ca="1" si="77"/>
        <v>#VALUE!</v>
      </c>
      <c r="AP218" s="199" t="e">
        <f t="shared" ca="1" si="77"/>
        <v>#VALUE!</v>
      </c>
    </row>
    <row r="219" spans="1:42">
      <c r="A219" s="61" t="str">
        <f>'[4]TS BYDem'!A158</f>
        <v>*</v>
      </c>
      <c r="B219" s="199" t="s">
        <v>288</v>
      </c>
      <c r="C219" s="199" t="s">
        <v>137</v>
      </c>
      <c r="D219" s="199" t="str">
        <f>'[4]TS BYDem'!D158</f>
        <v>IPPF</v>
      </c>
      <c r="E219" s="199" t="s">
        <v>137</v>
      </c>
      <c r="F219" s="199" t="s">
        <v>137</v>
      </c>
      <c r="G219" s="199" t="s">
        <v>137</v>
      </c>
      <c r="H219" s="199" t="s">
        <v>137</v>
      </c>
      <c r="I219" s="199">
        <v>0</v>
      </c>
      <c r="J219" s="199" t="str">
        <f>INDEX('[4]TS BYDem'!$J$10:$J$203,MATCH(D219,'[4]TS BYDem'!$D$10:$D$203,0))</f>
        <v/>
      </c>
      <c r="K219" s="199" t="e">
        <f t="shared" ca="1" si="76"/>
        <v>#VALUE!</v>
      </c>
      <c r="L219" s="199" t="e">
        <f t="shared" ca="1" si="76"/>
        <v>#VALUE!</v>
      </c>
      <c r="M219" s="199" t="e">
        <f t="shared" ca="1" si="76"/>
        <v>#VALUE!</v>
      </c>
      <c r="N219" s="199" t="e">
        <f t="shared" ca="1" si="76"/>
        <v>#VALUE!</v>
      </c>
      <c r="O219" s="199" t="e">
        <f t="shared" ca="1" si="76"/>
        <v>#VALUE!</v>
      </c>
      <c r="P219" s="199" t="e">
        <f t="shared" ca="1" si="76"/>
        <v>#VALUE!</v>
      </c>
      <c r="Q219" s="199" t="e">
        <f t="shared" ca="1" si="76"/>
        <v>#VALUE!</v>
      </c>
      <c r="R219" s="199" t="e">
        <f t="shared" ca="1" si="76"/>
        <v>#VALUE!</v>
      </c>
      <c r="S219" s="199" t="e">
        <f t="shared" ca="1" si="76"/>
        <v>#VALUE!</v>
      </c>
      <c r="T219" s="199" t="e">
        <f t="shared" ca="1" si="76"/>
        <v>#VALUE!</v>
      </c>
      <c r="U219" s="199" t="e">
        <f t="shared" ca="1" si="76"/>
        <v>#VALUE!</v>
      </c>
      <c r="V219" s="199" t="e">
        <f t="shared" ca="1" si="76"/>
        <v>#VALUE!</v>
      </c>
      <c r="W219" s="199" t="e">
        <f t="shared" ca="1" si="76"/>
        <v>#VALUE!</v>
      </c>
      <c r="X219" s="199" t="e">
        <f t="shared" ca="1" si="76"/>
        <v>#VALUE!</v>
      </c>
      <c r="Y219" s="199" t="e">
        <f t="shared" ca="1" si="76"/>
        <v>#VALUE!</v>
      </c>
      <c r="Z219" s="199" t="e">
        <f t="shared" ca="1" si="76"/>
        <v>#VALUE!</v>
      </c>
      <c r="AA219" s="199" t="e">
        <f t="shared" ca="1" si="77"/>
        <v>#VALUE!</v>
      </c>
      <c r="AB219" s="199" t="e">
        <f t="shared" ca="1" si="77"/>
        <v>#VALUE!</v>
      </c>
      <c r="AC219" s="199" t="e">
        <f t="shared" ca="1" si="77"/>
        <v>#VALUE!</v>
      </c>
      <c r="AD219" s="199" t="e">
        <f t="shared" ca="1" si="77"/>
        <v>#VALUE!</v>
      </c>
      <c r="AE219" s="199" t="e">
        <f t="shared" ca="1" si="77"/>
        <v>#VALUE!</v>
      </c>
      <c r="AF219" s="199" t="e">
        <f t="shared" ca="1" si="77"/>
        <v>#VALUE!</v>
      </c>
      <c r="AG219" s="199" t="e">
        <f t="shared" ca="1" si="77"/>
        <v>#VALUE!</v>
      </c>
      <c r="AH219" s="199" t="e">
        <f t="shared" ca="1" si="77"/>
        <v>#VALUE!</v>
      </c>
      <c r="AI219" s="199" t="e">
        <f t="shared" ca="1" si="77"/>
        <v>#VALUE!</v>
      </c>
      <c r="AJ219" s="199" t="e">
        <f t="shared" ca="1" si="77"/>
        <v>#VALUE!</v>
      </c>
      <c r="AK219" s="199" t="e">
        <f t="shared" ca="1" si="77"/>
        <v>#VALUE!</v>
      </c>
      <c r="AL219" s="199" t="e">
        <f t="shared" ca="1" si="77"/>
        <v>#VALUE!</v>
      </c>
      <c r="AM219" s="199" t="e">
        <f t="shared" ca="1" si="77"/>
        <v>#VALUE!</v>
      </c>
      <c r="AN219" s="199" t="e">
        <f t="shared" ca="1" si="77"/>
        <v>#VALUE!</v>
      </c>
      <c r="AO219" s="199" t="e">
        <f t="shared" ca="1" si="77"/>
        <v>#VALUE!</v>
      </c>
      <c r="AP219" s="199" t="e">
        <f t="shared" ca="1" si="77"/>
        <v>#VALUE!</v>
      </c>
    </row>
    <row r="220" spans="1:42">
      <c r="A220" s="61" t="str">
        <f>'[4]TS BYDem'!A159</f>
        <v>*</v>
      </c>
      <c r="B220" s="199" t="s">
        <v>288</v>
      </c>
      <c r="C220" s="199" t="s">
        <v>137</v>
      </c>
      <c r="D220" s="199" t="str">
        <f>'[4]TS BYDem'!D159</f>
        <v>IPPO</v>
      </c>
      <c r="E220" s="199" t="s">
        <v>137</v>
      </c>
      <c r="F220" s="199" t="s">
        <v>137</v>
      </c>
      <c r="G220" s="199" t="s">
        <v>137</v>
      </c>
      <c r="H220" s="199" t="s">
        <v>137</v>
      </c>
      <c r="I220" s="199">
        <v>0</v>
      </c>
      <c r="J220" s="199" t="str">
        <f>INDEX('[4]TS BYDem'!$J$10:$J$203,MATCH(D220,'[4]TS BYDem'!$D$10:$D$203,0))</f>
        <v/>
      </c>
      <c r="K220" s="199" t="e">
        <f t="shared" ca="1" si="76"/>
        <v>#VALUE!</v>
      </c>
      <c r="L220" s="199" t="e">
        <f t="shared" ca="1" si="76"/>
        <v>#VALUE!</v>
      </c>
      <c r="M220" s="199" t="e">
        <f t="shared" ca="1" si="76"/>
        <v>#VALUE!</v>
      </c>
      <c r="N220" s="199" t="e">
        <f t="shared" ca="1" si="76"/>
        <v>#VALUE!</v>
      </c>
      <c r="O220" s="199" t="e">
        <f t="shared" ca="1" si="76"/>
        <v>#VALUE!</v>
      </c>
      <c r="P220" s="199" t="e">
        <f t="shared" ca="1" si="76"/>
        <v>#VALUE!</v>
      </c>
      <c r="Q220" s="199" t="e">
        <f t="shared" ca="1" si="76"/>
        <v>#VALUE!</v>
      </c>
      <c r="R220" s="199" t="e">
        <f t="shared" ca="1" si="76"/>
        <v>#VALUE!</v>
      </c>
      <c r="S220" s="199" t="e">
        <f t="shared" ca="1" si="76"/>
        <v>#VALUE!</v>
      </c>
      <c r="T220" s="199" t="e">
        <f t="shared" ca="1" si="76"/>
        <v>#VALUE!</v>
      </c>
      <c r="U220" s="199" t="e">
        <f t="shared" ca="1" si="76"/>
        <v>#VALUE!</v>
      </c>
      <c r="V220" s="199" t="e">
        <f t="shared" ca="1" si="76"/>
        <v>#VALUE!</v>
      </c>
      <c r="W220" s="199" t="e">
        <f t="shared" ca="1" si="76"/>
        <v>#VALUE!</v>
      </c>
      <c r="X220" s="199" t="e">
        <f t="shared" ca="1" si="76"/>
        <v>#VALUE!</v>
      </c>
      <c r="Y220" s="199" t="e">
        <f t="shared" ca="1" si="76"/>
        <v>#VALUE!</v>
      </c>
      <c r="Z220" s="199" t="e">
        <f t="shared" ca="1" si="76"/>
        <v>#VALUE!</v>
      </c>
      <c r="AA220" s="199" t="e">
        <f t="shared" ca="1" si="77"/>
        <v>#VALUE!</v>
      </c>
      <c r="AB220" s="199" t="e">
        <f t="shared" ca="1" si="77"/>
        <v>#VALUE!</v>
      </c>
      <c r="AC220" s="199" t="e">
        <f t="shared" ca="1" si="77"/>
        <v>#VALUE!</v>
      </c>
      <c r="AD220" s="199" t="e">
        <f t="shared" ca="1" si="77"/>
        <v>#VALUE!</v>
      </c>
      <c r="AE220" s="199" t="e">
        <f t="shared" ca="1" si="77"/>
        <v>#VALUE!</v>
      </c>
      <c r="AF220" s="199" t="e">
        <f t="shared" ca="1" si="77"/>
        <v>#VALUE!</v>
      </c>
      <c r="AG220" s="199" t="e">
        <f t="shared" ca="1" si="77"/>
        <v>#VALUE!</v>
      </c>
      <c r="AH220" s="199" t="e">
        <f t="shared" ca="1" si="77"/>
        <v>#VALUE!</v>
      </c>
      <c r="AI220" s="199" t="e">
        <f t="shared" ca="1" si="77"/>
        <v>#VALUE!</v>
      </c>
      <c r="AJ220" s="199" t="e">
        <f t="shared" ca="1" si="77"/>
        <v>#VALUE!</v>
      </c>
      <c r="AK220" s="199" t="e">
        <f t="shared" ca="1" si="77"/>
        <v>#VALUE!</v>
      </c>
      <c r="AL220" s="199" t="e">
        <f t="shared" ca="1" si="77"/>
        <v>#VALUE!</v>
      </c>
      <c r="AM220" s="199" t="e">
        <f t="shared" ca="1" si="77"/>
        <v>#VALUE!</v>
      </c>
      <c r="AN220" s="199" t="e">
        <f t="shared" ca="1" si="77"/>
        <v>#VALUE!</v>
      </c>
      <c r="AO220" s="199" t="e">
        <f t="shared" ca="1" si="77"/>
        <v>#VALUE!</v>
      </c>
      <c r="AP220" s="199" t="e">
        <f t="shared" ca="1" si="77"/>
        <v>#VALUE!</v>
      </c>
    </row>
    <row r="221" spans="1:42">
      <c r="A221" s="61" t="str">
        <f>'[4]TS BYDem'!A160</f>
        <v>*</v>
      </c>
      <c r="B221" s="199" t="s">
        <v>288</v>
      </c>
      <c r="C221" s="199" t="s">
        <v>137</v>
      </c>
      <c r="D221" s="199" t="str">
        <f>'[4]TS BYDem'!D160</f>
        <v>IPPE</v>
      </c>
      <c r="E221" s="199" t="s">
        <v>137</v>
      </c>
      <c r="F221" s="199" t="s">
        <v>137</v>
      </c>
      <c r="G221" s="199" t="s">
        <v>137</v>
      </c>
      <c r="H221" s="199" t="s">
        <v>137</v>
      </c>
      <c r="I221" s="199">
        <v>0</v>
      </c>
      <c r="J221" s="199" t="str">
        <f>INDEX('[4]TS BYDem'!$J$10:$J$203,MATCH(D221,'[4]TS BYDem'!$D$10:$D$203,0))</f>
        <v/>
      </c>
      <c r="K221" s="199" t="e">
        <f t="shared" ca="1" si="76"/>
        <v>#VALUE!</v>
      </c>
      <c r="L221" s="199" t="e">
        <f t="shared" ca="1" si="76"/>
        <v>#VALUE!</v>
      </c>
      <c r="M221" s="199" t="e">
        <f t="shared" ca="1" si="76"/>
        <v>#VALUE!</v>
      </c>
      <c r="N221" s="199" t="e">
        <f t="shared" ca="1" si="76"/>
        <v>#VALUE!</v>
      </c>
      <c r="O221" s="199" t="e">
        <f t="shared" ca="1" si="76"/>
        <v>#VALUE!</v>
      </c>
      <c r="P221" s="199" t="e">
        <f t="shared" ca="1" si="76"/>
        <v>#VALUE!</v>
      </c>
      <c r="Q221" s="199" t="e">
        <f t="shared" ca="1" si="76"/>
        <v>#VALUE!</v>
      </c>
      <c r="R221" s="199" t="e">
        <f t="shared" ca="1" si="76"/>
        <v>#VALUE!</v>
      </c>
      <c r="S221" s="199" t="e">
        <f t="shared" ca="1" si="76"/>
        <v>#VALUE!</v>
      </c>
      <c r="T221" s="199" t="e">
        <f t="shared" ca="1" si="76"/>
        <v>#VALUE!</v>
      </c>
      <c r="U221" s="199" t="e">
        <f t="shared" ca="1" si="76"/>
        <v>#VALUE!</v>
      </c>
      <c r="V221" s="199" t="e">
        <f t="shared" ca="1" si="76"/>
        <v>#VALUE!</v>
      </c>
      <c r="W221" s="199" t="e">
        <f t="shared" ca="1" si="76"/>
        <v>#VALUE!</v>
      </c>
      <c r="X221" s="199" t="e">
        <f t="shared" ca="1" si="76"/>
        <v>#VALUE!</v>
      </c>
      <c r="Y221" s="199" t="e">
        <f t="shared" ca="1" si="76"/>
        <v>#VALUE!</v>
      </c>
      <c r="Z221" s="199" t="e">
        <f t="shared" ca="1" si="76"/>
        <v>#VALUE!</v>
      </c>
      <c r="AA221" s="199" t="e">
        <f t="shared" ca="1" si="77"/>
        <v>#VALUE!</v>
      </c>
      <c r="AB221" s="199" t="e">
        <f t="shared" ca="1" si="77"/>
        <v>#VALUE!</v>
      </c>
      <c r="AC221" s="199" t="e">
        <f t="shared" ca="1" si="77"/>
        <v>#VALUE!</v>
      </c>
      <c r="AD221" s="199" t="e">
        <f t="shared" ca="1" si="77"/>
        <v>#VALUE!</v>
      </c>
      <c r="AE221" s="199" t="e">
        <f t="shared" ca="1" si="77"/>
        <v>#VALUE!</v>
      </c>
      <c r="AF221" s="199" t="e">
        <f t="shared" ca="1" si="77"/>
        <v>#VALUE!</v>
      </c>
      <c r="AG221" s="199" t="e">
        <f t="shared" ca="1" si="77"/>
        <v>#VALUE!</v>
      </c>
      <c r="AH221" s="199" t="e">
        <f t="shared" ca="1" si="77"/>
        <v>#VALUE!</v>
      </c>
      <c r="AI221" s="199" t="e">
        <f t="shared" ca="1" si="77"/>
        <v>#VALUE!</v>
      </c>
      <c r="AJ221" s="199" t="e">
        <f t="shared" ca="1" si="77"/>
        <v>#VALUE!</v>
      </c>
      <c r="AK221" s="199" t="e">
        <f t="shared" ca="1" si="77"/>
        <v>#VALUE!</v>
      </c>
      <c r="AL221" s="199" t="e">
        <f t="shared" ca="1" si="77"/>
        <v>#VALUE!</v>
      </c>
      <c r="AM221" s="199" t="e">
        <f t="shared" ca="1" si="77"/>
        <v>#VALUE!</v>
      </c>
      <c r="AN221" s="199" t="e">
        <f t="shared" ca="1" si="77"/>
        <v>#VALUE!</v>
      </c>
      <c r="AO221" s="199" t="e">
        <f t="shared" ca="1" si="77"/>
        <v>#VALUE!</v>
      </c>
      <c r="AP221" s="199" t="e">
        <f t="shared" ca="1" si="77"/>
        <v>#VALUE!</v>
      </c>
    </row>
    <row r="222" spans="1:42">
      <c r="A222" s="61" t="str">
        <f>'[4]TS BYDem'!A161</f>
        <v>*</v>
      </c>
      <c r="B222" s="199" t="s">
        <v>288</v>
      </c>
      <c r="C222" s="199" t="s">
        <v>137</v>
      </c>
      <c r="D222" s="199" t="str">
        <f>'[4]TS BYDem'!D161</f>
        <v xml:space="preserve"> </v>
      </c>
      <c r="E222" s="199" t="s">
        <v>137</v>
      </c>
      <c r="F222" s="199" t="s">
        <v>137</v>
      </c>
      <c r="G222" s="199" t="s">
        <v>137</v>
      </c>
      <c r="H222" s="199" t="s">
        <v>137</v>
      </c>
      <c r="I222" s="199">
        <v>0</v>
      </c>
      <c r="J222" s="199" t="str">
        <f>INDEX('[4]TS BYDem'!$J$10:$J$203,MATCH(D222,'[4]TS BYDem'!$D$10:$D$203,0))</f>
        <v/>
      </c>
      <c r="K222" s="199" t="e">
        <f t="shared" ca="1" si="76"/>
        <v>#VALUE!</v>
      </c>
      <c r="L222" s="199" t="e">
        <f t="shared" ca="1" si="76"/>
        <v>#VALUE!</v>
      </c>
      <c r="M222" s="199" t="e">
        <f t="shared" ca="1" si="76"/>
        <v>#VALUE!</v>
      </c>
      <c r="N222" s="199" t="e">
        <f t="shared" ca="1" si="76"/>
        <v>#VALUE!</v>
      </c>
      <c r="O222" s="199" t="e">
        <f t="shared" ca="1" si="76"/>
        <v>#VALUE!</v>
      </c>
      <c r="P222" s="199" t="e">
        <f t="shared" ca="1" si="76"/>
        <v>#VALUE!</v>
      </c>
      <c r="Q222" s="199" t="e">
        <f t="shared" ca="1" si="76"/>
        <v>#VALUE!</v>
      </c>
      <c r="R222" s="199" t="e">
        <f t="shared" ca="1" si="76"/>
        <v>#VALUE!</v>
      </c>
      <c r="S222" s="199" t="e">
        <f t="shared" ca="1" si="76"/>
        <v>#VALUE!</v>
      </c>
      <c r="T222" s="199" t="e">
        <f t="shared" ca="1" si="76"/>
        <v>#VALUE!</v>
      </c>
      <c r="U222" s="199" t="e">
        <f t="shared" ca="1" si="76"/>
        <v>#VALUE!</v>
      </c>
      <c r="V222" s="199" t="e">
        <f t="shared" ca="1" si="76"/>
        <v>#VALUE!</v>
      </c>
      <c r="W222" s="199" t="e">
        <f t="shared" ca="1" si="76"/>
        <v>#VALUE!</v>
      </c>
      <c r="X222" s="199" t="e">
        <f t="shared" ca="1" si="76"/>
        <v>#VALUE!</v>
      </c>
      <c r="Y222" s="199" t="e">
        <f t="shared" ca="1" si="76"/>
        <v>#VALUE!</v>
      </c>
      <c r="Z222" s="199" t="e">
        <f t="shared" ca="1" si="76"/>
        <v>#VALUE!</v>
      </c>
      <c r="AA222" s="199" t="e">
        <f t="shared" ca="1" si="77"/>
        <v>#VALUE!</v>
      </c>
      <c r="AB222" s="199" t="e">
        <f t="shared" ca="1" si="77"/>
        <v>#VALUE!</v>
      </c>
      <c r="AC222" s="199" t="e">
        <f t="shared" ca="1" si="77"/>
        <v>#VALUE!</v>
      </c>
      <c r="AD222" s="199" t="e">
        <f t="shared" ca="1" si="77"/>
        <v>#VALUE!</v>
      </c>
      <c r="AE222" s="199" t="e">
        <f t="shared" ca="1" si="77"/>
        <v>#VALUE!</v>
      </c>
      <c r="AF222" s="199" t="e">
        <f t="shared" ca="1" si="77"/>
        <v>#VALUE!</v>
      </c>
      <c r="AG222" s="199" t="e">
        <f t="shared" ca="1" si="77"/>
        <v>#VALUE!</v>
      </c>
      <c r="AH222" s="199" t="e">
        <f t="shared" ca="1" si="77"/>
        <v>#VALUE!</v>
      </c>
      <c r="AI222" s="199" t="e">
        <f t="shared" ca="1" si="77"/>
        <v>#VALUE!</v>
      </c>
      <c r="AJ222" s="199" t="e">
        <f t="shared" ca="1" si="77"/>
        <v>#VALUE!</v>
      </c>
      <c r="AK222" s="199" t="e">
        <f t="shared" ca="1" si="77"/>
        <v>#VALUE!</v>
      </c>
      <c r="AL222" s="199" t="e">
        <f t="shared" ca="1" si="77"/>
        <v>#VALUE!</v>
      </c>
      <c r="AM222" s="199" t="e">
        <f t="shared" ca="1" si="77"/>
        <v>#VALUE!</v>
      </c>
      <c r="AN222" s="199" t="e">
        <f t="shared" ca="1" si="77"/>
        <v>#VALUE!</v>
      </c>
      <c r="AO222" s="199" t="e">
        <f t="shared" ca="1" si="77"/>
        <v>#VALUE!</v>
      </c>
      <c r="AP222" s="199" t="e">
        <f t="shared" ca="1" si="77"/>
        <v>#VALUE!</v>
      </c>
    </row>
    <row r="223" spans="1:42">
      <c r="A223" s="61" t="str">
        <f>'[4]TS BYDem'!A162</f>
        <v>*</v>
      </c>
      <c r="B223" s="199" t="s">
        <v>288</v>
      </c>
      <c r="C223" s="199" t="s">
        <v>137</v>
      </c>
      <c r="D223" s="199" t="str">
        <f>'[4]TS BYDem'!D162</f>
        <v>IPPS</v>
      </c>
      <c r="E223" s="199" t="s">
        <v>137</v>
      </c>
      <c r="F223" s="199" t="s">
        <v>137</v>
      </c>
      <c r="G223" s="199" t="s">
        <v>137</v>
      </c>
      <c r="H223" s="199" t="s">
        <v>137</v>
      </c>
      <c r="I223" s="199">
        <v>0</v>
      </c>
      <c r="J223" s="199" t="str">
        <f>INDEX('[4]TS BYDem'!$J$10:$J$203,MATCH(D223,'[4]TS BYDem'!$D$10:$D$203,0))</f>
        <v/>
      </c>
      <c r="K223" s="199" t="e">
        <f t="shared" ca="1" si="76"/>
        <v>#VALUE!</v>
      </c>
      <c r="L223" s="199" t="e">
        <f t="shared" ca="1" si="76"/>
        <v>#VALUE!</v>
      </c>
      <c r="M223" s="199" t="e">
        <f t="shared" ca="1" si="76"/>
        <v>#VALUE!</v>
      </c>
      <c r="N223" s="199" t="e">
        <f t="shared" ca="1" si="76"/>
        <v>#VALUE!</v>
      </c>
      <c r="O223" s="199" t="e">
        <f t="shared" ca="1" si="76"/>
        <v>#VALUE!</v>
      </c>
      <c r="P223" s="199" t="e">
        <f t="shared" ca="1" si="76"/>
        <v>#VALUE!</v>
      </c>
      <c r="Q223" s="199" t="e">
        <f t="shared" ca="1" si="76"/>
        <v>#VALUE!</v>
      </c>
      <c r="R223" s="199" t="e">
        <f t="shared" ca="1" si="76"/>
        <v>#VALUE!</v>
      </c>
      <c r="S223" s="199" t="e">
        <f t="shared" ca="1" si="76"/>
        <v>#VALUE!</v>
      </c>
      <c r="T223" s="199" t="e">
        <f t="shared" ca="1" si="76"/>
        <v>#VALUE!</v>
      </c>
      <c r="U223" s="199" t="e">
        <f t="shared" ca="1" si="76"/>
        <v>#VALUE!</v>
      </c>
      <c r="V223" s="199" t="e">
        <f t="shared" ca="1" si="76"/>
        <v>#VALUE!</v>
      </c>
      <c r="W223" s="199" t="e">
        <f t="shared" ca="1" si="76"/>
        <v>#VALUE!</v>
      </c>
      <c r="X223" s="199" t="e">
        <f t="shared" ca="1" si="76"/>
        <v>#VALUE!</v>
      </c>
      <c r="Y223" s="199" t="e">
        <f t="shared" ca="1" si="76"/>
        <v>#VALUE!</v>
      </c>
      <c r="Z223" s="199" t="e">
        <f t="shared" ca="1" si="76"/>
        <v>#VALUE!</v>
      </c>
      <c r="AA223" s="199" t="e">
        <f t="shared" ca="1" si="77"/>
        <v>#VALUE!</v>
      </c>
      <c r="AB223" s="199" t="e">
        <f t="shared" ca="1" si="77"/>
        <v>#VALUE!</v>
      </c>
      <c r="AC223" s="199" t="e">
        <f t="shared" ca="1" si="77"/>
        <v>#VALUE!</v>
      </c>
      <c r="AD223" s="199" t="e">
        <f t="shared" ca="1" si="77"/>
        <v>#VALUE!</v>
      </c>
      <c r="AE223" s="199" t="e">
        <f t="shared" ca="1" si="77"/>
        <v>#VALUE!</v>
      </c>
      <c r="AF223" s="199" t="e">
        <f t="shared" ca="1" si="77"/>
        <v>#VALUE!</v>
      </c>
      <c r="AG223" s="199" t="e">
        <f t="shared" ca="1" si="77"/>
        <v>#VALUE!</v>
      </c>
      <c r="AH223" s="199" t="e">
        <f t="shared" ca="1" si="77"/>
        <v>#VALUE!</v>
      </c>
      <c r="AI223" s="199" t="e">
        <f t="shared" ca="1" si="77"/>
        <v>#VALUE!</v>
      </c>
      <c r="AJ223" s="199" t="e">
        <f t="shared" ca="1" si="77"/>
        <v>#VALUE!</v>
      </c>
      <c r="AK223" s="199" t="e">
        <f t="shared" ca="1" si="77"/>
        <v>#VALUE!</v>
      </c>
      <c r="AL223" s="199" t="e">
        <f t="shared" ca="1" si="77"/>
        <v>#VALUE!</v>
      </c>
      <c r="AM223" s="199" t="e">
        <f t="shared" ca="1" si="77"/>
        <v>#VALUE!</v>
      </c>
      <c r="AN223" s="199" t="e">
        <f t="shared" ca="1" si="77"/>
        <v>#VALUE!</v>
      </c>
      <c r="AO223" s="199" t="e">
        <f t="shared" ca="1" si="77"/>
        <v>#VALUE!</v>
      </c>
      <c r="AP223" s="199" t="e">
        <f t="shared" ca="1" si="77"/>
        <v>#VALUE!</v>
      </c>
    </row>
    <row r="224" spans="1:42">
      <c r="A224" s="61" t="str">
        <f>'[4]TS BYDem'!A163</f>
        <v>*</v>
      </c>
      <c r="B224" s="199" t="s">
        <v>288</v>
      </c>
      <c r="C224" s="199" t="s">
        <v>137</v>
      </c>
      <c r="D224" s="199" t="str">
        <f>'[4]TS BYDem'!D163</f>
        <v>IPPS</v>
      </c>
      <c r="E224" s="199" t="s">
        <v>137</v>
      </c>
      <c r="F224" s="199" t="s">
        <v>137</v>
      </c>
      <c r="G224" s="199" t="s">
        <v>137</v>
      </c>
      <c r="H224" s="199" t="s">
        <v>137</v>
      </c>
      <c r="I224" s="199">
        <v>0</v>
      </c>
      <c r="J224" s="199" t="str">
        <f>INDEX('[4]TS BYDem'!$J$10:$J$203,MATCH(D224,'[4]TS BYDem'!$D$10:$D$203,0))</f>
        <v/>
      </c>
      <c r="K224" s="199" t="e">
        <f t="shared" ca="1" si="76"/>
        <v>#VALUE!</v>
      </c>
      <c r="L224" s="199" t="e">
        <f t="shared" ca="1" si="76"/>
        <v>#VALUE!</v>
      </c>
      <c r="M224" s="199" t="e">
        <f t="shared" ca="1" si="76"/>
        <v>#VALUE!</v>
      </c>
      <c r="N224" s="199" t="e">
        <f t="shared" ca="1" si="76"/>
        <v>#VALUE!</v>
      </c>
      <c r="O224" s="199" t="e">
        <f t="shared" ca="1" si="76"/>
        <v>#VALUE!</v>
      </c>
      <c r="P224" s="199" t="e">
        <f t="shared" ca="1" si="76"/>
        <v>#VALUE!</v>
      </c>
      <c r="Q224" s="199" t="e">
        <f t="shared" ca="1" si="76"/>
        <v>#VALUE!</v>
      </c>
      <c r="R224" s="199" t="e">
        <f t="shared" ca="1" si="76"/>
        <v>#VALUE!</v>
      </c>
      <c r="S224" s="199" t="e">
        <f t="shared" ca="1" si="76"/>
        <v>#VALUE!</v>
      </c>
      <c r="T224" s="199" t="e">
        <f t="shared" ca="1" si="76"/>
        <v>#VALUE!</v>
      </c>
      <c r="U224" s="199" t="e">
        <f t="shared" ca="1" si="76"/>
        <v>#VALUE!</v>
      </c>
      <c r="V224" s="199" t="e">
        <f t="shared" ca="1" si="76"/>
        <v>#VALUE!</v>
      </c>
      <c r="W224" s="199" t="e">
        <f t="shared" ca="1" si="76"/>
        <v>#VALUE!</v>
      </c>
      <c r="X224" s="199" t="e">
        <f t="shared" ca="1" si="76"/>
        <v>#VALUE!</v>
      </c>
      <c r="Y224" s="199" t="e">
        <f t="shared" ca="1" si="76"/>
        <v>#VALUE!</v>
      </c>
      <c r="Z224" s="199" t="e">
        <f t="shared" ca="1" si="76"/>
        <v>#VALUE!</v>
      </c>
      <c r="AA224" s="199" t="e">
        <f t="shared" ca="1" si="77"/>
        <v>#VALUE!</v>
      </c>
      <c r="AB224" s="199" t="e">
        <f t="shared" ca="1" si="77"/>
        <v>#VALUE!</v>
      </c>
      <c r="AC224" s="199" t="e">
        <f t="shared" ca="1" si="77"/>
        <v>#VALUE!</v>
      </c>
      <c r="AD224" s="199" t="e">
        <f t="shared" ca="1" si="77"/>
        <v>#VALUE!</v>
      </c>
      <c r="AE224" s="199" t="e">
        <f t="shared" ca="1" si="77"/>
        <v>#VALUE!</v>
      </c>
      <c r="AF224" s="199" t="e">
        <f t="shared" ca="1" si="77"/>
        <v>#VALUE!</v>
      </c>
      <c r="AG224" s="199" t="e">
        <f t="shared" ca="1" si="77"/>
        <v>#VALUE!</v>
      </c>
      <c r="AH224" s="199" t="e">
        <f t="shared" ca="1" si="77"/>
        <v>#VALUE!</v>
      </c>
      <c r="AI224" s="199" t="e">
        <f t="shared" ca="1" si="77"/>
        <v>#VALUE!</v>
      </c>
      <c r="AJ224" s="199" t="e">
        <f t="shared" ca="1" si="77"/>
        <v>#VALUE!</v>
      </c>
      <c r="AK224" s="199" t="e">
        <f t="shared" ca="1" si="77"/>
        <v>#VALUE!</v>
      </c>
      <c r="AL224" s="199" t="e">
        <f t="shared" ca="1" si="77"/>
        <v>#VALUE!</v>
      </c>
      <c r="AM224" s="199" t="e">
        <f t="shared" ca="1" si="77"/>
        <v>#VALUE!</v>
      </c>
      <c r="AN224" s="199" t="e">
        <f t="shared" ca="1" si="77"/>
        <v>#VALUE!</v>
      </c>
      <c r="AO224" s="199" t="e">
        <f t="shared" ca="1" si="77"/>
        <v>#VALUE!</v>
      </c>
      <c r="AP224" s="199" t="e">
        <f t="shared" ca="1" si="77"/>
        <v>#VALUE!</v>
      </c>
    </row>
    <row r="225" spans="1:42">
      <c r="A225" s="61" t="str">
        <f>'[4]TS BYDem'!A164</f>
        <v>*</v>
      </c>
      <c r="B225" s="199" t="s">
        <v>288</v>
      </c>
      <c r="C225" s="199" t="s">
        <v>137</v>
      </c>
      <c r="D225" s="199" t="str">
        <f>'[4]TS BYDem'!D164</f>
        <v>IPPS</v>
      </c>
      <c r="E225" s="199" t="s">
        <v>137</v>
      </c>
      <c r="F225" s="199" t="s">
        <v>137</v>
      </c>
      <c r="G225" s="199" t="s">
        <v>137</v>
      </c>
      <c r="H225" s="199" t="s">
        <v>137</v>
      </c>
      <c r="I225" s="199">
        <v>0</v>
      </c>
      <c r="J225" s="199" t="str">
        <f>INDEX('[4]TS BYDem'!$J$10:$J$203,MATCH(D225,'[4]TS BYDem'!$D$10:$D$203,0))</f>
        <v/>
      </c>
      <c r="K225" s="199" t="e">
        <f t="shared" ca="1" si="76"/>
        <v>#VALUE!</v>
      </c>
      <c r="L225" s="199" t="e">
        <f t="shared" ca="1" si="76"/>
        <v>#VALUE!</v>
      </c>
      <c r="M225" s="199" t="e">
        <f t="shared" ca="1" si="76"/>
        <v>#VALUE!</v>
      </c>
      <c r="N225" s="199" t="e">
        <f t="shared" ca="1" si="76"/>
        <v>#VALUE!</v>
      </c>
      <c r="O225" s="199" t="e">
        <f t="shared" ca="1" si="76"/>
        <v>#VALUE!</v>
      </c>
      <c r="P225" s="199" t="e">
        <f t="shared" ca="1" si="76"/>
        <v>#VALUE!</v>
      </c>
      <c r="Q225" s="199" t="e">
        <f t="shared" ca="1" si="76"/>
        <v>#VALUE!</v>
      </c>
      <c r="R225" s="199" t="e">
        <f t="shared" ca="1" si="76"/>
        <v>#VALUE!</v>
      </c>
      <c r="S225" s="199" t="e">
        <f t="shared" ca="1" si="76"/>
        <v>#VALUE!</v>
      </c>
      <c r="T225" s="199" t="e">
        <f t="shared" ca="1" si="76"/>
        <v>#VALUE!</v>
      </c>
      <c r="U225" s="199" t="e">
        <f t="shared" ca="1" si="76"/>
        <v>#VALUE!</v>
      </c>
      <c r="V225" s="199" t="e">
        <f t="shared" ca="1" si="76"/>
        <v>#VALUE!</v>
      </c>
      <c r="W225" s="199" t="e">
        <f t="shared" ca="1" si="76"/>
        <v>#VALUE!</v>
      </c>
      <c r="X225" s="199" t="e">
        <f t="shared" ca="1" si="76"/>
        <v>#VALUE!</v>
      </c>
      <c r="Y225" s="199" t="e">
        <f t="shared" ca="1" si="76"/>
        <v>#VALUE!</v>
      </c>
      <c r="Z225" s="199" t="e">
        <f t="shared" ca="1" si="76"/>
        <v>#VALUE!</v>
      </c>
      <c r="AA225" s="199" t="e">
        <f t="shared" ca="1" si="77"/>
        <v>#VALUE!</v>
      </c>
      <c r="AB225" s="199" t="e">
        <f t="shared" ca="1" si="77"/>
        <v>#VALUE!</v>
      </c>
      <c r="AC225" s="199" t="e">
        <f t="shared" ca="1" si="77"/>
        <v>#VALUE!</v>
      </c>
      <c r="AD225" s="199" t="e">
        <f t="shared" ca="1" si="77"/>
        <v>#VALUE!</v>
      </c>
      <c r="AE225" s="199" t="e">
        <f t="shared" ca="1" si="77"/>
        <v>#VALUE!</v>
      </c>
      <c r="AF225" s="199" t="e">
        <f t="shared" ca="1" si="77"/>
        <v>#VALUE!</v>
      </c>
      <c r="AG225" s="199" t="e">
        <f t="shared" ca="1" si="77"/>
        <v>#VALUE!</v>
      </c>
      <c r="AH225" s="199" t="e">
        <f t="shared" ca="1" si="77"/>
        <v>#VALUE!</v>
      </c>
      <c r="AI225" s="199" t="e">
        <f t="shared" ca="1" si="77"/>
        <v>#VALUE!</v>
      </c>
      <c r="AJ225" s="199" t="e">
        <f t="shared" ca="1" si="77"/>
        <v>#VALUE!</v>
      </c>
      <c r="AK225" s="199" t="e">
        <f t="shared" ca="1" si="77"/>
        <v>#VALUE!</v>
      </c>
      <c r="AL225" s="199" t="e">
        <f t="shared" ca="1" si="77"/>
        <v>#VALUE!</v>
      </c>
      <c r="AM225" s="199" t="e">
        <f t="shared" ca="1" si="77"/>
        <v>#VALUE!</v>
      </c>
      <c r="AN225" s="199" t="e">
        <f t="shared" ca="1" si="77"/>
        <v>#VALUE!</v>
      </c>
      <c r="AO225" s="199" t="e">
        <f t="shared" ca="1" si="77"/>
        <v>#VALUE!</v>
      </c>
      <c r="AP225" s="199" t="e">
        <f t="shared" ca="1" si="77"/>
        <v>#VALUE!</v>
      </c>
    </row>
    <row r="226" spans="1:42">
      <c r="A226" s="61" t="str">
        <f>'[4]TS BYDem'!A165</f>
        <v>*</v>
      </c>
      <c r="B226" s="199" t="s">
        <v>288</v>
      </c>
      <c r="C226" s="199" t="s">
        <v>137</v>
      </c>
      <c r="D226" s="199" t="str">
        <f>'[4]TS BYDem'!D165</f>
        <v>IPPS</v>
      </c>
      <c r="E226" s="199" t="s">
        <v>137</v>
      </c>
      <c r="F226" s="199" t="s">
        <v>137</v>
      </c>
      <c r="G226" s="199" t="s">
        <v>137</v>
      </c>
      <c r="H226" s="199" t="s">
        <v>137</v>
      </c>
      <c r="I226" s="199">
        <v>0</v>
      </c>
      <c r="J226" s="199" t="str">
        <f>INDEX('[4]TS BYDem'!$J$10:$J$203,MATCH(D226,'[4]TS BYDem'!$D$10:$D$203,0))</f>
        <v/>
      </c>
      <c r="K226" s="199" t="e">
        <f t="shared" ca="1" si="76"/>
        <v>#VALUE!</v>
      </c>
      <c r="L226" s="199" t="e">
        <f t="shared" ca="1" si="76"/>
        <v>#VALUE!</v>
      </c>
      <c r="M226" s="199" t="e">
        <f t="shared" ca="1" si="76"/>
        <v>#VALUE!</v>
      </c>
      <c r="N226" s="199" t="e">
        <f t="shared" ca="1" si="76"/>
        <v>#VALUE!</v>
      </c>
      <c r="O226" s="199" t="e">
        <f t="shared" ca="1" si="76"/>
        <v>#VALUE!</v>
      </c>
      <c r="P226" s="199" t="e">
        <f t="shared" ca="1" si="76"/>
        <v>#VALUE!</v>
      </c>
      <c r="Q226" s="199" t="e">
        <f t="shared" ca="1" si="76"/>
        <v>#VALUE!</v>
      </c>
      <c r="R226" s="199" t="e">
        <f t="shared" ca="1" si="76"/>
        <v>#VALUE!</v>
      </c>
      <c r="S226" s="199" t="e">
        <f t="shared" ca="1" si="76"/>
        <v>#VALUE!</v>
      </c>
      <c r="T226" s="199" t="e">
        <f t="shared" ca="1" si="76"/>
        <v>#VALUE!</v>
      </c>
      <c r="U226" s="199" t="e">
        <f t="shared" ca="1" si="76"/>
        <v>#VALUE!</v>
      </c>
      <c r="V226" s="199" t="e">
        <f t="shared" ca="1" si="76"/>
        <v>#VALUE!</v>
      </c>
      <c r="W226" s="199" t="e">
        <f t="shared" ca="1" si="76"/>
        <v>#VALUE!</v>
      </c>
      <c r="X226" s="199" t="e">
        <f t="shared" ca="1" si="76"/>
        <v>#VALUE!</v>
      </c>
      <c r="Y226" s="199" t="e">
        <f t="shared" ca="1" si="76"/>
        <v>#VALUE!</v>
      </c>
      <c r="Z226" s="199" t="e">
        <f t="shared" ca="1" si="76"/>
        <v>#VALUE!</v>
      </c>
      <c r="AA226" s="199" t="e">
        <f t="shared" ca="1" si="77"/>
        <v>#VALUE!</v>
      </c>
      <c r="AB226" s="199" t="e">
        <f t="shared" ca="1" si="77"/>
        <v>#VALUE!</v>
      </c>
      <c r="AC226" s="199" t="e">
        <f t="shared" ca="1" si="77"/>
        <v>#VALUE!</v>
      </c>
      <c r="AD226" s="199" t="e">
        <f t="shared" ca="1" si="77"/>
        <v>#VALUE!</v>
      </c>
      <c r="AE226" s="199" t="e">
        <f t="shared" ca="1" si="77"/>
        <v>#VALUE!</v>
      </c>
      <c r="AF226" s="199" t="e">
        <f t="shared" ca="1" si="77"/>
        <v>#VALUE!</v>
      </c>
      <c r="AG226" s="199" t="e">
        <f t="shared" ca="1" si="77"/>
        <v>#VALUE!</v>
      </c>
      <c r="AH226" s="199" t="e">
        <f t="shared" ca="1" si="77"/>
        <v>#VALUE!</v>
      </c>
      <c r="AI226" s="199" t="e">
        <f t="shared" ca="1" si="77"/>
        <v>#VALUE!</v>
      </c>
      <c r="AJ226" s="199" t="e">
        <f t="shared" ca="1" si="77"/>
        <v>#VALUE!</v>
      </c>
      <c r="AK226" s="199" t="e">
        <f t="shared" ca="1" si="77"/>
        <v>#VALUE!</v>
      </c>
      <c r="AL226" s="199" t="e">
        <f t="shared" ca="1" si="77"/>
        <v>#VALUE!</v>
      </c>
      <c r="AM226" s="199" t="e">
        <f t="shared" ca="1" si="77"/>
        <v>#VALUE!</v>
      </c>
      <c r="AN226" s="199" t="e">
        <f t="shared" ca="1" si="77"/>
        <v>#VALUE!</v>
      </c>
      <c r="AO226" s="199" t="e">
        <f t="shared" ca="1" si="77"/>
        <v>#VALUE!</v>
      </c>
      <c r="AP226" s="199" t="e">
        <f t="shared" ca="1" si="77"/>
        <v>#VALUE!</v>
      </c>
    </row>
    <row r="227" spans="1:42">
      <c r="A227" s="61" t="str">
        <f>'[4]TS BYDem'!A166</f>
        <v>*</v>
      </c>
      <c r="B227" s="199" t="s">
        <v>288</v>
      </c>
      <c r="C227" s="199" t="s">
        <v>137</v>
      </c>
      <c r="D227" s="199" t="str">
        <f>'[4]TS BYDem'!D166</f>
        <v>IPPS</v>
      </c>
      <c r="E227" s="199" t="s">
        <v>137</v>
      </c>
      <c r="F227" s="199" t="s">
        <v>137</v>
      </c>
      <c r="G227" s="199" t="s">
        <v>137</v>
      </c>
      <c r="H227" s="199" t="s">
        <v>137</v>
      </c>
      <c r="I227" s="199">
        <v>0</v>
      </c>
      <c r="J227" s="199" t="str">
        <f>INDEX('[4]TS BYDem'!$J$10:$J$203,MATCH(D227,'[4]TS BYDem'!$D$10:$D$203,0))</f>
        <v/>
      </c>
      <c r="K227" s="199" t="e">
        <f t="shared" ca="1" si="76"/>
        <v>#VALUE!</v>
      </c>
      <c r="L227" s="199" t="e">
        <f t="shared" ca="1" si="76"/>
        <v>#VALUE!</v>
      </c>
      <c r="M227" s="199" t="e">
        <f t="shared" ca="1" si="76"/>
        <v>#VALUE!</v>
      </c>
      <c r="N227" s="199" t="e">
        <f t="shared" ca="1" si="76"/>
        <v>#VALUE!</v>
      </c>
      <c r="O227" s="199" t="e">
        <f t="shared" ca="1" si="76"/>
        <v>#VALUE!</v>
      </c>
      <c r="P227" s="199" t="e">
        <f t="shared" ca="1" si="76"/>
        <v>#VALUE!</v>
      </c>
      <c r="Q227" s="199" t="e">
        <f t="shared" ca="1" si="76"/>
        <v>#VALUE!</v>
      </c>
      <c r="R227" s="199" t="e">
        <f t="shared" ca="1" si="76"/>
        <v>#VALUE!</v>
      </c>
      <c r="S227" s="199" t="e">
        <f t="shared" ca="1" si="76"/>
        <v>#VALUE!</v>
      </c>
      <c r="T227" s="199" t="e">
        <f t="shared" ca="1" si="76"/>
        <v>#VALUE!</v>
      </c>
      <c r="U227" s="199" t="e">
        <f t="shared" ca="1" si="76"/>
        <v>#VALUE!</v>
      </c>
      <c r="V227" s="199" t="e">
        <f t="shared" ca="1" si="76"/>
        <v>#VALUE!</v>
      </c>
      <c r="W227" s="199" t="e">
        <f t="shared" ca="1" si="76"/>
        <v>#VALUE!</v>
      </c>
      <c r="X227" s="199" t="e">
        <f t="shared" ca="1" si="76"/>
        <v>#VALUE!</v>
      </c>
      <c r="Y227" s="199" t="e">
        <f t="shared" ca="1" si="76"/>
        <v>#VALUE!</v>
      </c>
      <c r="Z227" s="199" t="e">
        <f t="shared" ref="Z227:AO228" ca="1" si="78">Z$211/Y$211*Y227</f>
        <v>#VALUE!</v>
      </c>
      <c r="AA227" s="199" t="e">
        <f t="shared" ca="1" si="78"/>
        <v>#VALUE!</v>
      </c>
      <c r="AB227" s="199" t="e">
        <f t="shared" ca="1" si="78"/>
        <v>#VALUE!</v>
      </c>
      <c r="AC227" s="199" t="e">
        <f t="shared" ca="1" si="78"/>
        <v>#VALUE!</v>
      </c>
      <c r="AD227" s="199" t="e">
        <f t="shared" ca="1" si="78"/>
        <v>#VALUE!</v>
      </c>
      <c r="AE227" s="199" t="e">
        <f t="shared" ca="1" si="78"/>
        <v>#VALUE!</v>
      </c>
      <c r="AF227" s="199" t="e">
        <f t="shared" ca="1" si="78"/>
        <v>#VALUE!</v>
      </c>
      <c r="AG227" s="199" t="e">
        <f t="shared" ca="1" si="78"/>
        <v>#VALUE!</v>
      </c>
      <c r="AH227" s="199" t="e">
        <f t="shared" ca="1" si="78"/>
        <v>#VALUE!</v>
      </c>
      <c r="AI227" s="199" t="e">
        <f t="shared" ca="1" si="78"/>
        <v>#VALUE!</v>
      </c>
      <c r="AJ227" s="199" t="e">
        <f t="shared" ca="1" si="78"/>
        <v>#VALUE!</v>
      </c>
      <c r="AK227" s="199" t="e">
        <f t="shared" ca="1" si="78"/>
        <v>#VALUE!</v>
      </c>
      <c r="AL227" s="199" t="e">
        <f t="shared" ca="1" si="78"/>
        <v>#VALUE!</v>
      </c>
      <c r="AM227" s="199" t="e">
        <f t="shared" ca="1" si="78"/>
        <v>#VALUE!</v>
      </c>
      <c r="AN227" s="199" t="e">
        <f t="shared" ca="1" si="78"/>
        <v>#VALUE!</v>
      </c>
      <c r="AO227" s="199" t="e">
        <f t="shared" ca="1" si="78"/>
        <v>#VALUE!</v>
      </c>
      <c r="AP227" s="199" t="e">
        <f t="shared" ca="1" si="77"/>
        <v>#VALUE!</v>
      </c>
    </row>
    <row r="228" spans="1:42">
      <c r="A228" s="61" t="str">
        <f>'[4]TS BYDem'!A167</f>
        <v>*</v>
      </c>
      <c r="B228" s="199" t="s">
        <v>288</v>
      </c>
      <c r="C228" s="199" t="s">
        <v>137</v>
      </c>
      <c r="D228" s="199" t="str">
        <f>'[4]TS BYDem'!D167</f>
        <v>IPPS</v>
      </c>
      <c r="E228" s="199" t="s">
        <v>137</v>
      </c>
      <c r="F228" s="199" t="s">
        <v>137</v>
      </c>
      <c r="G228" s="199" t="s">
        <v>137</v>
      </c>
      <c r="H228" s="199" t="s">
        <v>137</v>
      </c>
      <c r="I228" s="199">
        <v>0</v>
      </c>
      <c r="J228" s="199" t="str">
        <f>INDEX('[4]TS BYDem'!$J$10:$J$203,MATCH(D228,'[4]TS BYDem'!$D$10:$D$203,0))</f>
        <v/>
      </c>
      <c r="K228" s="199" t="e">
        <f t="shared" ref="K228:Z229" ca="1" si="79">K$211/J$211*J228</f>
        <v>#VALUE!</v>
      </c>
      <c r="L228" s="199" t="e">
        <f t="shared" ca="1" si="79"/>
        <v>#VALUE!</v>
      </c>
      <c r="M228" s="199" t="e">
        <f t="shared" ca="1" si="79"/>
        <v>#VALUE!</v>
      </c>
      <c r="N228" s="199" t="e">
        <f t="shared" ca="1" si="79"/>
        <v>#VALUE!</v>
      </c>
      <c r="O228" s="199" t="e">
        <f t="shared" ca="1" si="79"/>
        <v>#VALUE!</v>
      </c>
      <c r="P228" s="199" t="e">
        <f t="shared" ca="1" si="79"/>
        <v>#VALUE!</v>
      </c>
      <c r="Q228" s="199" t="e">
        <f t="shared" ca="1" si="79"/>
        <v>#VALUE!</v>
      </c>
      <c r="R228" s="199" t="e">
        <f t="shared" ca="1" si="79"/>
        <v>#VALUE!</v>
      </c>
      <c r="S228" s="199" t="e">
        <f t="shared" ca="1" si="79"/>
        <v>#VALUE!</v>
      </c>
      <c r="T228" s="199" t="e">
        <f t="shared" ca="1" si="79"/>
        <v>#VALUE!</v>
      </c>
      <c r="U228" s="199" t="e">
        <f t="shared" ca="1" si="79"/>
        <v>#VALUE!</v>
      </c>
      <c r="V228" s="199" t="e">
        <f t="shared" ca="1" si="79"/>
        <v>#VALUE!</v>
      </c>
      <c r="W228" s="199" t="e">
        <f t="shared" ca="1" si="79"/>
        <v>#VALUE!</v>
      </c>
      <c r="X228" s="199" t="e">
        <f t="shared" ca="1" si="79"/>
        <v>#VALUE!</v>
      </c>
      <c r="Y228" s="199" t="e">
        <f t="shared" ca="1" si="79"/>
        <v>#VALUE!</v>
      </c>
      <c r="Z228" s="199" t="e">
        <f t="shared" ca="1" si="79"/>
        <v>#VALUE!</v>
      </c>
      <c r="AA228" s="199" t="e">
        <f t="shared" ca="1" si="78"/>
        <v>#VALUE!</v>
      </c>
      <c r="AB228" s="199" t="e">
        <f t="shared" ca="1" si="78"/>
        <v>#VALUE!</v>
      </c>
      <c r="AC228" s="199" t="e">
        <f t="shared" ca="1" si="78"/>
        <v>#VALUE!</v>
      </c>
      <c r="AD228" s="199" t="e">
        <f t="shared" ca="1" si="78"/>
        <v>#VALUE!</v>
      </c>
      <c r="AE228" s="199" t="e">
        <f t="shared" ca="1" si="78"/>
        <v>#VALUE!</v>
      </c>
      <c r="AF228" s="199" t="e">
        <f t="shared" ca="1" si="78"/>
        <v>#VALUE!</v>
      </c>
      <c r="AG228" s="199" t="e">
        <f t="shared" ca="1" si="78"/>
        <v>#VALUE!</v>
      </c>
      <c r="AH228" s="199" t="e">
        <f t="shared" ca="1" si="78"/>
        <v>#VALUE!</v>
      </c>
      <c r="AI228" s="199" t="e">
        <f t="shared" ca="1" si="78"/>
        <v>#VALUE!</v>
      </c>
      <c r="AJ228" s="199" t="e">
        <f t="shared" ca="1" si="78"/>
        <v>#VALUE!</v>
      </c>
      <c r="AK228" s="199" t="e">
        <f t="shared" ca="1" si="78"/>
        <v>#VALUE!</v>
      </c>
      <c r="AL228" s="199" t="e">
        <f t="shared" ca="1" si="78"/>
        <v>#VALUE!</v>
      </c>
      <c r="AM228" s="199" t="e">
        <f t="shared" ca="1" si="78"/>
        <v>#VALUE!</v>
      </c>
      <c r="AN228" s="199" t="e">
        <f t="shared" ca="1" si="78"/>
        <v>#VALUE!</v>
      </c>
      <c r="AO228" s="199" t="e">
        <f t="shared" ca="1" si="78"/>
        <v>#VALUE!</v>
      </c>
      <c r="AP228" s="199" t="e">
        <f t="shared" ref="L228:AP229" ca="1" si="80">AP$211/AO$211*AO228</f>
        <v>#VALUE!</v>
      </c>
    </row>
    <row r="229" spans="1:42">
      <c r="A229" s="61" t="str">
        <f>'[4]TS BYDem'!A168</f>
        <v>*</v>
      </c>
      <c r="B229" s="199" t="s">
        <v>288</v>
      </c>
      <c r="C229" s="199" t="s">
        <v>137</v>
      </c>
      <c r="D229" s="199" t="str">
        <f>'[4]TS BYDem'!D168</f>
        <v>IPPS</v>
      </c>
      <c r="E229" s="199" t="s">
        <v>137</v>
      </c>
      <c r="F229" s="199" t="s">
        <v>137</v>
      </c>
      <c r="G229" s="199" t="s">
        <v>137</v>
      </c>
      <c r="H229" s="199" t="s">
        <v>137</v>
      </c>
      <c r="I229" s="199">
        <v>0</v>
      </c>
      <c r="J229" s="199" t="str">
        <f>INDEX('[4]TS BYDem'!$J$10:$J$203,MATCH(D229,'[4]TS BYDem'!$D$10:$D$203,0))</f>
        <v/>
      </c>
      <c r="K229" s="199" t="e">
        <f t="shared" ca="1" si="79"/>
        <v>#VALUE!</v>
      </c>
      <c r="L229" s="199" t="e">
        <f t="shared" ca="1" si="80"/>
        <v>#VALUE!</v>
      </c>
      <c r="M229" s="199" t="e">
        <f t="shared" ca="1" si="80"/>
        <v>#VALUE!</v>
      </c>
      <c r="N229" s="199" t="e">
        <f t="shared" ca="1" si="80"/>
        <v>#VALUE!</v>
      </c>
      <c r="O229" s="199" t="e">
        <f t="shared" ca="1" si="80"/>
        <v>#VALUE!</v>
      </c>
      <c r="P229" s="199" t="e">
        <f t="shared" ca="1" si="80"/>
        <v>#VALUE!</v>
      </c>
      <c r="Q229" s="199" t="e">
        <f t="shared" ca="1" si="80"/>
        <v>#VALUE!</v>
      </c>
      <c r="R229" s="199" t="e">
        <f t="shared" ca="1" si="80"/>
        <v>#VALUE!</v>
      </c>
      <c r="S229" s="199" t="e">
        <f t="shared" ca="1" si="80"/>
        <v>#VALUE!</v>
      </c>
      <c r="T229" s="199" t="e">
        <f t="shared" ca="1" si="80"/>
        <v>#VALUE!</v>
      </c>
      <c r="U229" s="199" t="e">
        <f t="shared" ca="1" si="80"/>
        <v>#VALUE!</v>
      </c>
      <c r="V229" s="199" t="e">
        <f t="shared" ca="1" si="80"/>
        <v>#VALUE!</v>
      </c>
      <c r="W229" s="199" t="e">
        <f t="shared" ca="1" si="80"/>
        <v>#VALUE!</v>
      </c>
      <c r="X229" s="199" t="e">
        <f t="shared" ca="1" si="80"/>
        <v>#VALUE!</v>
      </c>
      <c r="Y229" s="199" t="e">
        <f t="shared" ca="1" si="80"/>
        <v>#VALUE!</v>
      </c>
      <c r="Z229" s="199" t="e">
        <f t="shared" ca="1" si="80"/>
        <v>#VALUE!</v>
      </c>
      <c r="AA229" s="199" t="e">
        <f t="shared" ca="1" si="80"/>
        <v>#VALUE!</v>
      </c>
      <c r="AB229" s="199" t="e">
        <f t="shared" ca="1" si="80"/>
        <v>#VALUE!</v>
      </c>
      <c r="AC229" s="199" t="e">
        <f t="shared" ca="1" si="80"/>
        <v>#VALUE!</v>
      </c>
      <c r="AD229" s="199" t="e">
        <f t="shared" ca="1" si="80"/>
        <v>#VALUE!</v>
      </c>
      <c r="AE229" s="199" t="e">
        <f t="shared" ca="1" si="80"/>
        <v>#VALUE!</v>
      </c>
      <c r="AF229" s="199" t="e">
        <f t="shared" ca="1" si="80"/>
        <v>#VALUE!</v>
      </c>
      <c r="AG229" s="199" t="e">
        <f t="shared" ca="1" si="80"/>
        <v>#VALUE!</v>
      </c>
      <c r="AH229" s="199" t="e">
        <f t="shared" ca="1" si="80"/>
        <v>#VALUE!</v>
      </c>
      <c r="AI229" s="199" t="e">
        <f t="shared" ca="1" si="80"/>
        <v>#VALUE!</v>
      </c>
      <c r="AJ229" s="199" t="e">
        <f t="shared" ca="1" si="80"/>
        <v>#VALUE!</v>
      </c>
      <c r="AK229" s="199" t="e">
        <f t="shared" ca="1" si="80"/>
        <v>#VALUE!</v>
      </c>
      <c r="AL229" s="199" t="e">
        <f t="shared" ca="1" si="80"/>
        <v>#VALUE!</v>
      </c>
      <c r="AM229" s="199" t="e">
        <f t="shared" ca="1" si="80"/>
        <v>#VALUE!</v>
      </c>
      <c r="AN229" s="199" t="e">
        <f t="shared" ca="1" si="80"/>
        <v>#VALUE!</v>
      </c>
      <c r="AO229" s="199" t="e">
        <f t="shared" ca="1" si="80"/>
        <v>#VALUE!</v>
      </c>
      <c r="AP229" s="199" t="e">
        <f t="shared" ca="1" si="80"/>
        <v>#VALUE!</v>
      </c>
    </row>
    <row r="230" spans="1:42" s="5" customFormat="1">
      <c r="A230" s="61" t="str">
        <f>'[4]TS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242.24</v>
      </c>
      <c r="L230" s="5">
        <f t="shared" ca="1" si="81"/>
        <v>246.87</v>
      </c>
      <c r="M230" s="5">
        <f t="shared" ca="1" si="81"/>
        <v>250.64</v>
      </c>
      <c r="N230" s="5">
        <f t="shared" ca="1" si="81"/>
        <v>253.65</v>
      </c>
      <c r="O230" s="5">
        <f t="shared" ca="1" si="81"/>
        <v>255.51</v>
      </c>
      <c r="P230" s="5">
        <f t="shared" ca="1" si="81"/>
        <v>259.37</v>
      </c>
      <c r="Q230" s="5">
        <f t="shared" ca="1" si="81"/>
        <v>261.33</v>
      </c>
      <c r="R230" s="5">
        <f t="shared" ca="1" si="81"/>
        <v>237.93</v>
      </c>
      <c r="S230" s="5">
        <f t="shared" ca="1" si="81"/>
        <v>248.63</v>
      </c>
      <c r="T230" s="5">
        <f t="shared" ca="1" si="81"/>
        <v>258.14</v>
      </c>
      <c r="U230" s="5">
        <f t="shared" ca="1" si="81"/>
        <v>268.23</v>
      </c>
      <c r="V230" s="5">
        <f t="shared" ca="1" si="81"/>
        <v>279.72000000000003</v>
      </c>
      <c r="W230" s="5">
        <f t="shared" ca="1" si="81"/>
        <v>292.12</v>
      </c>
      <c r="X230" s="5">
        <f t="shared" ca="1" si="81"/>
        <v>305.86</v>
      </c>
      <c r="Y230" s="5">
        <f t="shared" ca="1" si="81"/>
        <v>320.54000000000002</v>
      </c>
      <c r="Z230" s="5">
        <f t="shared" ca="1" si="81"/>
        <v>336.39</v>
      </c>
      <c r="AA230" s="5">
        <f t="shared" ca="1" si="81"/>
        <v>354.33</v>
      </c>
      <c r="AB230" s="5">
        <f t="shared" ca="1" si="81"/>
        <v>373.14</v>
      </c>
      <c r="AC230" s="5">
        <f t="shared" ca="1" si="81"/>
        <v>392.47</v>
      </c>
      <c r="AD230" s="5">
        <f t="shared" ca="1" si="81"/>
        <v>412.91</v>
      </c>
      <c r="AE230" s="5">
        <f t="shared" ca="1" si="81"/>
        <v>434.3</v>
      </c>
      <c r="AF230" s="5">
        <f t="shared" ca="1" si="81"/>
        <v>457.12</v>
      </c>
      <c r="AG230" s="5">
        <f t="shared" ca="1" si="81"/>
        <v>479.82</v>
      </c>
      <c r="AH230" s="5">
        <f t="shared" ca="1" si="81"/>
        <v>503.56</v>
      </c>
      <c r="AI230" s="5">
        <f t="shared" ca="1" si="81"/>
        <v>530.24</v>
      </c>
      <c r="AJ230" s="5">
        <f t="shared" ca="1" si="81"/>
        <v>558.29</v>
      </c>
      <c r="AK230" s="5">
        <f t="shared" ca="1" si="81"/>
        <v>587.79</v>
      </c>
      <c r="AL230" s="5">
        <f t="shared" ca="1" si="81"/>
        <v>618.39</v>
      </c>
      <c r="AM230" s="5">
        <f t="shared" ca="1" si="81"/>
        <v>799.67</v>
      </c>
      <c r="AN230" s="5">
        <f t="shared" ca="1" si="81"/>
        <v>1028.08</v>
      </c>
      <c r="AO230" s="5">
        <f t="shared" ca="1" si="81"/>
        <v>1429.9150000000081</v>
      </c>
      <c r="AP230" s="5">
        <f t="shared" ca="1" si="81"/>
        <v>1839.6050000000105</v>
      </c>
    </row>
    <row r="231" spans="1:42">
      <c r="A231" s="61" t="str">
        <f>'[4]TS BYDem'!A170</f>
        <v>*</v>
      </c>
      <c r="B231" s="199" t="s">
        <v>288</v>
      </c>
      <c r="C231" s="199" t="s">
        <v>137</v>
      </c>
      <c r="D231" s="199">
        <f>'[4]TS BYDem'!D170</f>
        <v>0</v>
      </c>
      <c r="E231" s="199" t="s">
        <v>137</v>
      </c>
      <c r="F231" s="199" t="s">
        <v>137</v>
      </c>
      <c r="G231" s="199" t="s">
        <v>137</v>
      </c>
      <c r="H231" s="199" t="s">
        <v>137</v>
      </c>
      <c r="I231" s="199">
        <v>0</v>
      </c>
      <c r="J231" s="199" t="str">
        <f>INDEX('[4]TS BYDem'!$J$10:$J$203,MATCH(D231,'[4]TS BYDem'!$D$10:$D$203,0))</f>
        <v/>
      </c>
      <c r="K231" s="199" t="e">
        <f t="shared" ref="K231:Z253" ca="1" si="82">K$230/J$230*J231</f>
        <v>#VALUE!</v>
      </c>
      <c r="L231" s="199" t="e">
        <f t="shared" ca="1" si="82"/>
        <v>#VALUE!</v>
      </c>
      <c r="M231" s="199" t="e">
        <f t="shared" ca="1" si="82"/>
        <v>#VALUE!</v>
      </c>
      <c r="N231" s="199" t="e">
        <f t="shared" ca="1" si="82"/>
        <v>#VALUE!</v>
      </c>
      <c r="O231" s="199" t="e">
        <f t="shared" ca="1" si="82"/>
        <v>#VALUE!</v>
      </c>
      <c r="P231" s="199" t="e">
        <f t="shared" ca="1" si="82"/>
        <v>#VALUE!</v>
      </c>
      <c r="Q231" s="199" t="e">
        <f t="shared" ca="1" si="82"/>
        <v>#VALUE!</v>
      </c>
      <c r="R231" s="199" t="e">
        <f t="shared" ca="1" si="82"/>
        <v>#VALUE!</v>
      </c>
      <c r="S231" s="199" t="e">
        <f t="shared" ca="1" si="82"/>
        <v>#VALUE!</v>
      </c>
      <c r="T231" s="199" t="e">
        <f t="shared" ca="1" si="82"/>
        <v>#VALUE!</v>
      </c>
      <c r="U231" s="199" t="e">
        <f t="shared" ca="1" si="82"/>
        <v>#VALUE!</v>
      </c>
      <c r="V231" s="199" t="e">
        <f t="shared" ca="1" si="82"/>
        <v>#VALUE!</v>
      </c>
      <c r="W231" s="199" t="e">
        <f t="shared" ca="1" si="82"/>
        <v>#VALUE!</v>
      </c>
      <c r="X231" s="199" t="e">
        <f t="shared" ca="1" si="82"/>
        <v>#VALUE!</v>
      </c>
      <c r="Y231" s="199" t="e">
        <f t="shared" ca="1" si="82"/>
        <v>#VALUE!</v>
      </c>
      <c r="Z231" s="199" t="e">
        <f t="shared" ca="1" si="82"/>
        <v>#VALUE!</v>
      </c>
      <c r="AA231" s="199" t="e">
        <f t="shared" ref="AA231:AP246" ca="1" si="83">AA$230/Z$230*Z231</f>
        <v>#VALUE!</v>
      </c>
      <c r="AB231" s="199" t="e">
        <f t="shared" ca="1" si="83"/>
        <v>#VALUE!</v>
      </c>
      <c r="AC231" s="199" t="e">
        <f t="shared" ca="1" si="83"/>
        <v>#VALUE!</v>
      </c>
      <c r="AD231" s="199" t="e">
        <f t="shared" ca="1" si="83"/>
        <v>#VALUE!</v>
      </c>
      <c r="AE231" s="199" t="e">
        <f t="shared" ca="1" si="83"/>
        <v>#VALUE!</v>
      </c>
      <c r="AF231" s="199" t="e">
        <f t="shared" ca="1" si="83"/>
        <v>#VALUE!</v>
      </c>
      <c r="AG231" s="199" t="e">
        <f t="shared" ca="1" si="83"/>
        <v>#VALUE!</v>
      </c>
      <c r="AH231" s="199" t="e">
        <f t="shared" ca="1" si="83"/>
        <v>#VALUE!</v>
      </c>
      <c r="AI231" s="199" t="e">
        <f t="shared" ca="1" si="83"/>
        <v>#VALUE!</v>
      </c>
      <c r="AJ231" s="199" t="e">
        <f t="shared" ca="1" si="83"/>
        <v>#VALUE!</v>
      </c>
      <c r="AK231" s="199" t="e">
        <f t="shared" ca="1" si="83"/>
        <v>#VALUE!</v>
      </c>
      <c r="AL231" s="199" t="e">
        <f t="shared" ca="1" si="83"/>
        <v>#VALUE!</v>
      </c>
      <c r="AM231" s="199" t="e">
        <f t="shared" ca="1" si="83"/>
        <v>#VALUE!</v>
      </c>
      <c r="AN231" s="199" t="e">
        <f t="shared" ca="1" si="83"/>
        <v>#VALUE!</v>
      </c>
      <c r="AO231" s="199" t="e">
        <f t="shared" ca="1" si="83"/>
        <v>#VALUE!</v>
      </c>
      <c r="AP231" s="199" t="e">
        <f t="shared" ca="1" si="83"/>
        <v>#VALUE!</v>
      </c>
    </row>
    <row r="232" spans="1:42">
      <c r="A232" s="61" t="str">
        <f>'[4]TS BYDem'!A171</f>
        <v>*</v>
      </c>
      <c r="B232" s="199" t="s">
        <v>288</v>
      </c>
      <c r="C232" s="199" t="s">
        <v>137</v>
      </c>
      <c r="D232" s="199">
        <f>'[4]TS BYDem'!D171</f>
        <v>2</v>
      </c>
      <c r="E232" s="199" t="s">
        <v>137</v>
      </c>
      <c r="F232" s="199" t="s">
        <v>137</v>
      </c>
      <c r="G232" s="199" t="s">
        <v>137</v>
      </c>
      <c r="H232" s="199" t="s">
        <v>137</v>
      </c>
      <c r="I232" s="199">
        <v>0</v>
      </c>
      <c r="J232" s="199" t="str">
        <f>INDEX('[4]TS BYDem'!$J$10:$J$203,MATCH(D232,'[4]TS BYDem'!$D$10:$D$203,0))</f>
        <v/>
      </c>
      <c r="K232" s="199" t="e">
        <f t="shared" ca="1" si="82"/>
        <v>#VALUE!</v>
      </c>
      <c r="L232" s="199" t="e">
        <f t="shared" ca="1" si="82"/>
        <v>#VALUE!</v>
      </c>
      <c r="M232" s="199" t="e">
        <f t="shared" ca="1" si="82"/>
        <v>#VALUE!</v>
      </c>
      <c r="N232" s="199" t="e">
        <f t="shared" ca="1" si="82"/>
        <v>#VALUE!</v>
      </c>
      <c r="O232" s="199" t="e">
        <f t="shared" ca="1" si="82"/>
        <v>#VALUE!</v>
      </c>
      <c r="P232" s="199" t="e">
        <f t="shared" ca="1" si="82"/>
        <v>#VALUE!</v>
      </c>
      <c r="Q232" s="199" t="e">
        <f t="shared" ca="1" si="82"/>
        <v>#VALUE!</v>
      </c>
      <c r="R232" s="199" t="e">
        <f t="shared" ca="1" si="82"/>
        <v>#VALUE!</v>
      </c>
      <c r="S232" s="199" t="e">
        <f t="shared" ca="1" si="82"/>
        <v>#VALUE!</v>
      </c>
      <c r="T232" s="199" t="e">
        <f t="shared" ca="1" si="82"/>
        <v>#VALUE!</v>
      </c>
      <c r="U232" s="199" t="e">
        <f t="shared" ca="1" si="82"/>
        <v>#VALUE!</v>
      </c>
      <c r="V232" s="199" t="e">
        <f t="shared" ca="1" si="82"/>
        <v>#VALUE!</v>
      </c>
      <c r="W232" s="199" t="e">
        <f t="shared" ca="1" si="82"/>
        <v>#VALUE!</v>
      </c>
      <c r="X232" s="199" t="e">
        <f t="shared" ca="1" si="82"/>
        <v>#VALUE!</v>
      </c>
      <c r="Y232" s="199" t="e">
        <f t="shared" ca="1" si="82"/>
        <v>#VALUE!</v>
      </c>
      <c r="Z232" s="199" t="e">
        <f t="shared" ca="1" si="82"/>
        <v>#VALUE!</v>
      </c>
      <c r="AA232" s="199" t="e">
        <f t="shared" ca="1" si="83"/>
        <v>#VALUE!</v>
      </c>
      <c r="AB232" s="199" t="e">
        <f t="shared" ca="1" si="83"/>
        <v>#VALUE!</v>
      </c>
      <c r="AC232" s="199" t="e">
        <f t="shared" ca="1" si="83"/>
        <v>#VALUE!</v>
      </c>
      <c r="AD232" s="199" t="e">
        <f t="shared" ca="1" si="83"/>
        <v>#VALUE!</v>
      </c>
      <c r="AE232" s="199" t="e">
        <f t="shared" ca="1" si="83"/>
        <v>#VALUE!</v>
      </c>
      <c r="AF232" s="199" t="e">
        <f t="shared" ca="1" si="83"/>
        <v>#VALUE!</v>
      </c>
      <c r="AG232" s="199" t="e">
        <f t="shared" ca="1" si="83"/>
        <v>#VALUE!</v>
      </c>
      <c r="AH232" s="199" t="e">
        <f t="shared" ca="1" si="83"/>
        <v>#VALUE!</v>
      </c>
      <c r="AI232" s="199" t="e">
        <f t="shared" ca="1" si="83"/>
        <v>#VALUE!</v>
      </c>
      <c r="AJ232" s="199" t="e">
        <f t="shared" ca="1" si="83"/>
        <v>#VALUE!</v>
      </c>
      <c r="AK232" s="199" t="e">
        <f t="shared" ca="1" si="83"/>
        <v>#VALUE!</v>
      </c>
      <c r="AL232" s="199" t="e">
        <f t="shared" ca="1" si="83"/>
        <v>#VALUE!</v>
      </c>
      <c r="AM232" s="199" t="e">
        <f t="shared" ca="1" si="83"/>
        <v>#VALUE!</v>
      </c>
      <c r="AN232" s="199" t="e">
        <f t="shared" ca="1" si="83"/>
        <v>#VALUE!</v>
      </c>
      <c r="AO232" s="199" t="e">
        <f t="shared" ca="1" si="83"/>
        <v>#VALUE!</v>
      </c>
      <c r="AP232" s="199" t="e">
        <f t="shared" ca="1" si="83"/>
        <v>#VALUE!</v>
      </c>
    </row>
    <row r="233" spans="1:42">
      <c r="A233" s="61" t="str">
        <f>'[4]TS BYDem'!A172</f>
        <v/>
      </c>
      <c r="B233" s="199" t="s">
        <v>288</v>
      </c>
      <c r="C233" s="199" t="s">
        <v>137</v>
      </c>
      <c r="D233" s="199" t="str">
        <f>'[4]TS BYDem'!D172</f>
        <v>IOTK</v>
      </c>
      <c r="E233" s="199" t="s">
        <v>137</v>
      </c>
      <c r="F233" s="199" t="s">
        <v>137</v>
      </c>
      <c r="G233" s="199" t="s">
        <v>137</v>
      </c>
      <c r="H233" s="199" t="s">
        <v>137</v>
      </c>
      <c r="I233" s="199">
        <v>0</v>
      </c>
      <c r="J233" s="199">
        <f>INDEX('[4]TS BYDem'!$J$10:$J$203,MATCH(D233,'[4]TS BYDem'!$D$10:$D$203,0))</f>
        <v>4.0241553496851505</v>
      </c>
      <c r="K233" s="199">
        <f t="shared" ca="1" si="82"/>
        <v>4.1393265049160552</v>
      </c>
      <c r="L233" s="199">
        <f t="shared" ca="1" si="82"/>
        <v>4.2184425952304601</v>
      </c>
      <c r="M233" s="206">
        <f t="shared" ref="M233:M241" si="84">O233</f>
        <v>2.1816720000000003</v>
      </c>
      <c r="N233" s="206">
        <f t="shared" ref="N233:N241" si="85">O233</f>
        <v>2.1816720000000003</v>
      </c>
      <c r="O233" s="206">
        <f>INDEX('[4]TS BYDem'!$O$10:$O$203,MATCH(D233,'[4]TS BYDem'!$D$10:$D$203,0))</f>
        <v>2.1816720000000003</v>
      </c>
      <c r="P233" s="199">
        <f t="shared" ca="1" si="82"/>
        <v>2.21463060796055</v>
      </c>
      <c r="Q233" s="199">
        <f t="shared" ca="1" si="82"/>
        <v>2.2313660669249735</v>
      </c>
      <c r="R233" s="199">
        <f t="shared" ca="1" si="82"/>
        <v>2.0315651792884819</v>
      </c>
      <c r="S233" s="199">
        <f t="shared" ca="1" si="82"/>
        <v>2.1229271236350828</v>
      </c>
      <c r="T233" s="199">
        <f t="shared" ca="1" si="82"/>
        <v>2.2041282536104259</v>
      </c>
      <c r="U233" s="199">
        <f t="shared" ca="1" si="82"/>
        <v>2.2902817132793238</v>
      </c>
      <c r="V233" s="199">
        <f t="shared" ca="1" si="82"/>
        <v>2.3883890722085246</v>
      </c>
      <c r="W233" s="199">
        <f t="shared" ca="1" si="82"/>
        <v>2.494266465656922</v>
      </c>
      <c r="X233" s="199">
        <f t="shared" ca="1" si="82"/>
        <v>2.6115854483973235</v>
      </c>
      <c r="Y233" s="199">
        <f t="shared" ca="1" si="82"/>
        <v>2.7369306206410715</v>
      </c>
      <c r="Z233" s="199">
        <f t="shared" ca="1" si="82"/>
        <v>2.8722658372666441</v>
      </c>
      <c r="AA233" s="199">
        <f t="shared" ca="1" si="83"/>
        <v>3.0254465177879548</v>
      </c>
      <c r="AB233" s="199">
        <f t="shared" ca="1" si="83"/>
        <v>3.1860556928495964</v>
      </c>
      <c r="AC233" s="199">
        <f t="shared" ca="1" si="83"/>
        <v>3.3511048876364939</v>
      </c>
      <c r="AD233" s="199">
        <f t="shared" ca="1" si="83"/>
        <v>3.5256318168369165</v>
      </c>
      <c r="AE233" s="199">
        <f t="shared" ca="1" si="83"/>
        <v>3.7082703205354024</v>
      </c>
      <c r="AF233" s="199">
        <f t="shared" ca="1" si="83"/>
        <v>3.9031188784783399</v>
      </c>
      <c r="AG233" s="199">
        <f t="shared" ca="1" si="83"/>
        <v>4.0969428164846811</v>
      </c>
      <c r="AH233" s="199">
        <f t="shared" ca="1" si="83"/>
        <v>4.2996467939415322</v>
      </c>
      <c r="AI233" s="199">
        <f t="shared" ca="1" si="83"/>
        <v>4.527453959845019</v>
      </c>
      <c r="AJ233" s="199">
        <f t="shared" ca="1" si="83"/>
        <v>4.7669588700246592</v>
      </c>
      <c r="AK233" s="199">
        <f t="shared" ca="1" si="83"/>
        <v>5.0188446044381854</v>
      </c>
      <c r="AL233" s="199">
        <f t="shared" ca="1" si="83"/>
        <v>5.280122688270521</v>
      </c>
      <c r="AM233" s="199">
        <f t="shared" ca="1" si="83"/>
        <v>6.8279818724903167</v>
      </c>
      <c r="AN233" s="199">
        <f t="shared" ca="1" si="83"/>
        <v>8.7782605368087392</v>
      </c>
      <c r="AO233" s="199">
        <f t="shared" ca="1" si="83"/>
        <v>12.209328471997258</v>
      </c>
      <c r="AP233" s="199">
        <f t="shared" ca="1" si="83"/>
        <v>15.707466320535499</v>
      </c>
    </row>
    <row r="234" spans="1:42">
      <c r="A234" s="61" t="str">
        <f>'[4]TS BYDem'!A173</f>
        <v/>
      </c>
      <c r="B234" s="199" t="s">
        <v>288</v>
      </c>
      <c r="C234" s="199" t="s">
        <v>137</v>
      </c>
      <c r="D234" s="199" t="str">
        <f>'[4]TS BYDem'!D173</f>
        <v>IOTA</v>
      </c>
      <c r="E234" s="199" t="s">
        <v>137</v>
      </c>
      <c r="F234" s="199" t="s">
        <v>137</v>
      </c>
      <c r="G234" s="199" t="s">
        <v>137</v>
      </c>
      <c r="H234" s="199" t="s">
        <v>137</v>
      </c>
      <c r="I234" s="199">
        <v>0</v>
      </c>
      <c r="J234" s="199">
        <f>INDEX('[4]TS BYDem'!$J$10:$J$203,MATCH(D234,'[4]TS BYDem'!$D$10:$D$203,0))</f>
        <v>0.22789646617646991</v>
      </c>
      <c r="K234" s="199">
        <f t="shared" ca="1" si="82"/>
        <v>0.23441885336130819</v>
      </c>
      <c r="L234" s="199">
        <f t="shared" ca="1" si="82"/>
        <v>0.23889936562626385</v>
      </c>
      <c r="M234" s="206">
        <f t="shared" si="84"/>
        <v>0.12355272</v>
      </c>
      <c r="N234" s="206">
        <f t="shared" si="85"/>
        <v>0.12355272</v>
      </c>
      <c r="O234" s="206">
        <f>INDEX('[4]TS BYDem'!$O$10:$O$203,MATCH(D234,'[4]TS BYDem'!$D$10:$D$203,0))</f>
        <v>0.12355272</v>
      </c>
      <c r="P234" s="199">
        <f t="shared" ca="1" si="82"/>
        <v>0.12541923598450161</v>
      </c>
      <c r="Q234" s="199">
        <f t="shared" ca="1" si="82"/>
        <v>0.1263670005776682</v>
      </c>
      <c r="R234" s="199">
        <f t="shared" ca="1" si="82"/>
        <v>0.11505185186333217</v>
      </c>
      <c r="S234" s="199">
        <f t="shared" ca="1" si="82"/>
        <v>0.12022587285663966</v>
      </c>
      <c r="T234" s="199">
        <f t="shared" ca="1" si="82"/>
        <v>0.12482446534695314</v>
      </c>
      <c r="U234" s="199">
        <f t="shared" ca="1" si="82"/>
        <v>0.12970351878830574</v>
      </c>
      <c r="V234" s="199">
        <f t="shared" ca="1" si="82"/>
        <v>0.13525954693906306</v>
      </c>
      <c r="W234" s="199">
        <f t="shared" ca="1" si="82"/>
        <v>0.14125560865093342</v>
      </c>
      <c r="X234" s="199">
        <f t="shared" ca="1" si="82"/>
        <v>0.14789963187037689</v>
      </c>
      <c r="Y234" s="199">
        <f t="shared" ca="1" si="82"/>
        <v>0.15499819525184924</v>
      </c>
      <c r="Z234" s="199">
        <f t="shared" ca="1" si="82"/>
        <v>0.16266251606903839</v>
      </c>
      <c r="AA234" s="199">
        <f t="shared" ca="1" si="83"/>
        <v>0.17133746341669603</v>
      </c>
      <c r="AB234" s="199">
        <f t="shared" ca="1" si="83"/>
        <v>0.1804331021909123</v>
      </c>
      <c r="AC234" s="199">
        <f t="shared" ca="1" si="83"/>
        <v>0.18978018871433608</v>
      </c>
      <c r="AD234" s="199">
        <f t="shared" ca="1" si="83"/>
        <v>0.19966401947164497</v>
      </c>
      <c r="AE234" s="199">
        <f t="shared" ca="1" si="83"/>
        <v>0.21000722592462137</v>
      </c>
      <c r="AF234" s="199">
        <f t="shared" ca="1" si="83"/>
        <v>0.22104191368791828</v>
      </c>
      <c r="AG234" s="199">
        <f t="shared" ca="1" si="83"/>
        <v>0.23201857504755197</v>
      </c>
      <c r="AH234" s="199">
        <f t="shared" ca="1" si="83"/>
        <v>0.24349813190560055</v>
      </c>
      <c r="AI234" s="199">
        <f t="shared" ca="1" si="83"/>
        <v>0.25639933565339906</v>
      </c>
      <c r="AJ234" s="199">
        <f t="shared" ca="1" si="83"/>
        <v>0.26996300750968644</v>
      </c>
      <c r="AK234" s="199">
        <f t="shared" ca="1" si="83"/>
        <v>0.28422783174357164</v>
      </c>
      <c r="AL234" s="199">
        <f t="shared" ca="1" si="83"/>
        <v>0.29902456467770339</v>
      </c>
      <c r="AM234" s="199">
        <f t="shared" ca="1" si="83"/>
        <v>0.38668311847833736</v>
      </c>
      <c r="AN234" s="199">
        <f t="shared" ca="1" si="83"/>
        <v>0.49713154231771739</v>
      </c>
      <c r="AO234" s="199">
        <f t="shared" ca="1" si="83"/>
        <v>0.69144020828461117</v>
      </c>
      <c r="AP234" s="199">
        <f t="shared" ca="1" si="83"/>
        <v>0.88954718592462634</v>
      </c>
    </row>
    <row r="235" spans="1:42">
      <c r="A235" s="61" t="str">
        <f>'[4]TS BYDem'!A174</f>
        <v/>
      </c>
      <c r="B235" s="199" t="s">
        <v>288</v>
      </c>
      <c r="C235" s="199" t="s">
        <v>137</v>
      </c>
      <c r="D235" s="199" t="str">
        <f>'[4]TS BYDem'!D174</f>
        <v>IOTL</v>
      </c>
      <c r="E235" s="199" t="s">
        <v>137</v>
      </c>
      <c r="F235" s="199" t="s">
        <v>137</v>
      </c>
      <c r="G235" s="199" t="s">
        <v>137</v>
      </c>
      <c r="H235" s="199" t="s">
        <v>137</v>
      </c>
      <c r="I235" s="199">
        <v>0</v>
      </c>
      <c r="J235" s="199">
        <f>INDEX('[4]TS BYDem'!$J$10:$J$203,MATCH(D235,'[4]TS BYDem'!$D$10:$D$203,0))</f>
        <v>1.0095834302163471</v>
      </c>
      <c r="K235" s="199">
        <f t="shared" ca="1" si="82"/>
        <v>1.0384776651193544</v>
      </c>
      <c r="L235" s="199">
        <f t="shared" ca="1" si="82"/>
        <v>1.0583263754459007</v>
      </c>
      <c r="M235" s="206">
        <f t="shared" si="84"/>
        <v>0.54733968</v>
      </c>
      <c r="N235" s="206">
        <f t="shared" si="85"/>
        <v>0.54733968</v>
      </c>
      <c r="O235" s="206">
        <f>INDEX('[4]TS BYDem'!$O$10:$O$203,MATCH(D235,'[4]TS BYDem'!$D$10:$D$203,0))</f>
        <v>0.54733968</v>
      </c>
      <c r="P235" s="199">
        <f t="shared" ca="1" si="82"/>
        <v>0.55560836288834103</v>
      </c>
      <c r="Q235" s="199">
        <f t="shared" ca="1" si="82"/>
        <v>0.5598069687072913</v>
      </c>
      <c r="R235" s="199">
        <f t="shared" ca="1" si="82"/>
        <v>0.50968075637900667</v>
      </c>
      <c r="S235" s="199">
        <f t="shared" ca="1" si="82"/>
        <v>0.53260171671715384</v>
      </c>
      <c r="T235" s="199">
        <f t="shared" ca="1" si="82"/>
        <v>0.55297352352236684</v>
      </c>
      <c r="U235" s="199">
        <f t="shared" ca="1" si="82"/>
        <v>0.57458777490665713</v>
      </c>
      <c r="V235" s="199">
        <f t="shared" ca="1" si="82"/>
        <v>0.59920103044734052</v>
      </c>
      <c r="W235" s="199">
        <f t="shared" ca="1" si="82"/>
        <v>0.62576363868967932</v>
      </c>
      <c r="X235" s="199">
        <f t="shared" ca="1" si="82"/>
        <v>0.65519672233885151</v>
      </c>
      <c r="Y235" s="199">
        <f t="shared" ca="1" si="82"/>
        <v>0.68664342306445914</v>
      </c>
      <c r="Z235" s="199">
        <f t="shared" ca="1" si="82"/>
        <v>0.72059643440648091</v>
      </c>
      <c r="AA235" s="199">
        <f t="shared" ca="1" si="83"/>
        <v>0.75902653052483249</v>
      </c>
      <c r="AB235" s="199">
        <f t="shared" ca="1" si="83"/>
        <v>0.79932029351179967</v>
      </c>
      <c r="AC235" s="199">
        <f t="shared" ca="1" si="83"/>
        <v>0.84072797232828456</v>
      </c>
      <c r="AD235" s="199">
        <f t="shared" ca="1" si="83"/>
        <v>0.88451343301162366</v>
      </c>
      <c r="AE235" s="199">
        <f t="shared" ca="1" si="83"/>
        <v>0.93033393222965821</v>
      </c>
      <c r="AF235" s="199">
        <f t="shared" ca="1" si="83"/>
        <v>0.97921769997886565</v>
      </c>
      <c r="AG235" s="199">
        <f t="shared" ca="1" si="83"/>
        <v>1.0278444102289537</v>
      </c>
      <c r="AH235" s="199">
        <f t="shared" ca="1" si="83"/>
        <v>1.0786989521380765</v>
      </c>
      <c r="AI235" s="199">
        <f t="shared" ca="1" si="83"/>
        <v>1.135851402775625</v>
      </c>
      <c r="AJ235" s="199">
        <f t="shared" ca="1" si="83"/>
        <v>1.1959385931947866</v>
      </c>
      <c r="AK235" s="199">
        <f t="shared" ca="1" si="83"/>
        <v>1.2591318950616412</v>
      </c>
      <c r="AL235" s="199">
        <f t="shared" ca="1" si="83"/>
        <v>1.3246815573370905</v>
      </c>
      <c r="AM235" s="199">
        <f t="shared" ca="1" si="83"/>
        <v>1.7130097526734764</v>
      </c>
      <c r="AN235" s="199">
        <f t="shared" ca="1" si="83"/>
        <v>2.20229728078901</v>
      </c>
      <c r="AO235" s="199">
        <f t="shared" ca="1" si="83"/>
        <v>3.063086448777756</v>
      </c>
      <c r="AP235" s="199">
        <f t="shared" ca="1" si="83"/>
        <v>3.9407021722296807</v>
      </c>
    </row>
    <row r="236" spans="1:42">
      <c r="A236" s="61" t="str">
        <f>'[4]TS BYDem'!A175</f>
        <v/>
      </c>
      <c r="B236" s="199" t="s">
        <v>288</v>
      </c>
      <c r="C236" s="199" t="s">
        <v>137</v>
      </c>
      <c r="D236" s="199" t="str">
        <f>'[4]TS BYDem'!D175</f>
        <v>IOTC</v>
      </c>
      <c r="E236" s="199" t="s">
        <v>137</v>
      </c>
      <c r="F236" s="199" t="s">
        <v>137</v>
      </c>
      <c r="G236" s="199" t="s">
        <v>137</v>
      </c>
      <c r="H236" s="199" t="s">
        <v>137</v>
      </c>
      <c r="I236" s="199">
        <v>0</v>
      </c>
      <c r="J236" s="199">
        <f>INDEX('[4]TS BYDem'!$J$10:$J$203,MATCH(D236,'[4]TS BYDem'!$D$10:$D$203,0))</f>
        <v>4.2868722274366169</v>
      </c>
      <c r="K236" s="199">
        <f t="shared" ca="1" si="82"/>
        <v>4.4095623285530623</v>
      </c>
      <c r="L236" s="199">
        <f t="shared" ca="1" si="82"/>
        <v>4.4938435107740027</v>
      </c>
      <c r="M236" s="206">
        <f t="shared" si="84"/>
        <v>2.3241024000000006</v>
      </c>
      <c r="N236" s="206">
        <f t="shared" si="85"/>
        <v>2.3241024000000006</v>
      </c>
      <c r="O236" s="206">
        <f>INDEX('[4]TS BYDem'!$O$10:$O$203,MATCH(D236,'[4]TS BYDem'!$D$10:$D$203,0))</f>
        <v>2.3241024000000006</v>
      </c>
      <c r="P236" s="199">
        <f t="shared" ca="1" si="82"/>
        <v>2.3592127098274047</v>
      </c>
      <c r="Q236" s="199">
        <f t="shared" ca="1" si="82"/>
        <v>2.3770407427967597</v>
      </c>
      <c r="R236" s="199">
        <f t="shared" ca="1" si="82"/>
        <v>2.1641958593871085</v>
      </c>
      <c r="S236" s="199">
        <f t="shared" ca="1" si="82"/>
        <v>2.2615223659034873</v>
      </c>
      <c r="T236" s="199">
        <f t="shared" ca="1" si="82"/>
        <v>2.3480247095456144</v>
      </c>
      <c r="U236" s="199">
        <f t="shared" ca="1" si="82"/>
        <v>2.4398026955970411</v>
      </c>
      <c r="V236" s="199">
        <f t="shared" ca="1" si="82"/>
        <v>2.5443149909122931</v>
      </c>
      <c r="W236" s="199">
        <f t="shared" ca="1" si="82"/>
        <v>2.6571045872490311</v>
      </c>
      <c r="X236" s="199">
        <f t="shared" ca="1" si="82"/>
        <v>2.7820827367382877</v>
      </c>
      <c r="Y236" s="199">
        <f t="shared" ca="1" si="82"/>
        <v>2.9156110653046845</v>
      </c>
      <c r="Z236" s="199">
        <f t="shared" ca="1" si="82"/>
        <v>3.0597816380415637</v>
      </c>
      <c r="AA236" s="199">
        <f t="shared" ca="1" si="83"/>
        <v>3.2229627153222968</v>
      </c>
      <c r="AB236" s="199">
        <f t="shared" ca="1" si="83"/>
        <v>3.394057256216978</v>
      </c>
      <c r="AC236" s="199">
        <f t="shared" ca="1" si="83"/>
        <v>3.5698816834096521</v>
      </c>
      <c r="AD236" s="199">
        <f t="shared" ca="1" si="83"/>
        <v>3.7558025986615009</v>
      </c>
      <c r="AE236" s="199">
        <f t="shared" ca="1" si="83"/>
        <v>3.9503646523423748</v>
      </c>
      <c r="AF236" s="199">
        <f t="shared" ca="1" si="83"/>
        <v>4.1579338933427268</v>
      </c>
      <c r="AG236" s="199">
        <f t="shared" ca="1" si="83"/>
        <v>4.3644116221204659</v>
      </c>
      <c r="AH236" s="199">
        <f t="shared" ca="1" si="83"/>
        <v>4.5803491234941882</v>
      </c>
      <c r="AI236" s="199">
        <f t="shared" ca="1" si="83"/>
        <v>4.8230286743219439</v>
      </c>
      <c r="AJ236" s="199">
        <f t="shared" ca="1" si="83"/>
        <v>5.0781696563578711</v>
      </c>
      <c r="AK236" s="199">
        <f t="shared" ca="1" si="83"/>
        <v>5.3464997444170468</v>
      </c>
      <c r="AL236" s="199">
        <f t="shared" ca="1" si="83"/>
        <v>5.6248353611835142</v>
      </c>
      <c r="AM236" s="199">
        <f t="shared" ca="1" si="83"/>
        <v>7.2737464921451194</v>
      </c>
      <c r="AN236" s="199">
        <f t="shared" ca="1" si="83"/>
        <v>9.3513490485382142</v>
      </c>
      <c r="AO236" s="199">
        <f t="shared" ca="1" si="83"/>
        <v>13.006414164987742</v>
      </c>
      <c r="AP236" s="199">
        <f t="shared" ca="1" si="83"/>
        <v>16.732927852342463</v>
      </c>
    </row>
    <row r="237" spans="1:42">
      <c r="A237" s="61" t="str">
        <f>'[4]TS BYDem'!A176</f>
        <v/>
      </c>
      <c r="B237" s="199" t="s">
        <v>288</v>
      </c>
      <c r="C237" s="199" t="s">
        <v>137</v>
      </c>
      <c r="D237" s="199" t="str">
        <f>'[4]TS BYDem'!D176</f>
        <v>IOTH</v>
      </c>
      <c r="E237" s="199" t="s">
        <v>137</v>
      </c>
      <c r="F237" s="199" t="s">
        <v>137</v>
      </c>
      <c r="G237" s="199" t="s">
        <v>137</v>
      </c>
      <c r="H237" s="199" t="s">
        <v>137</v>
      </c>
      <c r="I237" s="199">
        <v>0</v>
      </c>
      <c r="J237" s="199">
        <f>INDEX('[4]TS BYDem'!$J$10:$J$203,MATCH(D237,'[4]TS BYDem'!$D$10:$D$203,0))</f>
        <v>3.1863804172999206</v>
      </c>
      <c r="K237" s="199">
        <f t="shared" ca="1" si="82"/>
        <v>3.277574489540267</v>
      </c>
      <c r="L237" s="199">
        <f t="shared" ca="1" si="82"/>
        <v>3.3402196756638283</v>
      </c>
      <c r="M237" s="206">
        <f t="shared" si="84"/>
        <v>1.7274772800000002</v>
      </c>
      <c r="N237" s="206">
        <f t="shared" si="85"/>
        <v>1.7274772800000002</v>
      </c>
      <c r="O237" s="206">
        <f>INDEX('[4]TS BYDem'!$O$10:$O$203,MATCH(D237,'[4]TS BYDem'!$D$10:$D$203,0))</f>
        <v>1.7274772800000002</v>
      </c>
      <c r="P237" s="199">
        <f t="shared" ca="1" si="82"/>
        <v>1.7535743497851359</v>
      </c>
      <c r="Q237" s="199">
        <f t="shared" ca="1" si="82"/>
        <v>1.7668257116449455</v>
      </c>
      <c r="R237" s="199">
        <f t="shared" ca="1" si="82"/>
        <v>1.6086206771961959</v>
      </c>
      <c r="S237" s="199">
        <f t="shared" ca="1" si="82"/>
        <v>1.6809622955125045</v>
      </c>
      <c r="T237" s="199">
        <f t="shared" ca="1" si="82"/>
        <v>1.7452584441282142</v>
      </c>
      <c r="U237" s="199">
        <f t="shared" ca="1" si="82"/>
        <v>1.8134759141106025</v>
      </c>
      <c r="V237" s="199">
        <f t="shared" ca="1" si="82"/>
        <v>1.8911586425642837</v>
      </c>
      <c r="W237" s="199">
        <f t="shared" ca="1" si="82"/>
        <v>1.9749937890243048</v>
      </c>
      <c r="X237" s="199">
        <f t="shared" ca="1" si="82"/>
        <v>2.0678885400211344</v>
      </c>
      <c r="Y237" s="199">
        <f t="shared" ca="1" si="82"/>
        <v>2.1671385359915467</v>
      </c>
      <c r="Z237" s="199">
        <f t="shared" ca="1" si="82"/>
        <v>2.2742987836843964</v>
      </c>
      <c r="AA237" s="199">
        <f t="shared" ca="1" si="83"/>
        <v>2.3955893100951045</v>
      </c>
      <c r="AB237" s="199">
        <f t="shared" ca="1" si="83"/>
        <v>2.5227618185558298</v>
      </c>
      <c r="AC237" s="199">
        <f t="shared" ca="1" si="83"/>
        <v>2.6534499944487506</v>
      </c>
      <c r="AD237" s="199">
        <f t="shared" ca="1" si="83"/>
        <v>2.7916427681296239</v>
      </c>
      <c r="AE237" s="199">
        <f t="shared" ca="1" si="83"/>
        <v>2.9362583957731605</v>
      </c>
      <c r="AF237" s="199">
        <f t="shared" ca="1" si="83"/>
        <v>3.0905421088552316</v>
      </c>
      <c r="AG237" s="199">
        <f t="shared" ca="1" si="83"/>
        <v>3.244014514068335</v>
      </c>
      <c r="AH237" s="199">
        <f t="shared" ca="1" si="83"/>
        <v>3.404518254145827</v>
      </c>
      <c r="AI237" s="199">
        <f t="shared" ca="1" si="83"/>
        <v>3.5848990370130336</v>
      </c>
      <c r="AJ237" s="199">
        <f t="shared" ca="1" si="83"/>
        <v>3.7745422513842906</v>
      </c>
      <c r="AK237" s="199">
        <f t="shared" ca="1" si="83"/>
        <v>3.9739887691722444</v>
      </c>
      <c r="AL237" s="199">
        <f t="shared" ca="1" si="83"/>
        <v>4.1808722757590706</v>
      </c>
      <c r="AM237" s="199">
        <f t="shared" ca="1" si="83"/>
        <v>5.4064880298133149</v>
      </c>
      <c r="AN237" s="199">
        <f t="shared" ca="1" si="83"/>
        <v>6.9507449494047204</v>
      </c>
      <c r="AO237" s="199">
        <f t="shared" ca="1" si="83"/>
        <v>9.6675107621275664</v>
      </c>
      <c r="AP237" s="199">
        <f t="shared" ca="1" si="83"/>
        <v>12.437383435773233</v>
      </c>
    </row>
    <row r="238" spans="1:42">
      <c r="A238" s="61" t="str">
        <f>'[4]TS BYDem'!A177</f>
        <v/>
      </c>
      <c r="B238" s="199" t="s">
        <v>288</v>
      </c>
      <c r="C238" s="199" t="s">
        <v>137</v>
      </c>
      <c r="D238" s="199" t="str">
        <f>'[4]TS BYDem'!D177</f>
        <v>IOTP</v>
      </c>
      <c r="E238" s="199" t="s">
        <v>137</v>
      </c>
      <c r="F238" s="199" t="s">
        <v>137</v>
      </c>
      <c r="G238" s="199" t="s">
        <v>137</v>
      </c>
      <c r="H238" s="199" t="s">
        <v>137</v>
      </c>
      <c r="I238" s="199">
        <v>0</v>
      </c>
      <c r="J238" s="199">
        <f>INDEX('[4]TS BYDem'!$J$10:$J$203,MATCH(D238,'[4]TS BYDem'!$D$10:$D$203,0))</f>
        <v>4.3369135374845138</v>
      </c>
      <c r="K238" s="199">
        <f t="shared" ca="1" si="82"/>
        <v>4.4610358187696333</v>
      </c>
      <c r="L238" s="199">
        <f t="shared" ca="1" si="82"/>
        <v>4.5463008280203905</v>
      </c>
      <c r="M238" s="206">
        <f t="shared" si="84"/>
        <v>2.3512320000000004</v>
      </c>
      <c r="N238" s="206">
        <f t="shared" si="85"/>
        <v>2.3512320000000004</v>
      </c>
      <c r="O238" s="206">
        <f>INDEX('[4]TS BYDem'!$O$10:$O$203,MATCH(D238,'[4]TS BYDem'!$D$10:$D$203,0))</f>
        <v>2.3512320000000004</v>
      </c>
      <c r="P238" s="199">
        <f t="shared" ca="1" si="82"/>
        <v>2.3867521578020434</v>
      </c>
      <c r="Q238" s="199">
        <f t="shared" ca="1" si="82"/>
        <v>2.4047883001056709</v>
      </c>
      <c r="R238" s="199">
        <f t="shared" ca="1" si="82"/>
        <v>2.1894588460725606</v>
      </c>
      <c r="S238" s="199">
        <f t="shared" ca="1" si="82"/>
        <v>2.287921459668897</v>
      </c>
      <c r="T238" s="199">
        <f t="shared" ca="1" si="82"/>
        <v>2.3754335582951738</v>
      </c>
      <c r="U238" s="199">
        <f t="shared" ca="1" si="82"/>
        <v>2.4682828827051777</v>
      </c>
      <c r="V238" s="199">
        <f t="shared" ca="1" si="82"/>
        <v>2.5740151659034871</v>
      </c>
      <c r="W238" s="199">
        <f t="shared" ca="1" si="82"/>
        <v>2.6881213723141948</v>
      </c>
      <c r="X238" s="199">
        <f t="shared" ca="1" si="82"/>
        <v>2.8145584107079955</v>
      </c>
      <c r="Y238" s="199">
        <f t="shared" ca="1" si="82"/>
        <v>2.9496454357168016</v>
      </c>
      <c r="Z238" s="199">
        <f t="shared" ca="1" si="82"/>
        <v>3.0954989334272631</v>
      </c>
      <c r="AA238" s="199">
        <f t="shared" ca="1" si="83"/>
        <v>3.2605848481859812</v>
      </c>
      <c r="AB238" s="199">
        <f t="shared" ca="1" si="83"/>
        <v>3.4336766016202889</v>
      </c>
      <c r="AC238" s="199">
        <f t="shared" ca="1" si="83"/>
        <v>3.6115534540331109</v>
      </c>
      <c r="AD238" s="199">
        <f t="shared" ca="1" si="83"/>
        <v>3.7996446523423746</v>
      </c>
      <c r="AE238" s="199">
        <f t="shared" ca="1" si="83"/>
        <v>3.996477858400846</v>
      </c>
      <c r="AF238" s="199">
        <f t="shared" ca="1" si="83"/>
        <v>4.2064700866502296</v>
      </c>
      <c r="AG238" s="199">
        <f t="shared" ca="1" si="83"/>
        <v>4.4153580612891874</v>
      </c>
      <c r="AH238" s="199">
        <f t="shared" ca="1" si="83"/>
        <v>4.6338162338851712</v>
      </c>
      <c r="AI238" s="199">
        <f t="shared" ca="1" si="83"/>
        <v>4.8793286199365973</v>
      </c>
      <c r="AJ238" s="199">
        <f t="shared" ca="1" si="83"/>
        <v>5.1374479013737222</v>
      </c>
      <c r="AK238" s="199">
        <f t="shared" ca="1" si="83"/>
        <v>5.4089102472701649</v>
      </c>
      <c r="AL238" s="199">
        <f t="shared" ca="1" si="83"/>
        <v>5.6904949179288478</v>
      </c>
      <c r="AM238" s="199">
        <f t="shared" ca="1" si="83"/>
        <v>7.3586540387460362</v>
      </c>
      <c r="AN238" s="199">
        <f t="shared" ca="1" si="83"/>
        <v>9.4605087650581172</v>
      </c>
      <c r="AO238" s="199">
        <f t="shared" ca="1" si="83"/>
        <v>13.158240011271648</v>
      </c>
      <c r="AP238" s="199">
        <f t="shared" ca="1" si="83"/>
        <v>16.928253858400939</v>
      </c>
    </row>
    <row r="239" spans="1:42">
      <c r="A239" s="61" t="str">
        <f>'[4]TS BYDem'!A178</f>
        <v/>
      </c>
      <c r="B239" s="199" t="s">
        <v>288</v>
      </c>
      <c r="C239" s="199" t="s">
        <v>137</v>
      </c>
      <c r="D239" s="199" t="str">
        <f>'[4]TS BYDem'!D178</f>
        <v>IOTF</v>
      </c>
      <c r="E239" s="199" t="s">
        <v>137</v>
      </c>
      <c r="F239" s="199" t="s">
        <v>137</v>
      </c>
      <c r="G239" s="199" t="s">
        <v>137</v>
      </c>
      <c r="H239" s="199" t="s">
        <v>137</v>
      </c>
      <c r="I239" s="199">
        <v>0</v>
      </c>
      <c r="J239" s="199">
        <f>INDEX('[4]TS BYDem'!$J$10:$J$203,MATCH(D239,'[4]TS BYDem'!$D$10:$D$203,0))</f>
        <v>1.8465243407674456</v>
      </c>
      <c r="K239" s="199">
        <f t="shared" ca="1" si="82"/>
        <v>1.8993717889915331</v>
      </c>
      <c r="L239" s="199">
        <f t="shared" ca="1" si="82"/>
        <v>1.9356750063917594</v>
      </c>
      <c r="M239" s="206">
        <f t="shared" si="84"/>
        <v>1.0010822400000001</v>
      </c>
      <c r="N239" s="206">
        <f t="shared" si="85"/>
        <v>1.0010822400000001</v>
      </c>
      <c r="O239" s="206">
        <f>INDEX('[4]TS BYDem'!$O$10:$O$203,MATCH(D239,'[4]TS BYDem'!$D$10:$D$203,0))</f>
        <v>1.0010822400000001</v>
      </c>
      <c r="P239" s="199">
        <f t="shared" ca="1" si="82"/>
        <v>1.0162056302641778</v>
      </c>
      <c r="Q239" s="199">
        <f t="shared" ca="1" si="82"/>
        <v>1.0238848646988377</v>
      </c>
      <c r="R239" s="199">
        <f t="shared" ca="1" si="82"/>
        <v>0.93220420869320186</v>
      </c>
      <c r="S239" s="199">
        <f t="shared" ca="1" si="82"/>
        <v>0.97412655994364217</v>
      </c>
      <c r="T239" s="199">
        <f t="shared" ca="1" si="82"/>
        <v>1.011386518858753</v>
      </c>
      <c r="U239" s="199">
        <f t="shared" ca="1" si="82"/>
        <v>1.0509189042902431</v>
      </c>
      <c r="V239" s="199">
        <f t="shared" ca="1" si="82"/>
        <v>1.0959364571750618</v>
      </c>
      <c r="W239" s="199">
        <f t="shared" ca="1" si="82"/>
        <v>1.1445193689045441</v>
      </c>
      <c r="X239" s="199">
        <f t="shared" ca="1" si="82"/>
        <v>1.1983523694822122</v>
      </c>
      <c r="Y239" s="199">
        <f t="shared" ca="1" si="82"/>
        <v>1.2558682682071154</v>
      </c>
      <c r="Z239" s="199">
        <f t="shared" ca="1" si="82"/>
        <v>1.3179681997323003</v>
      </c>
      <c r="AA239" s="199">
        <f t="shared" ca="1" si="83"/>
        <v>1.3882567026699546</v>
      </c>
      <c r="AB239" s="199">
        <f t="shared" ca="1" si="83"/>
        <v>1.4619538453821772</v>
      </c>
      <c r="AC239" s="199">
        <f t="shared" ca="1" si="83"/>
        <v>1.5376883360056366</v>
      </c>
      <c r="AD239" s="199">
        <f t="shared" ca="1" si="83"/>
        <v>1.6177717808242347</v>
      </c>
      <c r="AE239" s="199">
        <f t="shared" ca="1" si="83"/>
        <v>1.7015773035575916</v>
      </c>
      <c r="AF239" s="199">
        <f t="shared" ca="1" si="83"/>
        <v>1.7909855330468483</v>
      </c>
      <c r="AG239" s="199">
        <f t="shared" ca="1" si="83"/>
        <v>1.8799236053258199</v>
      </c>
      <c r="AH239" s="199">
        <f t="shared" ca="1" si="83"/>
        <v>1.972936373427264</v>
      </c>
      <c r="AI239" s="199">
        <f t="shared" ca="1" si="83"/>
        <v>2.0774679931806981</v>
      </c>
      <c r="AJ239" s="199">
        <f t="shared" ca="1" si="83"/>
        <v>2.1873672410848894</v>
      </c>
      <c r="AK239" s="199">
        <f t="shared" ca="1" si="83"/>
        <v>2.3029475552800287</v>
      </c>
      <c r="AL239" s="199">
        <f t="shared" ca="1" si="83"/>
        <v>2.4228376439027834</v>
      </c>
      <c r="AM239" s="199">
        <f t="shared" ca="1" si="83"/>
        <v>3.1330884695737944</v>
      </c>
      <c r="AN239" s="199">
        <f t="shared" ca="1" si="83"/>
        <v>4.0279935395843616</v>
      </c>
      <c r="AO239" s="199">
        <f t="shared" ca="1" si="83"/>
        <v>5.6023737278760466</v>
      </c>
      <c r="AP239" s="199">
        <f t="shared" ca="1" si="83"/>
        <v>7.207529623557634</v>
      </c>
    </row>
    <row r="240" spans="1:42">
      <c r="A240" s="61" t="str">
        <f>'[4]TS BYDem'!A179</f>
        <v/>
      </c>
      <c r="B240" s="199" t="s">
        <v>288</v>
      </c>
      <c r="C240" s="199" t="s">
        <v>137</v>
      </c>
      <c r="D240" s="199" t="str">
        <f>'[4]TS BYDem'!D179</f>
        <v>IOTO</v>
      </c>
      <c r="E240" s="199" t="s">
        <v>137</v>
      </c>
      <c r="F240" s="199" t="s">
        <v>137</v>
      </c>
      <c r="G240" s="199" t="s">
        <v>137</v>
      </c>
      <c r="H240" s="199" t="s">
        <v>137</v>
      </c>
      <c r="I240" s="199">
        <v>0</v>
      </c>
      <c r="J240" s="199">
        <f>INDEX('[4]TS BYDem'!$J$10:$J$203,MATCH(D240,'[4]TS BYDem'!$D$10:$D$203,0))</f>
        <v>12.304490923310874</v>
      </c>
      <c r="K240" s="199">
        <f t="shared" ca="1" si="82"/>
        <v>12.656644931052341</v>
      </c>
      <c r="L240" s="199">
        <f t="shared" ca="1" si="82"/>
        <v>12.898554879990471</v>
      </c>
      <c r="M240" s="206">
        <f t="shared" si="84"/>
        <v>6.6708069120000006</v>
      </c>
      <c r="N240" s="206">
        <f t="shared" si="85"/>
        <v>6.6708069120000006</v>
      </c>
      <c r="O240" s="206">
        <f>INDEX('[4]TS BYDem'!$O$10:$O$203,MATCH(D240,'[4]TS BYDem'!$D$10:$D$203,0))</f>
        <v>6.6708069120000006</v>
      </c>
      <c r="P240" s="199">
        <f t="shared" ca="1" si="82"/>
        <v>6.7715830643240587</v>
      </c>
      <c r="Q240" s="199">
        <f t="shared" ca="1" si="82"/>
        <v>6.8227543748305735</v>
      </c>
      <c r="R240" s="199">
        <f t="shared" ca="1" si="82"/>
        <v>6.2118315861303275</v>
      </c>
      <c r="S240" s="199">
        <f t="shared" ca="1" si="82"/>
        <v>6.4911851689975339</v>
      </c>
      <c r="T240" s="199">
        <f t="shared" ca="1" si="82"/>
        <v>6.7394704562000696</v>
      </c>
      <c r="U240" s="199">
        <f t="shared" ca="1" si="82"/>
        <v>7.0028982740626979</v>
      </c>
      <c r="V240" s="199">
        <f t="shared" ca="1" si="82"/>
        <v>7.3028770280014097</v>
      </c>
      <c r="W240" s="199">
        <f t="shared" ca="1" si="82"/>
        <v>7.6266138903895744</v>
      </c>
      <c r="X240" s="199">
        <f t="shared" ca="1" si="82"/>
        <v>7.9853352201648473</v>
      </c>
      <c r="Y240" s="199">
        <f t="shared" ca="1" si="82"/>
        <v>8.3685978927340621</v>
      </c>
      <c r="Z240" s="199">
        <f t="shared" ca="1" si="82"/>
        <v>8.782406704738289</v>
      </c>
      <c r="AA240" s="199">
        <f t="shared" ca="1" si="83"/>
        <v>9.250780842741813</v>
      </c>
      <c r="AB240" s="199">
        <f t="shared" ca="1" si="83"/>
        <v>9.7418687767354726</v>
      </c>
      <c r="AC240" s="199">
        <f t="shared" ca="1" si="83"/>
        <v>10.246532772700251</v>
      </c>
      <c r="AD240" s="199">
        <f t="shared" ca="1" si="83"/>
        <v>10.780176439411063</v>
      </c>
      <c r="AE240" s="199">
        <f t="shared" ca="1" si="83"/>
        <v>11.338622527030648</v>
      </c>
      <c r="AF240" s="199">
        <f t="shared" ca="1" si="83"/>
        <v>11.934402785070802</v>
      </c>
      <c r="AG240" s="199">
        <f t="shared" ca="1" si="83"/>
        <v>12.527050105733007</v>
      </c>
      <c r="AH240" s="199">
        <f t="shared" ca="1" si="83"/>
        <v>13.146849550337445</v>
      </c>
      <c r="AI240" s="199">
        <f t="shared" ca="1" si="83"/>
        <v>13.843405960701658</v>
      </c>
      <c r="AJ240" s="199">
        <f t="shared" ca="1" si="83"/>
        <v>14.575730072797464</v>
      </c>
      <c r="AK240" s="199">
        <f t="shared" ca="1" si="83"/>
        <v>15.345910511543503</v>
      </c>
      <c r="AL240" s="199">
        <f t="shared" ca="1" si="83"/>
        <v>16.144809542920751</v>
      </c>
      <c r="AM240" s="199">
        <f t="shared" ca="1" si="83"/>
        <v>20.877633608543857</v>
      </c>
      <c r="AN240" s="199">
        <f t="shared" ca="1" si="83"/>
        <v>26.84091882935682</v>
      </c>
      <c r="AO240" s="199">
        <f t="shared" ca="1" si="83"/>
        <v>37.331951256594799</v>
      </c>
      <c r="AP240" s="199">
        <f t="shared" ca="1" si="83"/>
        <v>48.028060543030932</v>
      </c>
    </row>
    <row r="241" spans="1:42">
      <c r="A241" s="61" t="str">
        <f>'[4]TS BYDem'!A180</f>
        <v/>
      </c>
      <c r="B241" s="199" t="s">
        <v>288</v>
      </c>
      <c r="C241" s="199" t="s">
        <v>137</v>
      </c>
      <c r="D241" s="199" t="str">
        <f>'[4]TS BYDem'!D180</f>
        <v>IOTE</v>
      </c>
      <c r="E241" s="199" t="s">
        <v>137</v>
      </c>
      <c r="F241" s="199" t="s">
        <v>137</v>
      </c>
      <c r="G241" s="199" t="s">
        <v>137</v>
      </c>
      <c r="H241" s="199" t="s">
        <v>137</v>
      </c>
      <c r="I241" s="199">
        <v>0</v>
      </c>
      <c r="J241" s="199">
        <f>INDEX('[4]TS BYDem'!$J$10:$J$203,MATCH(D241,'[4]TS BYDem'!$D$10:$D$203,0))</f>
        <v>0.41264064265496897</v>
      </c>
      <c r="K241" s="199">
        <f t="shared" ca="1" si="82"/>
        <v>0.42445040032585857</v>
      </c>
      <c r="L241" s="199">
        <f t="shared" ca="1" si="82"/>
        <v>0.43256303801372481</v>
      </c>
      <c r="M241" s="206">
        <f t="shared" si="84"/>
        <v>0.22371068160000002</v>
      </c>
      <c r="N241" s="206">
        <f t="shared" si="85"/>
        <v>0.22371068160000002</v>
      </c>
      <c r="O241" s="206">
        <f>INDEX('[4]TS BYDem'!$O$10:$O$203,MATCH(D241,'[4]TS BYDem'!$D$10:$D$203,0))</f>
        <v>0.22371068160000002</v>
      </c>
      <c r="P241" s="199">
        <f t="shared" ca="1" si="82"/>
        <v>0.22709028799887288</v>
      </c>
      <c r="Q241" s="199">
        <f t="shared" ca="1" si="82"/>
        <v>0.22880635756928494</v>
      </c>
      <c r="R241" s="199">
        <f t="shared" ca="1" si="82"/>
        <v>0.20831858820824234</v>
      </c>
      <c r="S241" s="199">
        <f t="shared" ca="1" si="82"/>
        <v>0.21768692718957378</v>
      </c>
      <c r="T241" s="199">
        <f t="shared" ca="1" si="82"/>
        <v>0.22601336678886927</v>
      </c>
      <c r="U241" s="199">
        <f t="shared" ca="1" si="82"/>
        <v>0.23484762289369493</v>
      </c>
      <c r="V241" s="199">
        <f t="shared" ca="1" si="82"/>
        <v>0.2449076429773864</v>
      </c>
      <c r="W241" s="199">
        <f t="shared" ca="1" si="82"/>
        <v>0.2557644096473406</v>
      </c>
      <c r="X241" s="199">
        <f t="shared" ca="1" si="82"/>
        <v>0.26779440755420919</v>
      </c>
      <c r="Y241" s="199">
        <f t="shared" ca="1" si="82"/>
        <v>0.28064741841831625</v>
      </c>
      <c r="Z241" s="199">
        <f t="shared" ca="1" si="82"/>
        <v>0.29452481775047545</v>
      </c>
      <c r="AA241" s="199">
        <f t="shared" ca="1" si="83"/>
        <v>0.31023210759394149</v>
      </c>
      <c r="AB241" s="199">
        <f t="shared" ca="1" si="83"/>
        <v>0.32670112219570269</v>
      </c>
      <c r="AC241" s="199">
        <f t="shared" ca="1" si="83"/>
        <v>0.34362542056104267</v>
      </c>
      <c r="AD241" s="199">
        <f t="shared" ca="1" si="83"/>
        <v>0.3615215746524833</v>
      </c>
      <c r="AE241" s="199">
        <f t="shared" ca="1" si="83"/>
        <v>0.38024949715815431</v>
      </c>
      <c r="AF241" s="199">
        <f t="shared" ca="1" si="83"/>
        <v>0.40022945001366678</v>
      </c>
      <c r="AG241" s="199">
        <f t="shared" ca="1" si="83"/>
        <v>0.42010433738527653</v>
      </c>
      <c r="AH241" s="199">
        <f t="shared" ca="1" si="83"/>
        <v>0.44088979228404368</v>
      </c>
      <c r="AI241" s="199">
        <f t="shared" ca="1" si="83"/>
        <v>0.464249351538429</v>
      </c>
      <c r="AJ241" s="199">
        <f t="shared" ca="1" si="83"/>
        <v>0.48880840840070439</v>
      </c>
      <c r="AK241" s="199">
        <f t="shared" ca="1" si="83"/>
        <v>0.51463700652680511</v>
      </c>
      <c r="AL241" s="199">
        <f t="shared" ca="1" si="83"/>
        <v>0.54142870492201467</v>
      </c>
      <c r="AM241" s="199">
        <f t="shared" ca="1" si="83"/>
        <v>0.70014762927115159</v>
      </c>
      <c r="AN241" s="199">
        <f t="shared" ca="1" si="83"/>
        <v>0.90013102242310639</v>
      </c>
      <c r="AO241" s="199">
        <f t="shared" ca="1" si="83"/>
        <v>1.2519559284570692</v>
      </c>
      <c r="AP241" s="199">
        <f t="shared" ca="1" si="83"/>
        <v>1.6106582459581631</v>
      </c>
    </row>
    <row r="242" spans="1:42">
      <c r="A242" s="61" t="str">
        <f>'[4]TS BYDem'!A181</f>
        <v>*</v>
      </c>
      <c r="B242" s="199" t="s">
        <v>288</v>
      </c>
      <c r="C242" s="199" t="s">
        <v>137</v>
      </c>
      <c r="D242" s="199" t="str">
        <f>'[4]TS BYDem'!D181</f>
        <v xml:space="preserve"> </v>
      </c>
      <c r="E242" s="199" t="s">
        <v>137</v>
      </c>
      <c r="F242" s="199" t="s">
        <v>137</v>
      </c>
      <c r="G242" s="199" t="s">
        <v>137</v>
      </c>
      <c r="H242" s="199" t="s">
        <v>137</v>
      </c>
      <c r="I242" s="199">
        <v>0</v>
      </c>
      <c r="J242" s="199" t="str">
        <f>INDEX('[4]TS BYDem'!$J$10:$J$203,MATCH(D242,'[4]TS BYDem'!$D$10:$D$203,0))</f>
        <v/>
      </c>
      <c r="K242" s="199" t="e">
        <f t="shared" ca="1" si="82"/>
        <v>#VALUE!</v>
      </c>
      <c r="L242" s="199" t="e">
        <f t="shared" ca="1" si="82"/>
        <v>#VALUE!</v>
      </c>
      <c r="M242" s="199" t="e">
        <f t="shared" ca="1" si="82"/>
        <v>#VALUE!</v>
      </c>
      <c r="N242" s="199" t="e">
        <f t="shared" ca="1" si="82"/>
        <v>#VALUE!</v>
      </c>
      <c r="O242" s="199" t="e">
        <f t="shared" ca="1" si="82"/>
        <v>#VALUE!</v>
      </c>
      <c r="P242" s="199" t="e">
        <f t="shared" ca="1" si="82"/>
        <v>#VALUE!</v>
      </c>
      <c r="Q242" s="199" t="e">
        <f t="shared" ca="1" si="82"/>
        <v>#VALUE!</v>
      </c>
      <c r="R242" s="199" t="e">
        <f t="shared" ca="1" si="82"/>
        <v>#VALUE!</v>
      </c>
      <c r="S242" s="199" t="e">
        <f t="shared" ca="1" si="82"/>
        <v>#VALUE!</v>
      </c>
      <c r="T242" s="199" t="e">
        <f t="shared" ca="1" si="82"/>
        <v>#VALUE!</v>
      </c>
      <c r="U242" s="199" t="e">
        <f t="shared" ca="1" si="82"/>
        <v>#VALUE!</v>
      </c>
      <c r="V242" s="199" t="e">
        <f t="shared" ca="1" si="82"/>
        <v>#VALUE!</v>
      </c>
      <c r="W242" s="199" t="e">
        <f t="shared" ca="1" si="82"/>
        <v>#VALUE!</v>
      </c>
      <c r="X242" s="199" t="e">
        <f t="shared" ca="1" si="82"/>
        <v>#VALUE!</v>
      </c>
      <c r="Y242" s="199" t="e">
        <f t="shared" ca="1" si="82"/>
        <v>#VALUE!</v>
      </c>
      <c r="Z242" s="199" t="e">
        <f t="shared" ca="1" si="82"/>
        <v>#VALUE!</v>
      </c>
      <c r="AA242" s="199" t="e">
        <f t="shared" ca="1" si="83"/>
        <v>#VALUE!</v>
      </c>
      <c r="AB242" s="199" t="e">
        <f t="shared" ca="1" si="83"/>
        <v>#VALUE!</v>
      </c>
      <c r="AC242" s="199" t="e">
        <f t="shared" ca="1" si="83"/>
        <v>#VALUE!</v>
      </c>
      <c r="AD242" s="199" t="e">
        <f t="shared" ca="1" si="83"/>
        <v>#VALUE!</v>
      </c>
      <c r="AE242" s="199" t="e">
        <f t="shared" ca="1" si="83"/>
        <v>#VALUE!</v>
      </c>
      <c r="AF242" s="199" t="e">
        <f t="shared" ca="1" si="83"/>
        <v>#VALUE!</v>
      </c>
      <c r="AG242" s="199" t="e">
        <f t="shared" ca="1" si="83"/>
        <v>#VALUE!</v>
      </c>
      <c r="AH242" s="199" t="e">
        <f t="shared" ca="1" si="83"/>
        <v>#VALUE!</v>
      </c>
      <c r="AI242" s="199" t="e">
        <f t="shared" ca="1" si="83"/>
        <v>#VALUE!</v>
      </c>
      <c r="AJ242" s="199" t="e">
        <f t="shared" ca="1" si="83"/>
        <v>#VALUE!</v>
      </c>
      <c r="AK242" s="199" t="e">
        <f t="shared" ca="1" si="83"/>
        <v>#VALUE!</v>
      </c>
      <c r="AL242" s="199" t="e">
        <f t="shared" ca="1" si="83"/>
        <v>#VALUE!</v>
      </c>
      <c r="AM242" s="199" t="e">
        <f t="shared" ca="1" si="83"/>
        <v>#VALUE!</v>
      </c>
      <c r="AN242" s="199" t="e">
        <f t="shared" ca="1" si="83"/>
        <v>#VALUE!</v>
      </c>
      <c r="AO242" s="199" t="e">
        <f t="shared" ca="1" si="83"/>
        <v>#VALUE!</v>
      </c>
      <c r="AP242" s="199" t="e">
        <f t="shared" ca="1" si="83"/>
        <v>#VALUE!</v>
      </c>
    </row>
    <row r="243" spans="1:42">
      <c r="A243" s="61" t="str">
        <f>'[4]TS BYDem'!A182</f>
        <v/>
      </c>
      <c r="B243" s="199" t="s">
        <v>288</v>
      </c>
      <c r="C243" s="199" t="s">
        <v>137</v>
      </c>
      <c r="D243" s="199" t="str">
        <f>'[4]TS BYDem'!D182</f>
        <v>IOTS</v>
      </c>
      <c r="E243" s="199" t="s">
        <v>137</v>
      </c>
      <c r="F243" s="199" t="s">
        <v>137</v>
      </c>
      <c r="G243" s="199" t="s">
        <v>137</v>
      </c>
      <c r="H243" s="199" t="s">
        <v>137</v>
      </c>
      <c r="I243" s="199">
        <v>0</v>
      </c>
      <c r="J243" s="199">
        <f>INDEX('[4]TS BYDem'!$J$10:$J$203,MATCH(D243,'[4]TS BYDem'!$D$10:$D$203,0))</f>
        <v>73.690487252999532</v>
      </c>
      <c r="K243" s="199">
        <f t="shared" ca="1" si="82"/>
        <v>75.799505869072647</v>
      </c>
      <c r="L243" s="199">
        <f t="shared" ca="1" si="82"/>
        <v>77.248282752220788</v>
      </c>
      <c r="M243" s="206">
        <f t="shared" ref="M243" si="86">O243</f>
        <v>61.561340800000004</v>
      </c>
      <c r="N243" s="206">
        <f t="shared" ref="N243" si="87">O243</f>
        <v>61.561340800000004</v>
      </c>
      <c r="O243" s="206">
        <f>INDEX('[4]TS BYDem'!$O$10:$O$203,MATCH(D243,'[4]TS BYDem'!$D$10:$D$203,0))</f>
        <v>61.561340800000004</v>
      </c>
      <c r="P243" s="199">
        <f t="shared" ca="1" si="82"/>
        <v>62.491350488419251</v>
      </c>
      <c r="Q243" s="199">
        <f t="shared" ca="1" si="82"/>
        <v>62.963583387202064</v>
      </c>
      <c r="R243" s="199">
        <f t="shared" ca="1" si="82"/>
        <v>57.325700820100977</v>
      </c>
      <c r="S243" s="199">
        <f t="shared" ca="1" si="82"/>
        <v>59.903706951211305</v>
      </c>
      <c r="T243" s="199">
        <f t="shared" ca="1" si="82"/>
        <v>62.195000250917765</v>
      </c>
      <c r="U243" s="199">
        <f t="shared" ca="1" si="82"/>
        <v>64.626035939039568</v>
      </c>
      <c r="V243" s="199">
        <f t="shared" ca="1" si="82"/>
        <v>67.394380840577682</v>
      </c>
      <c r="W243" s="199">
        <f t="shared" ca="1" si="82"/>
        <v>70.381976730836371</v>
      </c>
      <c r="X243" s="199">
        <f t="shared" ca="1" si="82"/>
        <v>73.692425725364956</v>
      </c>
      <c r="Y243" s="199">
        <f t="shared" ca="1" si="82"/>
        <v>77.229353763187348</v>
      </c>
      <c r="Z243" s="199">
        <f t="shared" ca="1" si="82"/>
        <v>81.048175929364803</v>
      </c>
      <c r="AA243" s="199">
        <f t="shared" ca="1" si="83"/>
        <v>85.370552564142315</v>
      </c>
      <c r="AB243" s="199">
        <f t="shared" ca="1" si="83"/>
        <v>89.902542781542806</v>
      </c>
      <c r="AC243" s="199">
        <f t="shared" ca="1" si="83"/>
        <v>94.559819278212231</v>
      </c>
      <c r="AD243" s="199">
        <f t="shared" ca="1" si="83"/>
        <v>99.484533794090268</v>
      </c>
      <c r="AE243" s="199">
        <f t="shared" ca="1" si="83"/>
        <v>104.63813670478653</v>
      </c>
      <c r="AF243" s="199">
        <f t="shared" ca="1" si="83"/>
        <v>110.13627688347229</v>
      </c>
      <c r="AG243" s="199">
        <f t="shared" ca="1" si="83"/>
        <v>115.60550484386523</v>
      </c>
      <c r="AH243" s="199">
        <f t="shared" ca="1" si="83"/>
        <v>121.32530536279599</v>
      </c>
      <c r="AI243" s="199">
        <f t="shared" ca="1" si="83"/>
        <v>127.75345522990099</v>
      </c>
      <c r="AJ243" s="199">
        <f t="shared" ca="1" si="83"/>
        <v>134.51168625584907</v>
      </c>
      <c r="AK243" s="199">
        <f t="shared" ca="1" si="83"/>
        <v>141.61927325283551</v>
      </c>
      <c r="AL243" s="199">
        <f t="shared" ca="1" si="83"/>
        <v>148.99188891750617</v>
      </c>
      <c r="AM243" s="199">
        <f t="shared" ca="1" si="83"/>
        <v>192.6686133518688</v>
      </c>
      <c r="AN243" s="199">
        <f t="shared" ca="1" si="83"/>
        <v>247.7006115207389</v>
      </c>
      <c r="AO243" s="199">
        <f t="shared" ca="1" si="83"/>
        <v>344.51678850155577</v>
      </c>
      <c r="AP243" s="199">
        <f t="shared" ca="1" si="83"/>
        <v>443.22551110478912</v>
      </c>
    </row>
    <row r="244" spans="1:42">
      <c r="A244" s="61" t="str">
        <f>'[4]TS BYDem'!A183</f>
        <v>*</v>
      </c>
      <c r="B244" s="199" t="s">
        <v>288</v>
      </c>
      <c r="C244" s="199" t="s">
        <v>137</v>
      </c>
      <c r="D244" s="199" t="str">
        <f>'[4]TS BYDem'!D183</f>
        <v>IOTS</v>
      </c>
      <c r="E244" s="199" t="s">
        <v>137</v>
      </c>
      <c r="F244" s="199" t="s">
        <v>137</v>
      </c>
      <c r="G244" s="199" t="s">
        <v>137</v>
      </c>
      <c r="H244" s="199" t="s">
        <v>137</v>
      </c>
      <c r="I244" s="199">
        <v>0</v>
      </c>
      <c r="J244" s="199">
        <f>INDEX('[4]TS BYDem'!$J$10:$J$203,MATCH(D244,'[4]TS BYDem'!$D$10:$D$203,0))</f>
        <v>73.690487252999532</v>
      </c>
      <c r="K244" s="199">
        <f t="shared" ca="1" si="82"/>
        <v>75.799505869072647</v>
      </c>
      <c r="L244" s="199">
        <f t="shared" ca="1" si="82"/>
        <v>77.248282752220788</v>
      </c>
      <c r="M244" s="199">
        <f t="shared" ca="1" si="82"/>
        <v>78.42795636981657</v>
      </c>
      <c r="N244" s="199">
        <f t="shared" ca="1" si="82"/>
        <v>79.36981779924983</v>
      </c>
      <c r="O244" s="199">
        <f t="shared" ca="1" si="82"/>
        <v>79.951831838700272</v>
      </c>
      <c r="P244" s="199">
        <f t="shared" ca="1" si="82"/>
        <v>81.159667425946893</v>
      </c>
      <c r="Q244" s="199">
        <f t="shared" ca="1" si="82"/>
        <v>81.77297254278713</v>
      </c>
      <c r="R244" s="199">
        <f t="shared" ca="1" si="82"/>
        <v>74.45086043357189</v>
      </c>
      <c r="S244" s="199">
        <f t="shared" ca="1" si="82"/>
        <v>77.799005714281421</v>
      </c>
      <c r="T244" s="199">
        <f t="shared" ca="1" si="82"/>
        <v>80.774787174052221</v>
      </c>
      <c r="U244" s="199">
        <f t="shared" ca="1" si="82"/>
        <v>83.932056882683938</v>
      </c>
      <c r="V244" s="199">
        <f t="shared" ca="1" si="82"/>
        <v>87.527401674772975</v>
      </c>
      <c r="W244" s="199">
        <f t="shared" ca="1" si="82"/>
        <v>91.407495271109255</v>
      </c>
      <c r="X244" s="199">
        <f t="shared" ca="1" si="82"/>
        <v>95.706889304468973</v>
      </c>
      <c r="Y244" s="199">
        <f t="shared" ca="1" si="82"/>
        <v>100.30041946529289</v>
      </c>
      <c r="Z244" s="199">
        <f t="shared" ca="1" si="82"/>
        <v>105.26005523157757</v>
      </c>
      <c r="AA244" s="199">
        <f t="shared" ca="1" si="83"/>
        <v>110.87367451530926</v>
      </c>
      <c r="AB244" s="199">
        <f t="shared" ca="1" si="83"/>
        <v>116.75952617233229</v>
      </c>
      <c r="AC244" s="199">
        <f t="shared" ca="1" si="83"/>
        <v>122.80809143178234</v>
      </c>
      <c r="AD244" s="199">
        <f t="shared" ca="1" si="83"/>
        <v>129.20398765025925</v>
      </c>
      <c r="AE244" s="199">
        <f t="shared" ca="1" si="83"/>
        <v>135.89714910393934</v>
      </c>
      <c r="AF244" s="199">
        <f t="shared" ca="1" si="83"/>
        <v>143.03777296429368</v>
      </c>
      <c r="AG244" s="199">
        <f t="shared" ca="1" si="83"/>
        <v>150.14084753178028</v>
      </c>
      <c r="AH244" s="199">
        <f t="shared" ca="1" si="83"/>
        <v>157.56934930412086</v>
      </c>
      <c r="AI244" s="199">
        <f t="shared" ca="1" si="83"/>
        <v>165.91780875172182</v>
      </c>
      <c r="AJ244" s="199">
        <f t="shared" ca="1" si="83"/>
        <v>174.69495595956315</v>
      </c>
      <c r="AK244" s="199">
        <f t="shared" ca="1" si="83"/>
        <v>183.92582378955674</v>
      </c>
      <c r="AL244" s="199">
        <f t="shared" ca="1" si="83"/>
        <v>193.50089347083824</v>
      </c>
      <c r="AM244" s="199">
        <f t="shared" ca="1" si="83"/>
        <v>250.22535856308349</v>
      </c>
      <c r="AN244" s="199">
        <f t="shared" ca="1" si="83"/>
        <v>321.69730842914561</v>
      </c>
      <c r="AO244" s="199">
        <f t="shared" ca="1" si="83"/>
        <v>447.43580925848613</v>
      </c>
      <c r="AP244" s="199">
        <f t="shared" ca="1" si="83"/>
        <v>575.63222421679427</v>
      </c>
    </row>
    <row r="245" spans="1:42">
      <c r="A245" s="61" t="str">
        <f>'[4]TS BYDem'!A184</f>
        <v>*</v>
      </c>
      <c r="B245" s="199" t="s">
        <v>288</v>
      </c>
      <c r="C245" s="199" t="s">
        <v>137</v>
      </c>
      <c r="D245" s="199" t="str">
        <f>'[4]TS BYDem'!D184</f>
        <v>IOTS</v>
      </c>
      <c r="E245" s="199" t="s">
        <v>137</v>
      </c>
      <c r="F245" s="199" t="s">
        <v>137</v>
      </c>
      <c r="G245" s="199" t="s">
        <v>137</v>
      </c>
      <c r="H245" s="199" t="s">
        <v>137</v>
      </c>
      <c r="I245" s="199">
        <v>0</v>
      </c>
      <c r="J245" s="199">
        <f>INDEX('[4]TS BYDem'!$J$10:$J$203,MATCH(D245,'[4]TS BYDem'!$D$10:$D$203,0))</f>
        <v>73.690487252999532</v>
      </c>
      <c r="K245" s="199">
        <f t="shared" ca="1" si="82"/>
        <v>75.799505869072647</v>
      </c>
      <c r="L245" s="199">
        <f t="shared" ca="1" si="82"/>
        <v>77.248282752220788</v>
      </c>
      <c r="M245" s="199">
        <f t="shared" ca="1" si="82"/>
        <v>78.42795636981657</v>
      </c>
      <c r="N245" s="199">
        <f t="shared" ca="1" si="82"/>
        <v>79.36981779924983</v>
      </c>
      <c r="O245" s="199">
        <f t="shared" ca="1" si="82"/>
        <v>79.951831838700272</v>
      </c>
      <c r="P245" s="199">
        <f t="shared" ca="1" si="82"/>
        <v>81.159667425946893</v>
      </c>
      <c r="Q245" s="199">
        <f t="shared" ca="1" si="82"/>
        <v>81.77297254278713</v>
      </c>
      <c r="R245" s="199">
        <f t="shared" ca="1" si="82"/>
        <v>74.45086043357189</v>
      </c>
      <c r="S245" s="199">
        <f t="shared" ca="1" si="82"/>
        <v>77.799005714281421</v>
      </c>
      <c r="T245" s="199">
        <f t="shared" ca="1" si="82"/>
        <v>80.774787174052221</v>
      </c>
      <c r="U245" s="199">
        <f t="shared" ca="1" si="82"/>
        <v>83.932056882683938</v>
      </c>
      <c r="V245" s="199">
        <f t="shared" ca="1" si="82"/>
        <v>87.527401674772975</v>
      </c>
      <c r="W245" s="199">
        <f t="shared" ca="1" si="82"/>
        <v>91.407495271109255</v>
      </c>
      <c r="X245" s="199">
        <f t="shared" ca="1" si="82"/>
        <v>95.706889304468973</v>
      </c>
      <c r="Y245" s="199">
        <f t="shared" ca="1" si="82"/>
        <v>100.30041946529289</v>
      </c>
      <c r="Z245" s="199">
        <f t="shared" ca="1" si="82"/>
        <v>105.26005523157757</v>
      </c>
      <c r="AA245" s="199">
        <f t="shared" ca="1" si="83"/>
        <v>110.87367451530926</v>
      </c>
      <c r="AB245" s="199">
        <f t="shared" ca="1" si="83"/>
        <v>116.75952617233229</v>
      </c>
      <c r="AC245" s="199">
        <f t="shared" ca="1" si="83"/>
        <v>122.80809143178234</v>
      </c>
      <c r="AD245" s="199">
        <f t="shared" ca="1" si="83"/>
        <v>129.20398765025925</v>
      </c>
      <c r="AE245" s="199">
        <f t="shared" ca="1" si="83"/>
        <v>135.89714910393934</v>
      </c>
      <c r="AF245" s="199">
        <f t="shared" ca="1" si="83"/>
        <v>143.03777296429368</v>
      </c>
      <c r="AG245" s="199">
        <f t="shared" ca="1" si="83"/>
        <v>150.14084753178028</v>
      </c>
      <c r="AH245" s="199">
        <f t="shared" ca="1" si="83"/>
        <v>157.56934930412086</v>
      </c>
      <c r="AI245" s="199">
        <f t="shared" ca="1" si="83"/>
        <v>165.91780875172182</v>
      </c>
      <c r="AJ245" s="199">
        <f t="shared" ca="1" si="83"/>
        <v>174.69495595956315</v>
      </c>
      <c r="AK245" s="199">
        <f t="shared" ca="1" si="83"/>
        <v>183.92582378955674</v>
      </c>
      <c r="AL245" s="199">
        <f t="shared" ca="1" si="83"/>
        <v>193.50089347083824</v>
      </c>
      <c r="AM245" s="199">
        <f t="shared" ca="1" si="83"/>
        <v>250.22535856308349</v>
      </c>
      <c r="AN245" s="199">
        <f t="shared" ca="1" si="83"/>
        <v>321.69730842914561</v>
      </c>
      <c r="AO245" s="199">
        <f t="shared" ca="1" si="83"/>
        <v>447.43580925848613</v>
      </c>
      <c r="AP245" s="199">
        <f t="shared" ca="1" si="83"/>
        <v>575.63222421679427</v>
      </c>
    </row>
    <row r="246" spans="1:42">
      <c r="A246" s="61" t="str">
        <f>'[4]TS BYDem'!A185</f>
        <v>*</v>
      </c>
      <c r="B246" s="199" t="s">
        <v>288</v>
      </c>
      <c r="C246" s="199" t="s">
        <v>137</v>
      </c>
      <c r="D246" s="199" t="str">
        <f>'[4]TS BYDem'!D185</f>
        <v>IOTS</v>
      </c>
      <c r="E246" s="199" t="s">
        <v>137</v>
      </c>
      <c r="F246" s="199" t="s">
        <v>137</v>
      </c>
      <c r="G246" s="199" t="s">
        <v>137</v>
      </c>
      <c r="H246" s="199" t="s">
        <v>137</v>
      </c>
      <c r="I246" s="199">
        <v>0</v>
      </c>
      <c r="J246" s="199">
        <f>INDEX('[4]TS BYDem'!$J$10:$J$203,MATCH(D246,'[4]TS BYDem'!$D$10:$D$203,0))</f>
        <v>73.690487252999532</v>
      </c>
      <c r="K246" s="199">
        <f t="shared" ca="1" si="82"/>
        <v>75.799505869072647</v>
      </c>
      <c r="L246" s="199">
        <f t="shared" ca="1" si="82"/>
        <v>77.248282752220788</v>
      </c>
      <c r="M246" s="199">
        <f t="shared" ca="1" si="82"/>
        <v>78.42795636981657</v>
      </c>
      <c r="N246" s="199">
        <f t="shared" ca="1" si="82"/>
        <v>79.36981779924983</v>
      </c>
      <c r="O246" s="199">
        <f t="shared" ca="1" si="82"/>
        <v>79.951831838700272</v>
      </c>
      <c r="P246" s="199">
        <f t="shared" ca="1" si="82"/>
        <v>81.159667425946893</v>
      </c>
      <c r="Q246" s="199">
        <f t="shared" ca="1" si="82"/>
        <v>81.77297254278713</v>
      </c>
      <c r="R246" s="199">
        <f t="shared" ca="1" si="82"/>
        <v>74.45086043357189</v>
      </c>
      <c r="S246" s="199">
        <f t="shared" ca="1" si="82"/>
        <v>77.799005714281421</v>
      </c>
      <c r="T246" s="199">
        <f t="shared" ca="1" si="82"/>
        <v>80.774787174052221</v>
      </c>
      <c r="U246" s="199">
        <f t="shared" ca="1" si="82"/>
        <v>83.932056882683938</v>
      </c>
      <c r="V246" s="199">
        <f t="shared" ca="1" si="82"/>
        <v>87.527401674772975</v>
      </c>
      <c r="W246" s="199">
        <f t="shared" ca="1" si="82"/>
        <v>91.407495271109255</v>
      </c>
      <c r="X246" s="199">
        <f t="shared" ca="1" si="82"/>
        <v>95.706889304468973</v>
      </c>
      <c r="Y246" s="199">
        <f t="shared" ca="1" si="82"/>
        <v>100.30041946529289</v>
      </c>
      <c r="Z246" s="199">
        <f t="shared" ca="1" si="82"/>
        <v>105.26005523157757</v>
      </c>
      <c r="AA246" s="199">
        <f t="shared" ca="1" si="83"/>
        <v>110.87367451530926</v>
      </c>
      <c r="AB246" s="199">
        <f t="shared" ca="1" si="83"/>
        <v>116.75952617233229</v>
      </c>
      <c r="AC246" s="199">
        <f t="shared" ca="1" si="83"/>
        <v>122.80809143178234</v>
      </c>
      <c r="AD246" s="199">
        <f t="shared" ca="1" si="83"/>
        <v>129.20398765025925</v>
      </c>
      <c r="AE246" s="199">
        <f t="shared" ca="1" si="83"/>
        <v>135.89714910393934</v>
      </c>
      <c r="AF246" s="199">
        <f t="shared" ca="1" si="83"/>
        <v>143.03777296429368</v>
      </c>
      <c r="AG246" s="199">
        <f t="shared" ca="1" si="83"/>
        <v>150.14084753178028</v>
      </c>
      <c r="AH246" s="199">
        <f t="shared" ca="1" si="83"/>
        <v>157.56934930412086</v>
      </c>
      <c r="AI246" s="199">
        <f t="shared" ca="1" si="83"/>
        <v>165.91780875172182</v>
      </c>
      <c r="AJ246" s="199">
        <f t="shared" ca="1" si="83"/>
        <v>174.69495595956315</v>
      </c>
      <c r="AK246" s="199">
        <f t="shared" ca="1" si="83"/>
        <v>183.92582378955674</v>
      </c>
      <c r="AL246" s="199">
        <f t="shared" ca="1" si="83"/>
        <v>193.50089347083824</v>
      </c>
      <c r="AM246" s="199">
        <f t="shared" ca="1" si="83"/>
        <v>250.22535856308349</v>
      </c>
      <c r="AN246" s="199">
        <f t="shared" ca="1" si="83"/>
        <v>321.69730842914561</v>
      </c>
      <c r="AO246" s="199">
        <f t="shared" ca="1" si="83"/>
        <v>447.43580925848613</v>
      </c>
      <c r="AP246" s="199">
        <f t="shared" ref="L246:AP253" ca="1" si="88">AP$230/AO$230*AO246</f>
        <v>575.63222421679427</v>
      </c>
    </row>
    <row r="247" spans="1:42">
      <c r="A247" s="61" t="str">
        <f>'[4]TS BYDem'!A186</f>
        <v>*</v>
      </c>
      <c r="B247" s="199" t="s">
        <v>288</v>
      </c>
      <c r="C247" s="199" t="s">
        <v>137</v>
      </c>
      <c r="D247" s="199" t="str">
        <f>'[4]TS BYDem'!D186</f>
        <v>IOTS</v>
      </c>
      <c r="E247" s="199" t="s">
        <v>137</v>
      </c>
      <c r="F247" s="199" t="s">
        <v>137</v>
      </c>
      <c r="G247" s="199" t="s">
        <v>137</v>
      </c>
      <c r="H247" s="199" t="s">
        <v>137</v>
      </c>
      <c r="I247" s="199">
        <v>0</v>
      </c>
      <c r="J247" s="199">
        <f>INDEX('[4]TS BYDem'!$J$10:$J$203,MATCH(D247,'[4]TS BYDem'!$D$10:$D$203,0))</f>
        <v>73.690487252999532</v>
      </c>
      <c r="K247" s="199">
        <f t="shared" ca="1" si="82"/>
        <v>75.799505869072647</v>
      </c>
      <c r="L247" s="199">
        <f t="shared" ca="1" si="88"/>
        <v>77.248282752220788</v>
      </c>
      <c r="M247" s="199">
        <f t="shared" ca="1" si="88"/>
        <v>78.42795636981657</v>
      </c>
      <c r="N247" s="199">
        <f t="shared" ca="1" si="88"/>
        <v>79.36981779924983</v>
      </c>
      <c r="O247" s="199">
        <f t="shared" ca="1" si="88"/>
        <v>79.951831838700272</v>
      </c>
      <c r="P247" s="199">
        <f t="shared" ca="1" si="88"/>
        <v>81.159667425946893</v>
      </c>
      <c r="Q247" s="199">
        <f t="shared" ca="1" si="88"/>
        <v>81.77297254278713</v>
      </c>
      <c r="R247" s="199">
        <f t="shared" ca="1" si="88"/>
        <v>74.45086043357189</v>
      </c>
      <c r="S247" s="199">
        <f t="shared" ca="1" si="88"/>
        <v>77.799005714281421</v>
      </c>
      <c r="T247" s="199">
        <f t="shared" ca="1" si="88"/>
        <v>80.774787174052221</v>
      </c>
      <c r="U247" s="199">
        <f t="shared" ca="1" si="88"/>
        <v>83.932056882683938</v>
      </c>
      <c r="V247" s="199">
        <f t="shared" ca="1" si="88"/>
        <v>87.527401674772975</v>
      </c>
      <c r="W247" s="199">
        <f t="shared" ca="1" si="88"/>
        <v>91.407495271109255</v>
      </c>
      <c r="X247" s="199">
        <f t="shared" ca="1" si="88"/>
        <v>95.706889304468973</v>
      </c>
      <c r="Y247" s="199">
        <f t="shared" ca="1" si="88"/>
        <v>100.30041946529289</v>
      </c>
      <c r="Z247" s="199">
        <f t="shared" ca="1" si="88"/>
        <v>105.26005523157757</v>
      </c>
      <c r="AA247" s="199">
        <f t="shared" ca="1" si="88"/>
        <v>110.87367451530926</v>
      </c>
      <c r="AB247" s="199">
        <f t="shared" ca="1" si="88"/>
        <v>116.75952617233229</v>
      </c>
      <c r="AC247" s="199">
        <f t="shared" ca="1" si="88"/>
        <v>122.80809143178234</v>
      </c>
      <c r="AD247" s="199">
        <f t="shared" ca="1" si="88"/>
        <v>129.20398765025925</v>
      </c>
      <c r="AE247" s="199">
        <f t="shared" ca="1" si="88"/>
        <v>135.89714910393934</v>
      </c>
      <c r="AF247" s="199">
        <f t="shared" ca="1" si="88"/>
        <v>143.03777296429368</v>
      </c>
      <c r="AG247" s="199">
        <f t="shared" ca="1" si="88"/>
        <v>150.14084753178028</v>
      </c>
      <c r="AH247" s="199">
        <f t="shared" ca="1" si="88"/>
        <v>157.56934930412086</v>
      </c>
      <c r="AI247" s="199">
        <f t="shared" ca="1" si="88"/>
        <v>165.91780875172182</v>
      </c>
      <c r="AJ247" s="199">
        <f t="shared" ca="1" si="88"/>
        <v>174.69495595956315</v>
      </c>
      <c r="AK247" s="199">
        <f t="shared" ca="1" si="88"/>
        <v>183.92582378955674</v>
      </c>
      <c r="AL247" s="199">
        <f t="shared" ca="1" si="88"/>
        <v>193.50089347083824</v>
      </c>
      <c r="AM247" s="199">
        <f t="shared" ca="1" si="88"/>
        <v>250.22535856308349</v>
      </c>
      <c r="AN247" s="199">
        <f t="shared" ca="1" si="88"/>
        <v>321.69730842914561</v>
      </c>
      <c r="AO247" s="199">
        <f t="shared" ca="1" si="88"/>
        <v>447.43580925848613</v>
      </c>
      <c r="AP247" s="199">
        <f t="shared" ca="1" si="88"/>
        <v>575.63222421679427</v>
      </c>
    </row>
    <row r="248" spans="1:42">
      <c r="A248" s="61" t="str">
        <f>'[4]TS BYDem'!A187</f>
        <v>*</v>
      </c>
      <c r="B248" s="199" t="s">
        <v>288</v>
      </c>
      <c r="C248" s="199" t="s">
        <v>137</v>
      </c>
      <c r="D248" s="199" t="str">
        <f>'[4]TS BYDem'!D187</f>
        <v>IOTS</v>
      </c>
      <c r="E248" s="199" t="s">
        <v>137</v>
      </c>
      <c r="F248" s="199" t="s">
        <v>137</v>
      </c>
      <c r="G248" s="199" t="s">
        <v>137</v>
      </c>
      <c r="H248" s="199" t="s">
        <v>137</v>
      </c>
      <c r="I248" s="199">
        <v>0</v>
      </c>
      <c r="J248" s="199">
        <f>INDEX('[4]TS BYDem'!$J$10:$J$203,MATCH(D248,'[4]TS BYDem'!$D$10:$D$203,0))</f>
        <v>73.690487252999532</v>
      </c>
      <c r="K248" s="199">
        <f t="shared" ca="1" si="82"/>
        <v>75.799505869072647</v>
      </c>
      <c r="L248" s="199">
        <f t="shared" ca="1" si="88"/>
        <v>77.248282752220788</v>
      </c>
      <c r="M248" s="199">
        <f t="shared" ca="1" si="88"/>
        <v>78.42795636981657</v>
      </c>
      <c r="N248" s="199">
        <f t="shared" ca="1" si="88"/>
        <v>79.36981779924983</v>
      </c>
      <c r="O248" s="199">
        <f t="shared" ca="1" si="88"/>
        <v>79.951831838700272</v>
      </c>
      <c r="P248" s="199">
        <f t="shared" ca="1" si="88"/>
        <v>81.159667425946893</v>
      </c>
      <c r="Q248" s="199">
        <f t="shared" ca="1" si="88"/>
        <v>81.77297254278713</v>
      </c>
      <c r="R248" s="199">
        <f t="shared" ca="1" si="88"/>
        <v>74.45086043357189</v>
      </c>
      <c r="S248" s="199">
        <f t="shared" ca="1" si="88"/>
        <v>77.799005714281421</v>
      </c>
      <c r="T248" s="199">
        <f t="shared" ca="1" si="88"/>
        <v>80.774787174052221</v>
      </c>
      <c r="U248" s="199">
        <f t="shared" ca="1" si="88"/>
        <v>83.932056882683938</v>
      </c>
      <c r="V248" s="199">
        <f t="shared" ca="1" si="88"/>
        <v>87.527401674772975</v>
      </c>
      <c r="W248" s="199">
        <f t="shared" ca="1" si="88"/>
        <v>91.407495271109255</v>
      </c>
      <c r="X248" s="199">
        <f t="shared" ca="1" si="88"/>
        <v>95.706889304468973</v>
      </c>
      <c r="Y248" s="199">
        <f t="shared" ca="1" si="88"/>
        <v>100.30041946529289</v>
      </c>
      <c r="Z248" s="199">
        <f t="shared" ca="1" si="88"/>
        <v>105.26005523157757</v>
      </c>
      <c r="AA248" s="199">
        <f t="shared" ca="1" si="88"/>
        <v>110.87367451530926</v>
      </c>
      <c r="AB248" s="199">
        <f t="shared" ca="1" si="88"/>
        <v>116.75952617233229</v>
      </c>
      <c r="AC248" s="199">
        <f t="shared" ca="1" si="88"/>
        <v>122.80809143178234</v>
      </c>
      <c r="AD248" s="199">
        <f t="shared" ca="1" si="88"/>
        <v>129.20398765025925</v>
      </c>
      <c r="AE248" s="199">
        <f t="shared" ca="1" si="88"/>
        <v>135.89714910393934</v>
      </c>
      <c r="AF248" s="199">
        <f t="shared" ca="1" si="88"/>
        <v>143.03777296429368</v>
      </c>
      <c r="AG248" s="199">
        <f t="shared" ca="1" si="88"/>
        <v>150.14084753178028</v>
      </c>
      <c r="AH248" s="199">
        <f t="shared" ca="1" si="88"/>
        <v>157.56934930412086</v>
      </c>
      <c r="AI248" s="199">
        <f t="shared" ca="1" si="88"/>
        <v>165.91780875172182</v>
      </c>
      <c r="AJ248" s="199">
        <f t="shared" ca="1" si="88"/>
        <v>174.69495595956315</v>
      </c>
      <c r="AK248" s="199">
        <f t="shared" ca="1" si="88"/>
        <v>183.92582378955674</v>
      </c>
      <c r="AL248" s="199">
        <f t="shared" ca="1" si="88"/>
        <v>193.50089347083824</v>
      </c>
      <c r="AM248" s="199">
        <f t="shared" ca="1" si="88"/>
        <v>250.22535856308349</v>
      </c>
      <c r="AN248" s="199">
        <f t="shared" ca="1" si="88"/>
        <v>321.69730842914561</v>
      </c>
      <c r="AO248" s="199">
        <f t="shared" ca="1" si="88"/>
        <v>447.43580925848613</v>
      </c>
      <c r="AP248" s="199">
        <f t="shared" ca="1" si="88"/>
        <v>575.63222421679427</v>
      </c>
    </row>
    <row r="249" spans="1:42">
      <c r="A249" s="61" t="str">
        <f>'[4]TS BYDem'!A184</f>
        <v>*</v>
      </c>
      <c r="B249" s="199" t="s">
        <v>288</v>
      </c>
      <c r="C249" s="199" t="s">
        <v>137</v>
      </c>
      <c r="D249" s="199" t="str">
        <f>'[4]TS BYDem'!D184</f>
        <v>IOTS</v>
      </c>
      <c r="E249" s="199" t="s">
        <v>137</v>
      </c>
      <c r="F249" s="199" t="s">
        <v>137</v>
      </c>
      <c r="G249" s="199" t="s">
        <v>137</v>
      </c>
      <c r="H249" s="199" t="s">
        <v>137</v>
      </c>
      <c r="I249" s="199">
        <v>0</v>
      </c>
      <c r="J249" s="199">
        <f>INDEX('[4]TS BYDem'!$J$10:$J$203,MATCH(D249,'[4]TS BYDem'!$D$10:$D$203,0))</f>
        <v>73.690487252999532</v>
      </c>
      <c r="K249" s="199">
        <f t="shared" ca="1" si="82"/>
        <v>75.799505869072647</v>
      </c>
      <c r="L249" s="199">
        <f t="shared" ca="1" si="88"/>
        <v>77.248282752220788</v>
      </c>
      <c r="M249" s="199">
        <f t="shared" ca="1" si="88"/>
        <v>78.42795636981657</v>
      </c>
      <c r="N249" s="199">
        <f t="shared" ca="1" si="88"/>
        <v>79.36981779924983</v>
      </c>
      <c r="O249" s="199">
        <f t="shared" ca="1" si="88"/>
        <v>79.951831838700272</v>
      </c>
      <c r="P249" s="199">
        <f t="shared" ca="1" si="88"/>
        <v>81.159667425946893</v>
      </c>
      <c r="Q249" s="199">
        <f t="shared" ca="1" si="88"/>
        <v>81.77297254278713</v>
      </c>
      <c r="R249" s="199">
        <f t="shared" ca="1" si="88"/>
        <v>74.45086043357189</v>
      </c>
      <c r="S249" s="199">
        <f t="shared" ca="1" si="88"/>
        <v>77.799005714281421</v>
      </c>
      <c r="T249" s="199">
        <f t="shared" ca="1" si="88"/>
        <v>80.774787174052221</v>
      </c>
      <c r="U249" s="199">
        <f t="shared" ca="1" si="88"/>
        <v>83.932056882683938</v>
      </c>
      <c r="V249" s="199">
        <f t="shared" ca="1" si="88"/>
        <v>87.527401674772975</v>
      </c>
      <c r="W249" s="199">
        <f t="shared" ca="1" si="88"/>
        <v>91.407495271109255</v>
      </c>
      <c r="X249" s="199">
        <f t="shared" ca="1" si="88"/>
        <v>95.706889304468973</v>
      </c>
      <c r="Y249" s="199">
        <f t="shared" ca="1" si="88"/>
        <v>100.30041946529289</v>
      </c>
      <c r="Z249" s="199">
        <f t="shared" ca="1" si="88"/>
        <v>105.26005523157757</v>
      </c>
      <c r="AA249" s="199">
        <f t="shared" ca="1" si="88"/>
        <v>110.87367451530926</v>
      </c>
      <c r="AB249" s="199">
        <f t="shared" ca="1" si="88"/>
        <v>116.75952617233229</v>
      </c>
      <c r="AC249" s="199">
        <f t="shared" ca="1" si="88"/>
        <v>122.80809143178234</v>
      </c>
      <c r="AD249" s="199">
        <f t="shared" ca="1" si="88"/>
        <v>129.20398765025925</v>
      </c>
      <c r="AE249" s="199">
        <f t="shared" ca="1" si="88"/>
        <v>135.89714910393934</v>
      </c>
      <c r="AF249" s="199">
        <f t="shared" ca="1" si="88"/>
        <v>143.03777296429368</v>
      </c>
      <c r="AG249" s="199">
        <f t="shared" ca="1" si="88"/>
        <v>150.14084753178028</v>
      </c>
      <c r="AH249" s="199">
        <f t="shared" ca="1" si="88"/>
        <v>157.56934930412086</v>
      </c>
      <c r="AI249" s="199">
        <f t="shared" ca="1" si="88"/>
        <v>165.91780875172182</v>
      </c>
      <c r="AJ249" s="199">
        <f t="shared" ca="1" si="88"/>
        <v>174.69495595956315</v>
      </c>
      <c r="AK249" s="199">
        <f t="shared" ca="1" si="88"/>
        <v>183.92582378955674</v>
      </c>
      <c r="AL249" s="199">
        <f t="shared" ca="1" si="88"/>
        <v>193.50089347083824</v>
      </c>
      <c r="AM249" s="199">
        <f t="shared" ca="1" si="88"/>
        <v>250.22535856308349</v>
      </c>
      <c r="AN249" s="199">
        <f t="shared" ca="1" si="88"/>
        <v>321.69730842914561</v>
      </c>
      <c r="AO249" s="199">
        <f t="shared" ca="1" si="88"/>
        <v>447.43580925848613</v>
      </c>
      <c r="AP249" s="199">
        <f t="shared" ca="1" si="88"/>
        <v>575.63222421679427</v>
      </c>
    </row>
    <row r="250" spans="1:42">
      <c r="A250" s="61" t="str">
        <f>'[4]TS BYDem'!A185</f>
        <v>*</v>
      </c>
      <c r="B250" s="199" t="s">
        <v>288</v>
      </c>
      <c r="C250" s="199" t="s">
        <v>137</v>
      </c>
      <c r="D250" s="199" t="str">
        <f>'[4]TS BYDem'!D185</f>
        <v>IOTS</v>
      </c>
      <c r="E250" s="199" t="s">
        <v>137</v>
      </c>
      <c r="F250" s="199" t="s">
        <v>137</v>
      </c>
      <c r="G250" s="199" t="s">
        <v>137</v>
      </c>
      <c r="H250" s="199" t="s">
        <v>137</v>
      </c>
      <c r="I250" s="199">
        <v>0</v>
      </c>
      <c r="J250" s="199">
        <f>INDEX('[4]TS BYDem'!$J$10:$J$203,MATCH(D250,'[4]TS BYDem'!$D$10:$D$203,0))</f>
        <v>73.690487252999532</v>
      </c>
      <c r="K250" s="199">
        <f t="shared" ca="1" si="82"/>
        <v>75.799505869072647</v>
      </c>
      <c r="L250" s="199">
        <f t="shared" ca="1" si="88"/>
        <v>77.248282752220788</v>
      </c>
      <c r="M250" s="199">
        <f t="shared" ca="1" si="88"/>
        <v>78.42795636981657</v>
      </c>
      <c r="N250" s="199">
        <f t="shared" ca="1" si="88"/>
        <v>79.36981779924983</v>
      </c>
      <c r="O250" s="199">
        <f t="shared" ca="1" si="88"/>
        <v>79.951831838700272</v>
      </c>
      <c r="P250" s="199">
        <f t="shared" ca="1" si="88"/>
        <v>81.159667425946893</v>
      </c>
      <c r="Q250" s="199">
        <f t="shared" ca="1" si="88"/>
        <v>81.77297254278713</v>
      </c>
      <c r="R250" s="199">
        <f t="shared" ca="1" si="88"/>
        <v>74.45086043357189</v>
      </c>
      <c r="S250" s="199">
        <f t="shared" ca="1" si="88"/>
        <v>77.799005714281421</v>
      </c>
      <c r="T250" s="199">
        <f t="shared" ca="1" si="88"/>
        <v>80.774787174052221</v>
      </c>
      <c r="U250" s="199">
        <f t="shared" ca="1" si="88"/>
        <v>83.932056882683938</v>
      </c>
      <c r="V250" s="199">
        <f t="shared" ca="1" si="88"/>
        <v>87.527401674772975</v>
      </c>
      <c r="W250" s="199">
        <f t="shared" ca="1" si="88"/>
        <v>91.407495271109255</v>
      </c>
      <c r="X250" s="199">
        <f t="shared" ca="1" si="88"/>
        <v>95.706889304468973</v>
      </c>
      <c r="Y250" s="199">
        <f t="shared" ca="1" si="88"/>
        <v>100.30041946529289</v>
      </c>
      <c r="Z250" s="199">
        <f t="shared" ca="1" si="88"/>
        <v>105.26005523157757</v>
      </c>
      <c r="AA250" s="199">
        <f t="shared" ca="1" si="88"/>
        <v>110.87367451530926</v>
      </c>
      <c r="AB250" s="199">
        <f t="shared" ca="1" si="88"/>
        <v>116.75952617233229</v>
      </c>
      <c r="AC250" s="199">
        <f t="shared" ca="1" si="88"/>
        <v>122.80809143178234</v>
      </c>
      <c r="AD250" s="199">
        <f t="shared" ca="1" si="88"/>
        <v>129.20398765025925</v>
      </c>
      <c r="AE250" s="199">
        <f t="shared" ca="1" si="88"/>
        <v>135.89714910393934</v>
      </c>
      <c r="AF250" s="199">
        <f t="shared" ca="1" si="88"/>
        <v>143.03777296429368</v>
      </c>
      <c r="AG250" s="199">
        <f t="shared" ca="1" si="88"/>
        <v>150.14084753178028</v>
      </c>
      <c r="AH250" s="199">
        <f t="shared" ca="1" si="88"/>
        <v>157.56934930412086</v>
      </c>
      <c r="AI250" s="199">
        <f t="shared" ca="1" si="88"/>
        <v>165.91780875172182</v>
      </c>
      <c r="AJ250" s="199">
        <f t="shared" ca="1" si="88"/>
        <v>174.69495595956315</v>
      </c>
      <c r="AK250" s="199">
        <f t="shared" ca="1" si="88"/>
        <v>183.92582378955674</v>
      </c>
      <c r="AL250" s="199">
        <f t="shared" ca="1" si="88"/>
        <v>193.50089347083824</v>
      </c>
      <c r="AM250" s="199">
        <f t="shared" ca="1" si="88"/>
        <v>250.22535856308349</v>
      </c>
      <c r="AN250" s="199">
        <f t="shared" ca="1" si="88"/>
        <v>321.69730842914561</v>
      </c>
      <c r="AO250" s="199">
        <f t="shared" ca="1" si="88"/>
        <v>447.43580925848613</v>
      </c>
      <c r="AP250" s="199">
        <f t="shared" ca="1" si="88"/>
        <v>575.63222421679427</v>
      </c>
    </row>
    <row r="251" spans="1:42">
      <c r="A251" s="61" t="str">
        <f>'[4]TS BYDem'!A186</f>
        <v>*</v>
      </c>
      <c r="B251" s="199" t="s">
        <v>288</v>
      </c>
      <c r="C251" s="199" t="s">
        <v>137</v>
      </c>
      <c r="D251" s="199" t="str">
        <f>'[4]TS BYDem'!D186</f>
        <v>IOTS</v>
      </c>
      <c r="E251" s="199" t="s">
        <v>137</v>
      </c>
      <c r="F251" s="199" t="s">
        <v>137</v>
      </c>
      <c r="G251" s="199" t="s">
        <v>137</v>
      </c>
      <c r="H251" s="199" t="s">
        <v>137</v>
      </c>
      <c r="I251" s="199">
        <v>0</v>
      </c>
      <c r="J251" s="199">
        <f>INDEX('[4]TS BYDem'!$J$10:$J$203,MATCH(D251,'[4]TS BYDem'!$D$10:$D$203,0))</f>
        <v>73.690487252999532</v>
      </c>
      <c r="K251" s="199">
        <f t="shared" ca="1" si="82"/>
        <v>75.799505869072647</v>
      </c>
      <c r="L251" s="199">
        <f t="shared" ca="1" si="88"/>
        <v>77.248282752220788</v>
      </c>
      <c r="M251" s="199">
        <f t="shared" ca="1" si="88"/>
        <v>78.42795636981657</v>
      </c>
      <c r="N251" s="199">
        <f t="shared" ca="1" si="88"/>
        <v>79.36981779924983</v>
      </c>
      <c r="O251" s="199">
        <f t="shared" ca="1" si="88"/>
        <v>79.951831838700272</v>
      </c>
      <c r="P251" s="199">
        <f t="shared" ca="1" si="88"/>
        <v>81.159667425946893</v>
      </c>
      <c r="Q251" s="199">
        <f t="shared" ca="1" si="88"/>
        <v>81.77297254278713</v>
      </c>
      <c r="R251" s="199">
        <f t="shared" ca="1" si="88"/>
        <v>74.45086043357189</v>
      </c>
      <c r="S251" s="199">
        <f t="shared" ca="1" si="88"/>
        <v>77.799005714281421</v>
      </c>
      <c r="T251" s="199">
        <f t="shared" ca="1" si="88"/>
        <v>80.774787174052221</v>
      </c>
      <c r="U251" s="199">
        <f t="shared" ca="1" si="88"/>
        <v>83.932056882683938</v>
      </c>
      <c r="V251" s="199">
        <f t="shared" ca="1" si="88"/>
        <v>87.527401674772975</v>
      </c>
      <c r="W251" s="199">
        <f t="shared" ca="1" si="88"/>
        <v>91.407495271109255</v>
      </c>
      <c r="X251" s="199">
        <f t="shared" ca="1" si="88"/>
        <v>95.706889304468973</v>
      </c>
      <c r="Y251" s="199">
        <f t="shared" ca="1" si="88"/>
        <v>100.30041946529289</v>
      </c>
      <c r="Z251" s="199">
        <f t="shared" ca="1" si="88"/>
        <v>105.26005523157757</v>
      </c>
      <c r="AA251" s="199">
        <f t="shared" ca="1" si="88"/>
        <v>110.87367451530926</v>
      </c>
      <c r="AB251" s="199">
        <f t="shared" ca="1" si="88"/>
        <v>116.75952617233229</v>
      </c>
      <c r="AC251" s="199">
        <f t="shared" ca="1" si="88"/>
        <v>122.80809143178234</v>
      </c>
      <c r="AD251" s="199">
        <f t="shared" ca="1" si="88"/>
        <v>129.20398765025925</v>
      </c>
      <c r="AE251" s="199">
        <f t="shared" ca="1" si="88"/>
        <v>135.89714910393934</v>
      </c>
      <c r="AF251" s="199">
        <f t="shared" ca="1" si="88"/>
        <v>143.03777296429368</v>
      </c>
      <c r="AG251" s="199">
        <f t="shared" ca="1" si="88"/>
        <v>150.14084753178028</v>
      </c>
      <c r="AH251" s="199">
        <f t="shared" ca="1" si="88"/>
        <v>157.56934930412086</v>
      </c>
      <c r="AI251" s="199">
        <f t="shared" ca="1" si="88"/>
        <v>165.91780875172182</v>
      </c>
      <c r="AJ251" s="199">
        <f t="shared" ca="1" si="88"/>
        <v>174.69495595956315</v>
      </c>
      <c r="AK251" s="199">
        <f t="shared" ca="1" si="88"/>
        <v>183.92582378955674</v>
      </c>
      <c r="AL251" s="199">
        <f t="shared" ca="1" si="88"/>
        <v>193.50089347083824</v>
      </c>
      <c r="AM251" s="199">
        <f t="shared" ca="1" si="88"/>
        <v>250.22535856308349</v>
      </c>
      <c r="AN251" s="199">
        <f t="shared" ca="1" si="88"/>
        <v>321.69730842914561</v>
      </c>
      <c r="AO251" s="199">
        <f t="shared" ca="1" si="88"/>
        <v>447.43580925848613</v>
      </c>
      <c r="AP251" s="199">
        <f t="shared" ca="1" si="88"/>
        <v>575.63222421679427</v>
      </c>
    </row>
    <row r="252" spans="1:42">
      <c r="A252" s="61" t="str">
        <f>'[4]TS BYDem'!A187</f>
        <v>*</v>
      </c>
      <c r="B252" s="199" t="s">
        <v>288</v>
      </c>
      <c r="C252" s="199" t="s">
        <v>137</v>
      </c>
      <c r="D252" s="199" t="str">
        <f>'[4]TS BYDem'!D187</f>
        <v>IOTS</v>
      </c>
      <c r="E252" s="199" t="s">
        <v>137</v>
      </c>
      <c r="F252" s="199" t="s">
        <v>137</v>
      </c>
      <c r="G252" s="199" t="s">
        <v>137</v>
      </c>
      <c r="H252" s="199" t="s">
        <v>137</v>
      </c>
      <c r="I252" s="199">
        <v>0</v>
      </c>
      <c r="J252" s="199">
        <f>INDEX('[4]TS BYDem'!$J$10:$J$203,MATCH(D252,'[4]TS BYDem'!$D$10:$D$203,0))</f>
        <v>73.690487252999532</v>
      </c>
      <c r="K252" s="199">
        <f t="shared" ca="1" si="82"/>
        <v>75.799505869072647</v>
      </c>
      <c r="L252" s="199">
        <f t="shared" ca="1" si="88"/>
        <v>77.248282752220788</v>
      </c>
      <c r="M252" s="199">
        <f t="shared" ca="1" si="88"/>
        <v>78.42795636981657</v>
      </c>
      <c r="N252" s="199">
        <f t="shared" ca="1" si="88"/>
        <v>79.36981779924983</v>
      </c>
      <c r="O252" s="199">
        <f t="shared" ca="1" si="88"/>
        <v>79.951831838700272</v>
      </c>
      <c r="P252" s="199">
        <f t="shared" ca="1" si="88"/>
        <v>81.159667425946893</v>
      </c>
      <c r="Q252" s="199">
        <f t="shared" ca="1" si="88"/>
        <v>81.77297254278713</v>
      </c>
      <c r="R252" s="199">
        <f t="shared" ca="1" si="88"/>
        <v>74.45086043357189</v>
      </c>
      <c r="S252" s="199">
        <f t="shared" ca="1" si="88"/>
        <v>77.799005714281421</v>
      </c>
      <c r="T252" s="199">
        <f t="shared" ca="1" si="88"/>
        <v>80.774787174052221</v>
      </c>
      <c r="U252" s="199">
        <f t="shared" ca="1" si="88"/>
        <v>83.932056882683938</v>
      </c>
      <c r="V252" s="199">
        <f t="shared" ca="1" si="88"/>
        <v>87.527401674772975</v>
      </c>
      <c r="W252" s="199">
        <f t="shared" ca="1" si="88"/>
        <v>91.407495271109255</v>
      </c>
      <c r="X252" s="199">
        <f t="shared" ca="1" si="88"/>
        <v>95.706889304468973</v>
      </c>
      <c r="Y252" s="199">
        <f t="shared" ca="1" si="88"/>
        <v>100.30041946529289</v>
      </c>
      <c r="Z252" s="199">
        <f t="shared" ca="1" si="88"/>
        <v>105.26005523157757</v>
      </c>
      <c r="AA252" s="199">
        <f t="shared" ca="1" si="88"/>
        <v>110.87367451530926</v>
      </c>
      <c r="AB252" s="199">
        <f t="shared" ca="1" si="88"/>
        <v>116.75952617233229</v>
      </c>
      <c r="AC252" s="199">
        <f t="shared" ca="1" si="88"/>
        <v>122.80809143178234</v>
      </c>
      <c r="AD252" s="199">
        <f t="shared" ca="1" si="88"/>
        <v>129.20398765025925</v>
      </c>
      <c r="AE252" s="199">
        <f t="shared" ca="1" si="88"/>
        <v>135.89714910393934</v>
      </c>
      <c r="AF252" s="199">
        <f t="shared" ca="1" si="88"/>
        <v>143.03777296429368</v>
      </c>
      <c r="AG252" s="199">
        <f t="shared" ca="1" si="88"/>
        <v>150.14084753178028</v>
      </c>
      <c r="AH252" s="199">
        <f t="shared" ca="1" si="88"/>
        <v>157.56934930412086</v>
      </c>
      <c r="AI252" s="199">
        <f t="shared" ca="1" si="88"/>
        <v>165.91780875172182</v>
      </c>
      <c r="AJ252" s="199">
        <f t="shared" ca="1" si="88"/>
        <v>174.69495595956315</v>
      </c>
      <c r="AK252" s="199">
        <f t="shared" ca="1" si="88"/>
        <v>183.92582378955674</v>
      </c>
      <c r="AL252" s="199">
        <f t="shared" ca="1" si="88"/>
        <v>193.50089347083824</v>
      </c>
      <c r="AM252" s="199">
        <f t="shared" ca="1" si="88"/>
        <v>250.22535856308349</v>
      </c>
      <c r="AN252" s="199">
        <f t="shared" ca="1" si="88"/>
        <v>321.69730842914561</v>
      </c>
      <c r="AO252" s="199">
        <f t="shared" ca="1" si="88"/>
        <v>447.43580925848613</v>
      </c>
      <c r="AP252" s="199">
        <f t="shared" ca="1" si="88"/>
        <v>575.63222421679427</v>
      </c>
    </row>
    <row r="253" spans="1:42">
      <c r="A253" s="61" t="str">
        <f>'[4]TS BYDem'!A188</f>
        <v/>
      </c>
      <c r="B253" s="199" t="s">
        <v>288</v>
      </c>
      <c r="C253" s="199" t="s">
        <v>137</v>
      </c>
      <c r="D253" s="199" t="str">
        <f>'[4]TS BYDem'!D188</f>
        <v>IOTR</v>
      </c>
      <c r="E253" s="199" t="s">
        <v>137</v>
      </c>
      <c r="F253" s="199" t="s">
        <v>137</v>
      </c>
      <c r="G253" s="199" t="s">
        <v>137</v>
      </c>
      <c r="H253" s="199" t="s">
        <v>137</v>
      </c>
      <c r="I253" s="199">
        <v>0</v>
      </c>
      <c r="J253" s="199">
        <f>INDEX('[4]TS BYDem'!$J$10:$J$203,MATCH(D253,'[4]TS BYDem'!$D$10:$D$203,0))</f>
        <v>9.4685659246785185</v>
      </c>
      <c r="K253" s="199">
        <f t="shared" ca="1" si="82"/>
        <v>9.7395558793805712</v>
      </c>
      <c r="L253" s="199">
        <f t="shared" ca="1" si="88"/>
        <v>9.9257106998954825</v>
      </c>
      <c r="M253" s="206">
        <f t="shared" ref="M253" si="89">O253</f>
        <v>37.630000000000003</v>
      </c>
      <c r="N253" s="206">
        <f t="shared" ref="N253" si="90">O253</f>
        <v>37.630000000000003</v>
      </c>
      <c r="O253" s="206">
        <f>INDEX('[4]TS BYDem'!$O$10:$O$203,MATCH(D253,'[4]TS BYDem'!$D$10:$D$203,0))</f>
        <v>37.630000000000003</v>
      </c>
      <c r="P253" s="199">
        <f t="shared" ca="1" si="88"/>
        <v>38.19847794606865</v>
      </c>
      <c r="Q253" s="199">
        <f t="shared" ca="1" si="88"/>
        <v>38.487135141481737</v>
      </c>
      <c r="R253" s="199">
        <f t="shared" ca="1" si="88"/>
        <v>35.040921686039681</v>
      </c>
      <c r="S253" s="199">
        <f t="shared" ca="1" si="88"/>
        <v>36.616754334468311</v>
      </c>
      <c r="T253" s="199">
        <f t="shared" ca="1" si="88"/>
        <v>38.017330828538988</v>
      </c>
      <c r="U253" s="199">
        <f t="shared" ca="1" si="88"/>
        <v>39.503326288599261</v>
      </c>
      <c r="V253" s="199">
        <f t="shared" ca="1" si="88"/>
        <v>41.195505459668894</v>
      </c>
      <c r="W253" s="199">
        <f t="shared" ca="1" si="88"/>
        <v>43.021704042894598</v>
      </c>
      <c r="X253" s="199">
        <f t="shared" ca="1" si="88"/>
        <v>45.045249892372112</v>
      </c>
      <c r="Y253" s="199">
        <f t="shared" ca="1" si="88"/>
        <v>47.20723337638448</v>
      </c>
      <c r="Z253" s="199">
        <f t="shared" ca="1" si="88"/>
        <v>49.541527533168953</v>
      </c>
      <c r="AA253" s="199">
        <f t="shared" ca="1" si="88"/>
        <v>52.183624515674538</v>
      </c>
      <c r="AB253" s="199">
        <f t="shared" ca="1" si="88"/>
        <v>54.9538499471645</v>
      </c>
      <c r="AC253" s="199">
        <f t="shared" ca="1" si="88"/>
        <v>57.800657899886517</v>
      </c>
      <c r="AD253" s="199">
        <f t="shared" ca="1" si="88"/>
        <v>60.810940080623077</v>
      </c>
      <c r="AE253" s="199">
        <f t="shared" ca="1" si="88"/>
        <v>63.961132636687424</v>
      </c>
      <c r="AF253" s="199">
        <f t="shared" ca="1" si="88"/>
        <v>67.321927126139883</v>
      </c>
      <c r="AG253" s="199">
        <f t="shared" ca="1" si="88"/>
        <v>70.665048726077273</v>
      </c>
      <c r="AH253" s="199">
        <f t="shared" ca="1" si="88"/>
        <v>74.161335368478746</v>
      </c>
      <c r="AI253" s="199">
        <f t="shared" ca="1" si="88"/>
        <v>78.090607803999859</v>
      </c>
      <c r="AJ253" s="199">
        <f t="shared" ca="1" si="88"/>
        <v>82.221645728151543</v>
      </c>
      <c r="AK253" s="199">
        <f t="shared" ca="1" si="88"/>
        <v>86.566231067277215</v>
      </c>
      <c r="AL253" s="199">
        <f t="shared" ca="1" si="88"/>
        <v>91.072817893624531</v>
      </c>
      <c r="AM253" s="199">
        <f t="shared" ca="1" si="88"/>
        <v>117.77066298775</v>
      </c>
      <c r="AN253" s="199">
        <f t="shared" ca="1" si="88"/>
        <v>151.40953543892607</v>
      </c>
      <c r="AO253" s="199">
        <f t="shared" ca="1" si="88"/>
        <v>210.58941509138708</v>
      </c>
      <c r="AP253" s="199">
        <f t="shared" ca="1" si="88"/>
        <v>270.92613263668898</v>
      </c>
    </row>
    <row r="254" spans="1:42">
      <c r="A254" s="61" t="str">
        <f>'[4]TS BYDem'!A189</f>
        <v>*</v>
      </c>
      <c r="B254" s="199" t="s">
        <v>288</v>
      </c>
      <c r="C254" s="199" t="s">
        <v>137</v>
      </c>
      <c r="D254" s="199">
        <f>'[4]TS BYDem'!D189</f>
        <v>0</v>
      </c>
      <c r="E254" s="199" t="s">
        <v>137</v>
      </c>
      <c r="F254" s="199" t="s">
        <v>137</v>
      </c>
      <c r="G254" s="199" t="s">
        <v>137</v>
      </c>
      <c r="H254" s="199" t="s">
        <v>137</v>
      </c>
      <c r="I254" s="199">
        <v>0</v>
      </c>
      <c r="J254" s="199"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H51"/>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8" t="str">
        <f>[5]ITEMS_Comm!A27</f>
        <v/>
      </c>
      <c r="B9" s="59" t="str">
        <f>[5]ITEMS_Comm!B27</f>
        <v>E</v>
      </c>
      <c r="C9" s="58" t="str">
        <f>[5]ITEMS_Comm!C27</f>
        <v>RLEL</v>
      </c>
      <c r="D9" s="58" t="str">
        <f>[5]ITEMS_Comm!D27</f>
        <v>Residential - Lighting - Low Income Electrified</v>
      </c>
      <c r="E9" s="59" t="str">
        <f>[5]ITEMS_Comm!E27</f>
        <v>PJ</v>
      </c>
      <c r="F9" s="59" t="str">
        <f>[5]ITEMS_Comm!F27</f>
        <v>COM,DEM,DAYNITE,RES</v>
      </c>
    </row>
    <row r="10" spans="1:8">
      <c r="A10" s="58" t="str">
        <f>[5]ITEMS_Comm!A28</f>
        <v/>
      </c>
      <c r="B10" s="59" t="str">
        <f>[5]ITEMS_Comm!B28</f>
        <v>E</v>
      </c>
      <c r="C10" s="58" t="str">
        <f>[5]ITEMS_Comm!C28</f>
        <v>RLNL</v>
      </c>
      <c r="D10" s="58" t="str">
        <f>[5]ITEMS_Comm!D28</f>
        <v>Residential - Lighting - Low Income Electrified paraffin</v>
      </c>
      <c r="E10" s="59" t="str">
        <f>[5]ITEMS_Comm!E28</f>
        <v>PJ</v>
      </c>
      <c r="F10" s="59" t="str">
        <f>[5]ITEMS_Comm!F28</f>
        <v>COM,DEM,DAYNITE,RES</v>
      </c>
    </row>
    <row r="11" spans="1:8">
      <c r="A11" s="58" t="str">
        <f>[5]ITEMS_Comm!A29</f>
        <v/>
      </c>
      <c r="B11" s="59" t="str">
        <f>[5]ITEMS_Comm!B29</f>
        <v>E</v>
      </c>
      <c r="C11" s="58" t="str">
        <f>[5]ITEMS_Comm!C29</f>
        <v>RLEK</v>
      </c>
      <c r="D11" s="58" t="str">
        <f>[5]ITEMS_Comm!D29</f>
        <v>Residential - Cooking - Low Income Electrified</v>
      </c>
      <c r="E11" s="59" t="str">
        <f>[5]ITEMS_Comm!E29</f>
        <v>PJ</v>
      </c>
      <c r="F11" s="59" t="str">
        <f>[5]ITEMS_Comm!F29</f>
        <v>COM,DEM,DAYNITE,RES</v>
      </c>
    </row>
    <row r="12" spans="1:8">
      <c r="A12" s="58" t="str">
        <f>[5]ITEMS_Comm!A30</f>
        <v/>
      </c>
      <c r="B12" s="59" t="str">
        <f>[5]ITEMS_Comm!B30</f>
        <v>E</v>
      </c>
      <c r="C12" s="58" t="str">
        <f>[5]ITEMS_Comm!C30</f>
        <v>RLEH</v>
      </c>
      <c r="D12" s="58" t="str">
        <f>[5]ITEMS_Comm!D30</f>
        <v>Residential - Space Heating - Low Income Electrified</v>
      </c>
      <c r="E12" s="59" t="str">
        <f>[5]ITEMS_Comm!E30</f>
        <v>PJ</v>
      </c>
      <c r="F12" s="59" t="str">
        <f>[5]ITEMS_Comm!F30</f>
        <v>COM,DEM,DAYNITE,RES</v>
      </c>
    </row>
    <row r="13" spans="1:8">
      <c r="A13" s="58" t="str">
        <f>[5]ITEMS_Comm!A31</f>
        <v/>
      </c>
      <c r="B13" s="59" t="str">
        <f>[5]ITEMS_Comm!B31</f>
        <v>E</v>
      </c>
      <c r="C13" s="58" t="str">
        <f>[5]ITEMS_Comm!C31</f>
        <v>RLEWG</v>
      </c>
      <c r="D13" s="58" t="str">
        <f>[5]ITEMS_Comm!D31</f>
        <v>Residential - Water Heating Geyser - Low Income Electrified</v>
      </c>
      <c r="E13" s="59" t="str">
        <f>[5]ITEMS_Comm!E31</f>
        <v>PJ</v>
      </c>
      <c r="F13" s="59" t="str">
        <f>[5]ITEMS_Comm!F31</f>
        <v>COM,DEM,DAYNITE,RES</v>
      </c>
    </row>
    <row r="14" spans="1:8">
      <c r="A14" s="58" t="str">
        <f>[5]ITEMS_Comm!A32</f>
        <v/>
      </c>
      <c r="B14" s="59" t="str">
        <f>[5]ITEMS_Comm!B32</f>
        <v>E</v>
      </c>
      <c r="C14" s="58" t="str">
        <f>[5]ITEMS_Comm!C32</f>
        <v>RLEW</v>
      </c>
      <c r="D14" s="58" t="str">
        <f>[5]ITEMS_Comm!D32</f>
        <v>Residential - Water Heating - Low Income Electrified</v>
      </c>
      <c r="E14" s="59" t="str">
        <f>[5]ITEMS_Comm!E32</f>
        <v>PJ</v>
      </c>
      <c r="F14" s="59" t="str">
        <f>[5]ITEMS_Comm!F32</f>
        <v>COM,DEM,DAYNITE,RES</v>
      </c>
    </row>
    <row r="15" spans="1:8">
      <c r="A15" s="58" t="str">
        <f>[5]ITEMS_Comm!A33</f>
        <v/>
      </c>
      <c r="B15" s="59" t="str">
        <f>[5]ITEMS_Comm!B33</f>
        <v>E</v>
      </c>
      <c r="C15" s="58" t="str">
        <f>[5]ITEMS_Comm!C33</f>
        <v>RLER</v>
      </c>
      <c r="D15" s="58" t="str">
        <f>[5]ITEMS_Comm!D33</f>
        <v>Residential - Refrigeration - Low Income Electrified</v>
      </c>
      <c r="E15" s="59" t="str">
        <f>[5]ITEMS_Comm!E33</f>
        <v>PJ</v>
      </c>
      <c r="F15" s="59" t="str">
        <f>[5]ITEMS_Comm!F33</f>
        <v>COM,DEM,DAYNITE,RES</v>
      </c>
    </row>
    <row r="16" spans="1:8">
      <c r="A16" s="58" t="str">
        <f>[5]ITEMS_Comm!A34</f>
        <v/>
      </c>
      <c r="B16" s="59" t="str">
        <f>[5]ITEMS_Comm!B34</f>
        <v>E</v>
      </c>
      <c r="C16" s="58" t="str">
        <f>[5]ITEMS_Comm!C34</f>
        <v>RLEO</v>
      </c>
      <c r="D16" s="58" t="str">
        <f>[5]ITEMS_Comm!D34</f>
        <v>Residential - Other - Low Income Electrified</v>
      </c>
      <c r="E16" s="59" t="str">
        <f>[5]ITEMS_Comm!E34</f>
        <v>PJ</v>
      </c>
      <c r="F16" s="59" t="str">
        <f>[5]ITEMS_Comm!F34</f>
        <v>COM,DEM,DAYNITE,RES</v>
      </c>
    </row>
    <row r="17" spans="1:6">
      <c r="A17" s="58" t="str">
        <f>[5]ITEMS_Comm!A35</f>
        <v>*</v>
      </c>
      <c r="B17" s="59" t="str">
        <f>[5]ITEMS_Comm!B35</f>
        <v>E</v>
      </c>
      <c r="C17" s="58">
        <f>[5]ITEMS_Comm!C35</f>
        <v>0</v>
      </c>
      <c r="D17" s="58" t="str">
        <f>[5]ITEMS_Comm!D35</f>
        <v/>
      </c>
      <c r="E17" s="59" t="str">
        <f>[5]ITEMS_Comm!E35</f>
        <v/>
      </c>
      <c r="F17" s="59" t="str">
        <f>[5]ITEMS_Comm!F35</f>
        <v/>
      </c>
    </row>
    <row r="18" spans="1:6">
      <c r="A18" s="58" t="str">
        <f>[5]ITEMS_Comm!A36</f>
        <v>*</v>
      </c>
      <c r="B18" s="59" t="str">
        <f>[5]ITEMS_Comm!B36</f>
        <v>E</v>
      </c>
      <c r="C18" s="58">
        <f>[5]ITEMS_Comm!C36</f>
        <v>0</v>
      </c>
      <c r="D18" s="58" t="str">
        <f>[5]ITEMS_Comm!D36</f>
        <v/>
      </c>
      <c r="E18" s="59" t="str">
        <f>[5]ITEMS_Comm!E36</f>
        <v/>
      </c>
      <c r="F18" s="59" t="str">
        <f>[5]ITEMS_Comm!F36</f>
        <v/>
      </c>
    </row>
    <row r="19" spans="1:6">
      <c r="A19" s="58" t="str">
        <f>[5]ITEMS_Comm!A37</f>
        <v>*</v>
      </c>
      <c r="B19" s="59" t="str">
        <f>[5]ITEMS_Comm!B37</f>
        <v>E</v>
      </c>
      <c r="C19" s="58">
        <f>[5]ITEMS_Comm!C37</f>
        <v>0</v>
      </c>
      <c r="D19" s="58" t="str">
        <f>[5]ITEMS_Comm!D37</f>
        <v/>
      </c>
      <c r="E19" s="59" t="str">
        <f>[5]ITEMS_Comm!E37</f>
        <v/>
      </c>
      <c r="F19" s="59" t="str">
        <f>[5]ITEMS_Comm!F37</f>
        <v/>
      </c>
    </row>
    <row r="20" spans="1:6">
      <c r="A20" s="58" t="str">
        <f>[5]ITEMS_Comm!A38</f>
        <v/>
      </c>
      <c r="B20" s="59" t="str">
        <f>[5]ITEMS_Comm!B38</f>
        <v>E</v>
      </c>
      <c r="C20" s="58" t="str">
        <f>[5]ITEMS_Comm!C38</f>
        <v>RMEL</v>
      </c>
      <c r="D20" s="58" t="str">
        <f>[5]ITEMS_Comm!D38</f>
        <v>Residential - Lighting - Middle Income Electrified</v>
      </c>
      <c r="E20" s="59" t="str">
        <f>[5]ITEMS_Comm!E38</f>
        <v>PJ</v>
      </c>
      <c r="F20" s="59" t="str">
        <f>[5]ITEMS_Comm!F38</f>
        <v>COM,DEM,DAYNITE,RES</v>
      </c>
    </row>
    <row r="21" spans="1:6">
      <c r="A21" s="58" t="str">
        <f>[5]ITEMS_Comm!A39</f>
        <v/>
      </c>
      <c r="B21" s="59" t="str">
        <f>[5]ITEMS_Comm!B39</f>
        <v>E</v>
      </c>
      <c r="C21" s="58" t="str">
        <f>[5]ITEMS_Comm!C39</f>
        <v>RMNL</v>
      </c>
      <c r="D21" s="58" t="str">
        <f>[5]ITEMS_Comm!D39</f>
        <v>Residential - Lighting - Middle Income Electrified paraffin</v>
      </c>
      <c r="E21" s="59" t="str">
        <f>[5]ITEMS_Comm!E39</f>
        <v>PJ</v>
      </c>
      <c r="F21" s="59" t="str">
        <f>[5]ITEMS_Comm!F39</f>
        <v>COM,DEM,DAYNITE,RES</v>
      </c>
    </row>
    <row r="22" spans="1:6">
      <c r="A22" s="58" t="str">
        <f>[5]ITEMS_Comm!A40</f>
        <v/>
      </c>
      <c r="B22" s="59" t="str">
        <f>[5]ITEMS_Comm!B40</f>
        <v>E</v>
      </c>
      <c r="C22" s="58" t="str">
        <f>[5]ITEMS_Comm!C40</f>
        <v>RMEK</v>
      </c>
      <c r="D22" s="58" t="str">
        <f>[5]ITEMS_Comm!D40</f>
        <v>Residential - Cooking - Middle Income Electrified</v>
      </c>
      <c r="E22" s="59" t="str">
        <f>[5]ITEMS_Comm!E40</f>
        <v>PJ</v>
      </c>
      <c r="F22" s="59" t="str">
        <f>[5]ITEMS_Comm!F40</f>
        <v>COM,DEM,DAYNITE,RES</v>
      </c>
    </row>
    <row r="23" spans="1:6">
      <c r="A23" s="58" t="str">
        <f>[5]ITEMS_Comm!A41</f>
        <v/>
      </c>
      <c r="B23" s="59" t="str">
        <f>[5]ITEMS_Comm!B41</f>
        <v>E</v>
      </c>
      <c r="C23" s="58" t="str">
        <f>[5]ITEMS_Comm!C41</f>
        <v>RMEH</v>
      </c>
      <c r="D23" s="58" t="str">
        <f>[5]ITEMS_Comm!D41</f>
        <v>Residential - Space Heating - Middle Income Electrified</v>
      </c>
      <c r="E23" s="59" t="str">
        <f>[5]ITEMS_Comm!E41</f>
        <v>PJ</v>
      </c>
      <c r="F23" s="59" t="str">
        <f>[5]ITEMS_Comm!F41</f>
        <v>COM,DEM,DAYNITE,RES</v>
      </c>
    </row>
    <row r="24" spans="1:6">
      <c r="A24" s="58" t="str">
        <f>[5]ITEMS_Comm!A42</f>
        <v/>
      </c>
      <c r="B24" s="59" t="str">
        <f>[5]ITEMS_Comm!B42</f>
        <v>E</v>
      </c>
      <c r="C24" s="58" t="str">
        <f>[5]ITEMS_Comm!C42</f>
        <v>RMEWG</v>
      </c>
      <c r="D24" s="58" t="str">
        <f>[5]ITEMS_Comm!D42</f>
        <v>Residential - Water Heating Geyser - Middle Income Electrified</v>
      </c>
      <c r="E24" s="59" t="str">
        <f>[5]ITEMS_Comm!E42</f>
        <v>PJ</v>
      </c>
      <c r="F24" s="59" t="str">
        <f>[5]ITEMS_Comm!F42</f>
        <v>COM,DEM,DAYNITE,RES</v>
      </c>
    </row>
    <row r="25" spans="1:6">
      <c r="A25" s="58" t="str">
        <f>[5]ITEMS_Comm!A43</f>
        <v/>
      </c>
      <c r="B25" s="59" t="str">
        <f>[5]ITEMS_Comm!B43</f>
        <v>E</v>
      </c>
      <c r="C25" s="58" t="str">
        <f>[5]ITEMS_Comm!C43</f>
        <v>RMEW</v>
      </c>
      <c r="D25" s="58">
        <f>[5]ITEMS_Comm!D43</f>
        <v>0</v>
      </c>
      <c r="E25" s="59" t="str">
        <f>[5]ITEMS_Comm!E43</f>
        <v>PJ</v>
      </c>
      <c r="F25" s="59" t="str">
        <f>[5]ITEMS_Comm!F43</f>
        <v>COM,DEM,DAYNITE,RES</v>
      </c>
    </row>
    <row r="26" spans="1:6">
      <c r="A26" s="58" t="str">
        <f>[5]ITEMS_Comm!A44</f>
        <v/>
      </c>
      <c r="B26" s="59" t="str">
        <f>[5]ITEMS_Comm!B44</f>
        <v>E</v>
      </c>
      <c r="C26" s="58" t="str">
        <f>[5]ITEMS_Comm!C44</f>
        <v>RMER</v>
      </c>
      <c r="D26" s="58" t="str">
        <f>[5]ITEMS_Comm!D44</f>
        <v>Residential - Refrigeration - Middle Income Electrified</v>
      </c>
      <c r="E26" s="59" t="str">
        <f>[5]ITEMS_Comm!E44</f>
        <v>PJ</v>
      </c>
      <c r="F26" s="59" t="str">
        <f>[5]ITEMS_Comm!F44</f>
        <v>COM,DEM,DAYNITE,RES</v>
      </c>
    </row>
    <row r="27" spans="1:6">
      <c r="A27" s="58" t="str">
        <f>[5]ITEMS_Comm!A45</f>
        <v/>
      </c>
      <c r="B27" s="59" t="str">
        <f>[5]ITEMS_Comm!B45</f>
        <v>E</v>
      </c>
      <c r="C27" s="58" t="str">
        <f>[5]ITEMS_Comm!C45</f>
        <v>RMEO</v>
      </c>
      <c r="D27" s="58" t="str">
        <f>[5]ITEMS_Comm!D45</f>
        <v>Residential - Other - Middle Income Electrified</v>
      </c>
      <c r="E27" s="59" t="str">
        <f>[5]ITEMS_Comm!E45</f>
        <v>PJ</v>
      </c>
      <c r="F27" s="59" t="str">
        <f>[5]ITEMS_Comm!F45</f>
        <v>COM,DEM,DAYNITE,RES</v>
      </c>
    </row>
    <row r="28" spans="1:6">
      <c r="A28" s="58" t="str">
        <f>[5]ITEMS_Comm!A46</f>
        <v>*</v>
      </c>
      <c r="B28" s="59" t="str">
        <f>[5]ITEMS_Comm!B46</f>
        <v>E</v>
      </c>
      <c r="C28" s="58">
        <f>[5]ITEMS_Comm!C46</f>
        <v>0</v>
      </c>
      <c r="D28" s="58" t="str">
        <f>[5]ITEMS_Comm!D46</f>
        <v/>
      </c>
      <c r="E28" s="59" t="str">
        <f>[5]ITEMS_Comm!E46</f>
        <v/>
      </c>
      <c r="F28" s="59" t="str">
        <f>[5]ITEMS_Comm!F46</f>
        <v/>
      </c>
    </row>
    <row r="29" spans="1:6">
      <c r="A29" s="58" t="str">
        <f>[5]ITEMS_Comm!A47</f>
        <v>*</v>
      </c>
      <c r="B29" s="59" t="str">
        <f>[5]ITEMS_Comm!B47</f>
        <v>E</v>
      </c>
      <c r="C29" s="58">
        <f>[5]ITEMS_Comm!C47</f>
        <v>0</v>
      </c>
      <c r="D29" s="58" t="str">
        <f>[5]ITEMS_Comm!D47</f>
        <v/>
      </c>
      <c r="E29" s="59" t="str">
        <f>[5]ITEMS_Comm!E47</f>
        <v/>
      </c>
      <c r="F29" s="59" t="str">
        <f>[5]ITEMS_Comm!F47</f>
        <v/>
      </c>
    </row>
    <row r="30" spans="1:6">
      <c r="A30" s="58" t="str">
        <f>[5]ITEMS_Comm!A48</f>
        <v>*</v>
      </c>
      <c r="B30" s="59" t="str">
        <f>[5]ITEMS_Comm!B48</f>
        <v>E</v>
      </c>
      <c r="C30" s="58">
        <f>[5]ITEMS_Comm!C48</f>
        <v>0</v>
      </c>
      <c r="D30" s="58" t="str">
        <f>[5]ITEMS_Comm!D48</f>
        <v/>
      </c>
      <c r="E30" s="59" t="str">
        <f>[5]ITEMS_Comm!E48</f>
        <v/>
      </c>
      <c r="F30" s="59" t="str">
        <f>[5]ITEMS_Comm!F48</f>
        <v/>
      </c>
    </row>
    <row r="31" spans="1:6">
      <c r="A31" s="58" t="str">
        <f>[5]ITEMS_Comm!A49</f>
        <v/>
      </c>
      <c r="B31" s="59" t="str">
        <f>[5]ITEMS_Comm!B49</f>
        <v>E</v>
      </c>
      <c r="C31" s="58" t="str">
        <f>[5]ITEMS_Comm!C49</f>
        <v>RHEL</v>
      </c>
      <c r="D31" s="58" t="str">
        <f>[5]ITEMS_Comm!D49</f>
        <v>Residential - Lighting - High Income Electrified</v>
      </c>
      <c r="E31" s="59" t="str">
        <f>[5]ITEMS_Comm!E49</f>
        <v>PJ</v>
      </c>
      <c r="F31" s="59" t="str">
        <f>[5]ITEMS_Comm!F49</f>
        <v>COM,DEM,DAYNITE,RES</v>
      </c>
    </row>
    <row r="32" spans="1:6">
      <c r="A32" s="58" t="str">
        <f>[5]ITEMS_Comm!A50</f>
        <v/>
      </c>
      <c r="B32" s="59" t="str">
        <f>[5]ITEMS_Comm!B50</f>
        <v>E</v>
      </c>
      <c r="C32" s="58" t="str">
        <f>[5]ITEMS_Comm!C50</f>
        <v>RHEK</v>
      </c>
      <c r="D32" s="58" t="str">
        <f>[5]ITEMS_Comm!D50</f>
        <v>Residential - Cooking - High Income Electrified</v>
      </c>
      <c r="E32" s="59" t="str">
        <f>[5]ITEMS_Comm!E50</f>
        <v>PJ</v>
      </c>
      <c r="F32" s="59" t="str">
        <f>[5]ITEMS_Comm!F50</f>
        <v>COM,DEM,DAYNITE,RES</v>
      </c>
    </row>
    <row r="33" spans="1:6">
      <c r="A33" s="58" t="str">
        <f>[5]ITEMS_Comm!A51</f>
        <v/>
      </c>
      <c r="B33" s="59" t="str">
        <f>[5]ITEMS_Comm!B51</f>
        <v>E</v>
      </c>
      <c r="C33" s="58" t="str">
        <f>[5]ITEMS_Comm!C51</f>
        <v>RHEH</v>
      </c>
      <c r="D33" s="58" t="str">
        <f>[5]ITEMS_Comm!D51</f>
        <v>Residential - Space Heating - High Income Electrified</v>
      </c>
      <c r="E33" s="59" t="str">
        <f>[5]ITEMS_Comm!E51</f>
        <v>PJ</v>
      </c>
      <c r="F33" s="59" t="str">
        <f>[5]ITEMS_Comm!F51</f>
        <v>COM,DEM,DAYNITE,RES</v>
      </c>
    </row>
    <row r="34" spans="1:6">
      <c r="A34" s="58" t="str">
        <f>[5]ITEMS_Comm!A52</f>
        <v/>
      </c>
      <c r="B34" s="59" t="str">
        <f>[5]ITEMS_Comm!B52</f>
        <v>E</v>
      </c>
      <c r="C34" s="58" t="str">
        <f>[5]ITEMS_Comm!C52</f>
        <v>RHEWG</v>
      </c>
      <c r="D34" s="58" t="str">
        <f>[5]ITEMS_Comm!D52</f>
        <v>Residential - Water Heating Geyser - High Income Electrified</v>
      </c>
      <c r="E34" s="59" t="str">
        <f>[5]ITEMS_Comm!E52</f>
        <v>PJ</v>
      </c>
      <c r="F34" s="59" t="str">
        <f>[5]ITEMS_Comm!F52</f>
        <v>COM,DEM,DAYNITE,RES</v>
      </c>
    </row>
    <row r="35" spans="1:6">
      <c r="A35" s="58" t="str">
        <f>[5]ITEMS_Comm!A53</f>
        <v/>
      </c>
      <c r="B35" s="59" t="str">
        <f>[5]ITEMS_Comm!B53</f>
        <v>E</v>
      </c>
      <c r="C35" s="58" t="str">
        <f>[5]ITEMS_Comm!C53</f>
        <v>RHEW</v>
      </c>
      <c r="D35" s="58" t="str">
        <f>[5]ITEMS_Comm!D53</f>
        <v xml:space="preserve">Residential -water heating non geyser high income </v>
      </c>
      <c r="E35" s="59" t="str">
        <f>[5]ITEMS_Comm!E53</f>
        <v>PJ</v>
      </c>
      <c r="F35" s="59" t="str">
        <f>[5]ITEMS_Comm!F53</f>
        <v>COM,DEM,DAYNITE,RES</v>
      </c>
    </row>
    <row r="36" spans="1:6">
      <c r="A36" s="58" t="str">
        <f>[5]ITEMS_Comm!A54</f>
        <v/>
      </c>
      <c r="B36" s="59" t="str">
        <f>[5]ITEMS_Comm!B54</f>
        <v>E</v>
      </c>
      <c r="C36" s="58" t="str">
        <f>[5]ITEMS_Comm!C54</f>
        <v>RHER</v>
      </c>
      <c r="D36" s="58" t="str">
        <f>[5]ITEMS_Comm!D54</f>
        <v>Residential - Refrigeration - High Income Electrified</v>
      </c>
      <c r="E36" s="59" t="str">
        <f>[5]ITEMS_Comm!E54</f>
        <v>PJ</v>
      </c>
      <c r="F36" s="59" t="str">
        <f>[5]ITEMS_Comm!F54</f>
        <v>COM,DEM,DAYNITE,RES</v>
      </c>
    </row>
    <row r="37" spans="1:6">
      <c r="A37" s="58" t="str">
        <f>[5]ITEMS_Comm!A55</f>
        <v/>
      </c>
      <c r="B37" s="59" t="str">
        <f>[5]ITEMS_Comm!B55</f>
        <v>E</v>
      </c>
      <c r="C37" s="58" t="str">
        <f>[5]ITEMS_Comm!C55</f>
        <v>RHEO</v>
      </c>
      <c r="D37" s="58" t="str">
        <f>[5]ITEMS_Comm!D55</f>
        <v>Residential - Other - High Income Electrified</v>
      </c>
      <c r="E37" s="59" t="str">
        <f>[5]ITEMS_Comm!E55</f>
        <v>PJ</v>
      </c>
      <c r="F37" s="59" t="str">
        <f>[5]ITEMS_Comm!F55</f>
        <v>COM,DEM,DAYNITE,RES</v>
      </c>
    </row>
    <row r="38" spans="1:6">
      <c r="A38" s="58" t="str">
        <f>[5]ITEMS_Comm!A56</f>
        <v>*</v>
      </c>
      <c r="B38" s="59" t="str">
        <f>[5]ITEMS_Comm!B56</f>
        <v>E</v>
      </c>
      <c r="C38" s="58">
        <f>[5]ITEMS_Comm!C56</f>
        <v>0</v>
      </c>
      <c r="D38" s="58" t="str">
        <f>[5]ITEMS_Comm!D56</f>
        <v/>
      </c>
      <c r="E38" s="59" t="str">
        <f>[5]ITEMS_Comm!E56</f>
        <v/>
      </c>
      <c r="F38" s="59" t="str">
        <f>[5]ITEMS_Comm!F56</f>
        <v/>
      </c>
    </row>
    <row r="39" spans="1:6">
      <c r="A39" s="58" t="str">
        <f>[5]ITEMS_Comm!A57</f>
        <v>*</v>
      </c>
      <c r="B39" s="59" t="str">
        <f>[5]ITEMS_Comm!B57</f>
        <v>E</v>
      </c>
      <c r="C39" s="58">
        <f>[5]ITEMS_Comm!C57</f>
        <v>0</v>
      </c>
      <c r="D39" s="58" t="str">
        <f>[5]ITEMS_Comm!D57</f>
        <v/>
      </c>
      <c r="E39" s="59" t="str">
        <f>[5]ITEMS_Comm!E57</f>
        <v/>
      </c>
      <c r="F39" s="59" t="str">
        <f>[5]ITEMS_Comm!F57</f>
        <v/>
      </c>
    </row>
    <row r="40" spans="1:6">
      <c r="A40" s="58" t="str">
        <f>[5]ITEMS_Comm!A58</f>
        <v>*</v>
      </c>
      <c r="B40" s="59" t="str">
        <f>[5]ITEMS_Comm!B58</f>
        <v>E</v>
      </c>
      <c r="C40" s="58">
        <f>[5]ITEMS_Comm!C58</f>
        <v>0</v>
      </c>
      <c r="D40" s="58" t="str">
        <f>[5]ITEMS_Comm!D58</f>
        <v/>
      </c>
      <c r="E40" s="59" t="str">
        <f>[5]ITEMS_Comm!E58</f>
        <v/>
      </c>
      <c r="F40" s="59" t="str">
        <f>[5]ITEMS_Comm!F58</f>
        <v/>
      </c>
    </row>
    <row r="41" spans="1:6">
      <c r="A41" s="58" t="str">
        <f>[5]ITEMS_Comm!A59</f>
        <v>*</v>
      </c>
      <c r="B41" s="59" t="str">
        <f>[5]ITEMS_Comm!B59</f>
        <v>E</v>
      </c>
      <c r="C41" s="58">
        <f>[5]ITEMS_Comm!C59</f>
        <v>0</v>
      </c>
      <c r="D41" s="58" t="str">
        <f>[5]ITEMS_Comm!D59</f>
        <v/>
      </c>
      <c r="E41" s="59" t="str">
        <f>[5]ITEMS_Comm!E59</f>
        <v/>
      </c>
      <c r="F41" s="59" t="str">
        <f>[5]ITEMS_Comm!F59</f>
        <v/>
      </c>
    </row>
    <row r="42" spans="1:6">
      <c r="A42" s="58" t="str">
        <f>[5]ITEMS_Comm!A60</f>
        <v>*</v>
      </c>
      <c r="B42" s="59" t="str">
        <f>[5]ITEMS_Comm!B60</f>
        <v>E</v>
      </c>
      <c r="C42" s="58">
        <f>[5]ITEMS_Comm!C60</f>
        <v>0</v>
      </c>
      <c r="D42" s="58" t="str">
        <f>[5]ITEMS_Comm!D60</f>
        <v/>
      </c>
      <c r="E42" s="59" t="str">
        <f>[5]ITEMS_Comm!E60</f>
        <v/>
      </c>
      <c r="F42" s="59" t="str">
        <f>[5]ITEMS_Comm!F60</f>
        <v/>
      </c>
    </row>
    <row r="43" spans="1:6">
      <c r="A43" s="58" t="str">
        <f>[5]ITEMS_Comm!A61</f>
        <v>*</v>
      </c>
      <c r="B43" s="59" t="str">
        <f>[5]ITEMS_Comm!B61</f>
        <v>E</v>
      </c>
      <c r="C43" s="58">
        <f>[5]ITEMS_Comm!C61</f>
        <v>0</v>
      </c>
      <c r="D43" s="58" t="str">
        <f>[5]ITEMS_Comm!D61</f>
        <v/>
      </c>
      <c r="E43" s="59" t="str">
        <f>[5]ITEMS_Comm!E61</f>
        <v/>
      </c>
      <c r="F43" s="59" t="str">
        <f>[5]ITEMS_Comm!F61</f>
        <v/>
      </c>
    </row>
    <row r="44" spans="1:6">
      <c r="A44" s="58" t="str">
        <f>[5]ITEMS_Comm!A62</f>
        <v>*</v>
      </c>
      <c r="B44" s="59" t="str">
        <f>[5]ITEMS_Comm!B62</f>
        <v>E</v>
      </c>
      <c r="C44" s="58">
        <f>[5]ITEMS_Comm!C62</f>
        <v>0</v>
      </c>
      <c r="D44" s="58" t="str">
        <f>[5]ITEMS_Comm!D62</f>
        <v/>
      </c>
      <c r="E44" s="59" t="str">
        <f>[5]ITEMS_Comm!E62</f>
        <v/>
      </c>
      <c r="F44" s="59" t="str">
        <f>[5]ITEMS_Comm!F62</f>
        <v/>
      </c>
    </row>
    <row r="45" spans="1:6">
      <c r="A45" s="58" t="str">
        <f>[5]ITEMS_Comm!A63</f>
        <v>*</v>
      </c>
      <c r="B45" s="59" t="str">
        <f>[5]ITEMS_Comm!B63</f>
        <v>E</v>
      </c>
      <c r="C45" s="58">
        <f>[5]ITEMS_Comm!C63</f>
        <v>0</v>
      </c>
      <c r="D45" s="58" t="str">
        <f>[5]ITEMS_Comm!D63</f>
        <v/>
      </c>
      <c r="E45" s="59" t="str">
        <f>[5]ITEMS_Comm!E63</f>
        <v/>
      </c>
      <c r="F45" s="59" t="str">
        <f>[5]ITEMS_Comm!F63</f>
        <v/>
      </c>
    </row>
    <row r="46" spans="1:6">
      <c r="A46" s="58" t="str">
        <f>[5]ITEMS_Comm!A64</f>
        <v>*</v>
      </c>
      <c r="B46" s="59" t="str">
        <f>[5]ITEMS_Comm!B64</f>
        <v>E</v>
      </c>
      <c r="C46" s="58">
        <f>[5]ITEMS_Comm!C64</f>
        <v>0</v>
      </c>
      <c r="D46" s="58" t="str">
        <f>[5]ITEMS_Comm!D64</f>
        <v/>
      </c>
      <c r="E46" s="59" t="str">
        <f>[5]ITEMS_Comm!E64</f>
        <v/>
      </c>
      <c r="F46" s="59" t="str">
        <f>[5]ITEMS_Comm!F64</f>
        <v/>
      </c>
    </row>
    <row r="47" spans="1:6">
      <c r="A47" s="58" t="str">
        <f>[5]ITEMS_Comm!A65</f>
        <v>*</v>
      </c>
      <c r="B47" s="59" t="str">
        <f>[5]ITEMS_Comm!B65</f>
        <v>E</v>
      </c>
      <c r="C47" s="58">
        <f>[5]ITEMS_Comm!C65</f>
        <v>0</v>
      </c>
      <c r="D47" s="58" t="str">
        <f>[5]ITEMS_Comm!D65</f>
        <v/>
      </c>
      <c r="E47" s="59" t="str">
        <f>[5]ITEMS_Comm!E65</f>
        <v/>
      </c>
      <c r="F47" s="59" t="str">
        <f>[5]ITEMS_Comm!F65</f>
        <v/>
      </c>
    </row>
    <row r="48" spans="1:6">
      <c r="A48" s="58" t="str">
        <f>[5]ITEMS_Comm!A66</f>
        <v>*</v>
      </c>
      <c r="B48" s="59" t="str">
        <f>[5]ITEMS_Comm!B66</f>
        <v>E</v>
      </c>
      <c r="C48" s="58">
        <f>[5]ITEMS_Comm!C66</f>
        <v>0</v>
      </c>
      <c r="D48" s="58" t="str">
        <f>[5]ITEMS_Comm!D66</f>
        <v/>
      </c>
      <c r="E48" s="59" t="str">
        <f>[5]ITEMS_Comm!E66</f>
        <v/>
      </c>
      <c r="F48" s="59" t="str">
        <f>[5]ITEMS_Comm!F66</f>
        <v/>
      </c>
    </row>
    <row r="49" spans="1:6">
      <c r="A49" s="58" t="str">
        <f>[5]ITEMS_Comm!A67</f>
        <v>*</v>
      </c>
      <c r="B49" s="59" t="str">
        <f>[5]ITEMS_Comm!B67</f>
        <v>E</v>
      </c>
      <c r="C49" s="58">
        <f>[5]ITEMS_Comm!C67</f>
        <v>0</v>
      </c>
      <c r="D49" s="58" t="str">
        <f>[5]ITEMS_Comm!D67</f>
        <v/>
      </c>
      <c r="E49" s="59" t="str">
        <f>[5]ITEMS_Comm!E67</f>
        <v/>
      </c>
      <c r="F49" s="59" t="str">
        <f>[5]ITEMS_Comm!F67</f>
        <v/>
      </c>
    </row>
    <row r="50" spans="1:6">
      <c r="A50" s="18" t="str">
        <f>[5]ITEMS_Comm!A68</f>
        <v>*</v>
      </c>
      <c r="B50" s="18" t="str">
        <f>[5]ITEMS_Comm!B68</f>
        <v>E</v>
      </c>
      <c r="C50" s="18">
        <f>[5]ITEMS_Comm!C68</f>
        <v>0</v>
      </c>
      <c r="D50" s="18" t="str">
        <f>[5]ITEMS_Comm!D68</f>
        <v/>
      </c>
      <c r="E50" s="18" t="str">
        <f>[5]ITEMS_Comm!E68</f>
        <v/>
      </c>
      <c r="F50" s="18" t="str">
        <f>[5]ITEMS_Comm!F68</f>
        <v/>
      </c>
    </row>
    <row r="51" spans="1:6">
      <c r="A51" s="18" t="str">
        <f>[5]ITEMS_Comm!A69</f>
        <v>*</v>
      </c>
      <c r="B51" s="18" t="str">
        <f>[5]ITEMS_Comm!B69</f>
        <v>E</v>
      </c>
      <c r="C51" s="18">
        <f>[5]ITEMS_Comm!C69</f>
        <v>0</v>
      </c>
      <c r="D51" s="18" t="str">
        <f>[5]ITEMS_Comm!D69</f>
        <v/>
      </c>
      <c r="E51" s="18" t="str">
        <f>[5]ITEMS_Comm!E69</f>
        <v/>
      </c>
      <c r="F51" s="18" t="str">
        <f>[5]ITEMS_Comm!F69</f>
        <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BB136"/>
  <sheetViews>
    <sheetView topLeftCell="A51" zoomScale="80" zoomScaleNormal="80" workbookViewId="0">
      <selection activeCell="E78" sqref="E78"/>
    </sheetView>
  </sheetViews>
  <sheetFormatPr defaultColWidth="9.140625" defaultRowHeight="15"/>
  <cols>
    <col min="1" max="1" width="8.85546875" style="4" bestFit="1" customWidth="1"/>
    <col min="2" max="2" width="35.5703125" style="4" bestFit="1" customWidth="1"/>
    <col min="3" max="3" width="48" style="4" bestFit="1" customWidth="1"/>
    <col min="4" max="4" width="11.42578125" style="4" bestFit="1" customWidth="1"/>
    <col min="5" max="6" width="6.42578125" style="4" bestFit="1" customWidth="1"/>
    <col min="7" max="8" width="8.42578125" style="4" bestFit="1" customWidth="1"/>
    <col min="9" max="9" width="17.140625" style="4" bestFit="1" customWidth="1"/>
    <col min="10" max="10" width="7.140625" style="41" bestFit="1" customWidth="1"/>
    <col min="11" max="15" width="13" style="4" bestFit="1" customWidth="1"/>
    <col min="16" max="16" width="12" style="4" bestFit="1" customWidth="1"/>
    <col min="17" max="27" width="13" style="4" bestFit="1" customWidth="1"/>
    <col min="28" max="42" width="8.42578125" style="4" bestFit="1" customWidth="1"/>
    <col min="43" max="48" width="6.42578125" style="4" customWidth="1"/>
    <col min="49" max="53" width="9.140625" style="4"/>
    <col min="54" max="54" width="10.5703125" style="4" bestFit="1" customWidth="1"/>
    <col min="55" max="16384" width="9.140625" style="4"/>
  </cols>
  <sheetData>
    <row r="1" spans="1:54">
      <c r="A1" s="4" t="str">
        <f>IF(RES,"TS DATA","")</f>
        <v>TS DATA</v>
      </c>
      <c r="B1" s="4" t="s">
        <v>17</v>
      </c>
      <c r="J1" s="40"/>
    </row>
    <row r="2" spans="1:54" ht="15.75" thickBot="1">
      <c r="A2" s="4" t="s">
        <v>16</v>
      </c>
      <c r="B2" s="301" t="s">
        <v>197</v>
      </c>
      <c r="C2" s="301"/>
      <c r="I2" s="131"/>
      <c r="J2" s="4"/>
      <c r="BB2" s="4" t="s">
        <v>295</v>
      </c>
    </row>
    <row r="3" spans="1:54" ht="15.75" thickBot="1">
      <c r="A3" s="4" t="s">
        <v>16</v>
      </c>
      <c r="C3" s="20"/>
      <c r="D3" s="20"/>
      <c r="E3" s="14"/>
      <c r="F3" s="14"/>
      <c r="G3" s="14"/>
      <c r="H3" s="14"/>
      <c r="I3" s="160"/>
      <c r="J3" s="9">
        <v>2012</v>
      </c>
      <c r="K3" s="4">
        <v>2013</v>
      </c>
      <c r="L3" s="4">
        <v>2014</v>
      </c>
      <c r="M3" s="4">
        <v>2015</v>
      </c>
      <c r="N3" s="4">
        <v>2016</v>
      </c>
      <c r="O3" s="4">
        <v>2017</v>
      </c>
      <c r="P3" s="4">
        <v>2018</v>
      </c>
      <c r="Q3" s="4">
        <v>2019</v>
      </c>
      <c r="R3" s="4">
        <v>2020</v>
      </c>
      <c r="S3" s="4">
        <v>2021</v>
      </c>
      <c r="T3" s="4">
        <v>2022</v>
      </c>
      <c r="U3" s="4">
        <v>2023</v>
      </c>
      <c r="V3" s="4">
        <v>2024</v>
      </c>
      <c r="W3" s="4">
        <v>2025</v>
      </c>
      <c r="X3" s="4">
        <v>2026</v>
      </c>
      <c r="Y3" s="4">
        <v>2027</v>
      </c>
      <c r="Z3" s="4">
        <v>2028</v>
      </c>
      <c r="AA3" s="4">
        <v>2029</v>
      </c>
      <c r="AB3" s="4">
        <v>2030</v>
      </c>
      <c r="AC3" s="4">
        <v>2031</v>
      </c>
      <c r="AD3" s="4">
        <v>2032</v>
      </c>
      <c r="AE3" s="4">
        <v>2033</v>
      </c>
      <c r="AF3" s="4">
        <v>2034</v>
      </c>
      <c r="AG3" s="4">
        <v>2035</v>
      </c>
      <c r="AH3" s="4">
        <v>2036</v>
      </c>
      <c r="AI3" s="4">
        <v>2037</v>
      </c>
      <c r="AJ3" s="4">
        <v>2038</v>
      </c>
      <c r="AK3" s="4">
        <v>2039</v>
      </c>
      <c r="AL3" s="4">
        <v>2040</v>
      </c>
      <c r="AM3" s="4">
        <v>2045</v>
      </c>
      <c r="AN3" s="4">
        <v>2050</v>
      </c>
      <c r="AO3" s="4">
        <v>2060</v>
      </c>
      <c r="AP3" s="4">
        <v>2070</v>
      </c>
    </row>
    <row r="4" spans="1:54">
      <c r="A4" s="4" t="s">
        <v>16</v>
      </c>
      <c r="C4" s="4" t="s">
        <v>392</v>
      </c>
      <c r="D4" s="15">
        <v>1</v>
      </c>
      <c r="E4" s="9">
        <v>2012</v>
      </c>
      <c r="F4" s="9">
        <v>2020</v>
      </c>
      <c r="G4" s="15">
        <v>2030</v>
      </c>
      <c r="H4" s="15">
        <v>2040</v>
      </c>
      <c r="I4" s="161">
        <v>2050</v>
      </c>
      <c r="J4" s="4">
        <f>MATCH(J$3,$E$4:$I$4,$D4)</f>
        <v>1</v>
      </c>
      <c r="K4" s="4">
        <f t="shared" ref="K4:AP5" si="0">MATCH(K$3,$E$4:$I$4,$D4)</f>
        <v>1</v>
      </c>
      <c r="L4" s="4">
        <f t="shared" si="0"/>
        <v>1</v>
      </c>
      <c r="M4" s="4">
        <f t="shared" si="0"/>
        <v>1</v>
      </c>
      <c r="N4" s="4">
        <f t="shared" si="0"/>
        <v>1</v>
      </c>
      <c r="O4" s="4">
        <f t="shared" si="0"/>
        <v>1</v>
      </c>
      <c r="P4" s="4">
        <f t="shared" si="0"/>
        <v>1</v>
      </c>
      <c r="Q4" s="4">
        <f t="shared" si="0"/>
        <v>1</v>
      </c>
      <c r="R4" s="4">
        <f t="shared" si="0"/>
        <v>2</v>
      </c>
      <c r="S4" s="4">
        <f t="shared" si="0"/>
        <v>2</v>
      </c>
      <c r="T4" s="4">
        <f t="shared" si="0"/>
        <v>2</v>
      </c>
      <c r="U4" s="4">
        <f t="shared" si="0"/>
        <v>2</v>
      </c>
      <c r="V4" s="4">
        <f t="shared" si="0"/>
        <v>2</v>
      </c>
      <c r="W4" s="4">
        <f t="shared" si="0"/>
        <v>2</v>
      </c>
      <c r="X4" s="4">
        <f t="shared" si="0"/>
        <v>2</v>
      </c>
      <c r="Y4" s="4">
        <f t="shared" si="0"/>
        <v>2</v>
      </c>
      <c r="Z4" s="4">
        <f t="shared" si="0"/>
        <v>2</v>
      </c>
      <c r="AA4" s="4">
        <f t="shared" si="0"/>
        <v>2</v>
      </c>
      <c r="AB4" s="4">
        <f t="shared" si="0"/>
        <v>3</v>
      </c>
      <c r="AC4" s="4">
        <f t="shared" si="0"/>
        <v>3</v>
      </c>
      <c r="AD4" s="4">
        <f t="shared" si="0"/>
        <v>3</v>
      </c>
      <c r="AE4" s="4">
        <f t="shared" si="0"/>
        <v>3</v>
      </c>
      <c r="AF4" s="4">
        <f t="shared" si="0"/>
        <v>3</v>
      </c>
      <c r="AG4" s="4">
        <f t="shared" si="0"/>
        <v>3</v>
      </c>
      <c r="AH4" s="4">
        <f t="shared" si="0"/>
        <v>3</v>
      </c>
      <c r="AI4" s="4">
        <f t="shared" si="0"/>
        <v>3</v>
      </c>
      <c r="AJ4" s="4">
        <f t="shared" si="0"/>
        <v>3</v>
      </c>
      <c r="AK4" s="4">
        <f t="shared" si="0"/>
        <v>3</v>
      </c>
      <c r="AL4" s="4">
        <f t="shared" si="0"/>
        <v>4</v>
      </c>
      <c r="AM4" s="4">
        <f t="shared" si="0"/>
        <v>4</v>
      </c>
      <c r="AN4" s="4">
        <f t="shared" si="0"/>
        <v>5</v>
      </c>
      <c r="AO4" s="4">
        <f t="shared" si="0"/>
        <v>5</v>
      </c>
      <c r="AP4" s="4">
        <f t="shared" si="0"/>
        <v>5</v>
      </c>
    </row>
    <row r="5" spans="1:54">
      <c r="A5" s="4" t="s">
        <v>16</v>
      </c>
      <c r="C5" s="4" t="s">
        <v>393</v>
      </c>
      <c r="D5" s="15">
        <v>0</v>
      </c>
      <c r="E5" s="4">
        <f>INDEX($E4:$I4,0,COUNT($E4:$I4)-E6)</f>
        <v>2050</v>
      </c>
      <c r="F5" s="4">
        <f>INDEX($E4:$I4,0,COUNT($E4:$I4)-F6)</f>
        <v>2040</v>
      </c>
      <c r="G5" s="4">
        <f>INDEX($E4:$I4,0,COUNT($E4:$I4)-G6)</f>
        <v>2030</v>
      </c>
      <c r="H5" s="4">
        <f>INDEX($E4:$I4,0,COUNT($E4:$I4)-H6)</f>
        <v>2020</v>
      </c>
      <c r="I5" s="131">
        <f>INDEX($E4:$I4,0,COUNT($E4:$I4)-I6)</f>
        <v>2012</v>
      </c>
      <c r="J5" s="4">
        <f>MATCH(J$3,$E$4:$I$4,$D5)</f>
        <v>1</v>
      </c>
      <c r="K5" s="4" t="e">
        <f t="shared" si="0"/>
        <v>#N/A</v>
      </c>
      <c r="L5" s="4" t="e">
        <f t="shared" si="0"/>
        <v>#N/A</v>
      </c>
      <c r="M5" s="4" t="e">
        <f t="shared" si="0"/>
        <v>#N/A</v>
      </c>
      <c r="N5" s="4" t="e">
        <f t="shared" si="0"/>
        <v>#N/A</v>
      </c>
      <c r="O5" s="4" t="e">
        <f t="shared" si="0"/>
        <v>#N/A</v>
      </c>
      <c r="P5" s="4" t="e">
        <f t="shared" si="0"/>
        <v>#N/A</v>
      </c>
      <c r="Q5" s="4" t="e">
        <f t="shared" si="0"/>
        <v>#N/A</v>
      </c>
      <c r="R5" s="4">
        <f t="shared" si="0"/>
        <v>2</v>
      </c>
      <c r="S5" s="4" t="e">
        <f t="shared" si="0"/>
        <v>#N/A</v>
      </c>
      <c r="T5" s="4" t="e">
        <f t="shared" si="0"/>
        <v>#N/A</v>
      </c>
      <c r="U5" s="4" t="e">
        <f t="shared" si="0"/>
        <v>#N/A</v>
      </c>
      <c r="V5" s="4" t="e">
        <f t="shared" si="0"/>
        <v>#N/A</v>
      </c>
      <c r="W5" s="4" t="e">
        <f t="shared" si="0"/>
        <v>#N/A</v>
      </c>
      <c r="X5" s="4" t="e">
        <f t="shared" si="0"/>
        <v>#N/A</v>
      </c>
      <c r="Y5" s="4" t="e">
        <f t="shared" si="0"/>
        <v>#N/A</v>
      </c>
      <c r="Z5" s="4" t="e">
        <f t="shared" si="0"/>
        <v>#N/A</v>
      </c>
      <c r="AA5" s="4" t="e">
        <f t="shared" si="0"/>
        <v>#N/A</v>
      </c>
      <c r="AB5" s="4">
        <f t="shared" si="0"/>
        <v>3</v>
      </c>
      <c r="AC5" s="4" t="e">
        <f t="shared" si="0"/>
        <v>#N/A</v>
      </c>
      <c r="AD5" s="4" t="e">
        <f t="shared" si="0"/>
        <v>#N/A</v>
      </c>
      <c r="AE5" s="4" t="e">
        <f t="shared" si="0"/>
        <v>#N/A</v>
      </c>
      <c r="AF5" s="4" t="e">
        <f t="shared" si="0"/>
        <v>#N/A</v>
      </c>
      <c r="AG5" s="4" t="e">
        <f t="shared" si="0"/>
        <v>#N/A</v>
      </c>
      <c r="AH5" s="4" t="e">
        <f t="shared" si="0"/>
        <v>#N/A</v>
      </c>
      <c r="AI5" s="4" t="e">
        <f t="shared" si="0"/>
        <v>#N/A</v>
      </c>
      <c r="AJ5" s="4" t="e">
        <f t="shared" si="0"/>
        <v>#N/A</v>
      </c>
      <c r="AK5" s="4" t="e">
        <f t="shared" si="0"/>
        <v>#N/A</v>
      </c>
      <c r="AL5" s="4">
        <f t="shared" si="0"/>
        <v>4</v>
      </c>
      <c r="AM5" s="4" t="e">
        <f t="shared" si="0"/>
        <v>#N/A</v>
      </c>
      <c r="AN5" s="4">
        <f t="shared" si="0"/>
        <v>5</v>
      </c>
      <c r="AO5" s="4" t="e">
        <f t="shared" si="0"/>
        <v>#N/A</v>
      </c>
      <c r="AP5" s="4" t="e">
        <f t="shared" si="0"/>
        <v>#N/A</v>
      </c>
    </row>
    <row r="6" spans="1:54">
      <c r="A6" s="4" t="s">
        <v>16</v>
      </c>
      <c r="C6" s="4" t="s">
        <v>391</v>
      </c>
      <c r="D6" s="15">
        <v>-1</v>
      </c>
      <c r="E6" s="4">
        <v>0</v>
      </c>
      <c r="F6" s="4">
        <v>1</v>
      </c>
      <c r="G6" s="4">
        <v>2</v>
      </c>
      <c r="H6" s="4">
        <v>3</v>
      </c>
      <c r="I6" s="131">
        <v>4</v>
      </c>
      <c r="J6" s="4">
        <f>MATCH(J$3,$E$5:$I$5,$D6)</f>
        <v>5</v>
      </c>
      <c r="K6" s="4">
        <f t="shared" ref="K6:AP6" si="1">MATCH(K$3,$E$5:$I$5,$D6)</f>
        <v>4</v>
      </c>
      <c r="L6" s="4">
        <f t="shared" si="1"/>
        <v>4</v>
      </c>
      <c r="M6" s="4">
        <f t="shared" si="1"/>
        <v>4</v>
      </c>
      <c r="N6" s="4">
        <f t="shared" si="1"/>
        <v>4</v>
      </c>
      <c r="O6" s="4">
        <f t="shared" si="1"/>
        <v>4</v>
      </c>
      <c r="P6" s="4">
        <f t="shared" si="1"/>
        <v>4</v>
      </c>
      <c r="Q6" s="4">
        <f t="shared" si="1"/>
        <v>4</v>
      </c>
      <c r="R6" s="4">
        <f t="shared" si="1"/>
        <v>4</v>
      </c>
      <c r="S6" s="4">
        <f t="shared" si="1"/>
        <v>3</v>
      </c>
      <c r="T6" s="4">
        <f t="shared" si="1"/>
        <v>3</v>
      </c>
      <c r="U6" s="4">
        <f t="shared" si="1"/>
        <v>3</v>
      </c>
      <c r="V6" s="4">
        <f t="shared" si="1"/>
        <v>3</v>
      </c>
      <c r="W6" s="4">
        <f t="shared" si="1"/>
        <v>3</v>
      </c>
      <c r="X6" s="4">
        <f t="shared" si="1"/>
        <v>3</v>
      </c>
      <c r="Y6" s="4">
        <f t="shared" si="1"/>
        <v>3</v>
      </c>
      <c r="Z6" s="4">
        <f t="shared" si="1"/>
        <v>3</v>
      </c>
      <c r="AA6" s="4">
        <f t="shared" si="1"/>
        <v>3</v>
      </c>
      <c r="AB6" s="4">
        <f t="shared" si="1"/>
        <v>3</v>
      </c>
      <c r="AC6" s="4">
        <f t="shared" si="1"/>
        <v>2</v>
      </c>
      <c r="AD6" s="4">
        <f t="shared" si="1"/>
        <v>2</v>
      </c>
      <c r="AE6" s="4">
        <f t="shared" si="1"/>
        <v>2</v>
      </c>
      <c r="AF6" s="4">
        <f t="shared" si="1"/>
        <v>2</v>
      </c>
      <c r="AG6" s="4">
        <f t="shared" si="1"/>
        <v>2</v>
      </c>
      <c r="AH6" s="4">
        <f t="shared" si="1"/>
        <v>2</v>
      </c>
      <c r="AI6" s="4">
        <f t="shared" si="1"/>
        <v>2</v>
      </c>
      <c r="AJ6" s="4">
        <f t="shared" si="1"/>
        <v>2</v>
      </c>
      <c r="AK6" s="4">
        <f t="shared" si="1"/>
        <v>2</v>
      </c>
      <c r="AL6" s="4">
        <f t="shared" si="1"/>
        <v>2</v>
      </c>
      <c r="AM6" s="4">
        <f t="shared" si="1"/>
        <v>1</v>
      </c>
      <c r="AN6" s="4">
        <f t="shared" si="1"/>
        <v>1</v>
      </c>
      <c r="AO6" s="4" t="e">
        <f t="shared" si="1"/>
        <v>#N/A</v>
      </c>
      <c r="AP6" s="4" t="e">
        <f t="shared" si="1"/>
        <v>#N/A</v>
      </c>
    </row>
    <row r="7" spans="1:54">
      <c r="A7" s="4" t="s">
        <v>16</v>
      </c>
      <c r="C7" s="4" t="s">
        <v>394</v>
      </c>
      <c r="I7" s="131"/>
      <c r="J7" s="5">
        <f>IF(ISNA(J4),-1,IF(ISNA(J6),99,IF(ISNA(J5),J4,0)))</f>
        <v>0</v>
      </c>
      <c r="K7" s="5">
        <f t="shared" ref="K7:AP7" si="2">IF(ISNA(K4),-1,IF(ISNA(K6),99,IF(ISNA(K5),K4,0)))</f>
        <v>1</v>
      </c>
      <c r="L7" s="5">
        <f t="shared" si="2"/>
        <v>1</v>
      </c>
      <c r="M7" s="5">
        <f t="shared" si="2"/>
        <v>1</v>
      </c>
      <c r="N7" s="5">
        <f t="shared" si="2"/>
        <v>1</v>
      </c>
      <c r="O7" s="5">
        <f t="shared" si="2"/>
        <v>1</v>
      </c>
      <c r="P7" s="5">
        <f t="shared" si="2"/>
        <v>1</v>
      </c>
      <c r="Q7" s="5">
        <f t="shared" si="2"/>
        <v>1</v>
      </c>
      <c r="R7" s="5">
        <f t="shared" si="2"/>
        <v>0</v>
      </c>
      <c r="S7" s="5">
        <f t="shared" si="2"/>
        <v>2</v>
      </c>
      <c r="T7" s="5">
        <f t="shared" si="2"/>
        <v>2</v>
      </c>
      <c r="U7" s="5">
        <f t="shared" si="2"/>
        <v>2</v>
      </c>
      <c r="V7" s="5">
        <f t="shared" si="2"/>
        <v>2</v>
      </c>
      <c r="W7" s="5">
        <f t="shared" si="2"/>
        <v>2</v>
      </c>
      <c r="X7" s="5">
        <f t="shared" si="2"/>
        <v>2</v>
      </c>
      <c r="Y7" s="5">
        <f t="shared" si="2"/>
        <v>2</v>
      </c>
      <c r="Z7" s="5">
        <f t="shared" si="2"/>
        <v>2</v>
      </c>
      <c r="AA7" s="5">
        <f t="shared" si="2"/>
        <v>2</v>
      </c>
      <c r="AB7" s="5">
        <f t="shared" si="2"/>
        <v>0</v>
      </c>
      <c r="AC7" s="5">
        <f t="shared" si="2"/>
        <v>3</v>
      </c>
      <c r="AD7" s="5">
        <f t="shared" si="2"/>
        <v>3</v>
      </c>
      <c r="AE7" s="5">
        <f t="shared" si="2"/>
        <v>3</v>
      </c>
      <c r="AF7" s="5">
        <f t="shared" si="2"/>
        <v>3</v>
      </c>
      <c r="AG7" s="5">
        <f t="shared" si="2"/>
        <v>3</v>
      </c>
      <c r="AH7" s="5">
        <f t="shared" si="2"/>
        <v>3</v>
      </c>
      <c r="AI7" s="5">
        <f t="shared" si="2"/>
        <v>3</v>
      </c>
      <c r="AJ7" s="5">
        <f t="shared" si="2"/>
        <v>3</v>
      </c>
      <c r="AK7" s="5">
        <f t="shared" si="2"/>
        <v>3</v>
      </c>
      <c r="AL7" s="5">
        <f t="shared" si="2"/>
        <v>0</v>
      </c>
      <c r="AM7" s="5">
        <f t="shared" si="2"/>
        <v>4</v>
      </c>
      <c r="AN7" s="5">
        <f t="shared" si="2"/>
        <v>0</v>
      </c>
      <c r="AO7" s="5">
        <f t="shared" si="2"/>
        <v>99</v>
      </c>
      <c r="AP7" s="5">
        <f t="shared" si="2"/>
        <v>99</v>
      </c>
      <c r="AQ7" s="5"/>
      <c r="AR7" s="5"/>
      <c r="AS7" s="5"/>
      <c r="AT7" s="5"/>
      <c r="AU7" s="5"/>
      <c r="AV7" s="5"/>
    </row>
    <row r="8" spans="1:54" ht="15.75" thickBot="1">
      <c r="A8" s="4" t="s">
        <v>16</v>
      </c>
      <c r="B8" s="157"/>
      <c r="C8" s="20" t="s">
        <v>44</v>
      </c>
      <c r="D8" s="20"/>
      <c r="I8" s="131"/>
      <c r="J8" s="9"/>
    </row>
    <row r="9" spans="1:54">
      <c r="A9" s="4" t="s">
        <v>16</v>
      </c>
      <c r="C9" s="4" t="s">
        <v>41</v>
      </c>
      <c r="D9" s="4" t="s">
        <v>47</v>
      </c>
      <c r="J9" s="42"/>
      <c r="K9" s="158"/>
      <c r="L9" s="158"/>
      <c r="M9" s="158"/>
      <c r="N9" s="158"/>
      <c r="O9" s="158"/>
      <c r="P9" s="158"/>
      <c r="Q9" s="158"/>
      <c r="R9" s="158"/>
      <c r="S9" s="158"/>
      <c r="T9" s="158"/>
      <c r="U9" s="158"/>
      <c r="V9" s="158"/>
      <c r="W9" s="158"/>
      <c r="X9" s="158"/>
      <c r="Y9" s="158"/>
      <c r="Z9" s="158"/>
      <c r="AA9" s="158"/>
      <c r="AB9" s="158"/>
      <c r="AC9" s="158"/>
      <c r="AD9" s="158"/>
      <c r="AE9" s="158"/>
      <c r="AF9" s="158"/>
      <c r="AG9" s="158"/>
      <c r="AH9" s="158"/>
      <c r="AI9" s="158"/>
      <c r="AJ9" s="158"/>
      <c r="AK9" s="158"/>
      <c r="AL9" s="158"/>
      <c r="AM9" s="158"/>
      <c r="AN9" s="158"/>
      <c r="AO9" s="158"/>
      <c r="AP9" s="158"/>
      <c r="AQ9" s="158"/>
      <c r="AR9" s="158"/>
      <c r="AS9" s="158"/>
      <c r="AT9" s="158"/>
      <c r="AU9" s="158"/>
      <c r="AV9" s="158"/>
    </row>
    <row r="10" spans="1:54">
      <c r="A10" s="4" t="s">
        <v>16</v>
      </c>
      <c r="C10" s="4" t="s">
        <v>42</v>
      </c>
      <c r="D10" s="4" t="s">
        <v>47</v>
      </c>
    </row>
    <row r="11" spans="1:54">
      <c r="A11" s="4" t="s">
        <v>16</v>
      </c>
      <c r="C11" s="4" t="s">
        <v>43</v>
      </c>
      <c r="D11" s="4" t="s">
        <v>47</v>
      </c>
    </row>
    <row r="12" spans="1:54">
      <c r="A12" s="4" t="s">
        <v>16</v>
      </c>
    </row>
    <row r="13" spans="1:54" ht="18" thickBot="1">
      <c r="A13" s="4" t="s">
        <v>16</v>
      </c>
      <c r="B13" s="25"/>
      <c r="C13" s="38" t="s">
        <v>40</v>
      </c>
    </row>
    <row r="14" spans="1:54" ht="16.5" thickTop="1" thickBot="1">
      <c r="A14" s="4" t="s">
        <v>16</v>
      </c>
      <c r="C14" s="20" t="s">
        <v>46</v>
      </c>
      <c r="D14" s="4" t="s">
        <v>47</v>
      </c>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row>
    <row r="15" spans="1:54">
      <c r="A15" s="4" t="s">
        <v>16</v>
      </c>
    </row>
    <row r="16" spans="1:54" ht="15.75" thickBot="1">
      <c r="A16" s="4" t="s">
        <v>16</v>
      </c>
      <c r="C16" s="20" t="s">
        <v>57</v>
      </c>
      <c r="D16" s="20"/>
    </row>
    <row r="17" spans="1:48">
      <c r="A17" s="4" t="s">
        <v>16</v>
      </c>
      <c r="C17" s="4" t="s">
        <v>49</v>
      </c>
      <c r="D17" s="4" t="s">
        <v>48</v>
      </c>
      <c r="E17" s="4">
        <f>E22/$E$25</f>
        <v>0.50674999999999992</v>
      </c>
      <c r="F17" s="199">
        <f>F22/$F$25</f>
        <v>0.42915000000000003</v>
      </c>
      <c r="K17" s="117">
        <f>K22/K$25</f>
        <v>0.49534000000000006</v>
      </c>
      <c r="L17" s="117">
        <f t="shared" ref="L17:AP19" si="3">L22/L$25</f>
        <v>0.47926999999999992</v>
      </c>
      <c r="M17" s="117">
        <f t="shared" si="3"/>
        <v>0.46598000000000006</v>
      </c>
      <c r="N17" s="117">
        <f t="shared" si="3"/>
        <v>0.45659000000000005</v>
      </c>
      <c r="O17" s="117">
        <f t="shared" si="3"/>
        <v>0.4456</v>
      </c>
      <c r="P17" s="117">
        <f t="shared" si="3"/>
        <v>0.43364999999999992</v>
      </c>
      <c r="Q17" s="117">
        <f t="shared" si="3"/>
        <v>0.42387999999999992</v>
      </c>
      <c r="R17" s="117">
        <f t="shared" si="3"/>
        <v>0.42915000000000003</v>
      </c>
      <c r="S17" s="117">
        <f t="shared" si="3"/>
        <v>0.43502999999999997</v>
      </c>
      <c r="T17" s="117">
        <f t="shared" si="3"/>
        <v>0.42220999999999992</v>
      </c>
      <c r="U17" s="117">
        <f t="shared" si="3"/>
        <v>0.41015000000000007</v>
      </c>
      <c r="V17" s="117">
        <f t="shared" si="3"/>
        <v>0.39684000000000003</v>
      </c>
      <c r="W17" s="117">
        <f t="shared" si="3"/>
        <v>0.38306999999999997</v>
      </c>
      <c r="X17" s="117">
        <f t="shared" si="3"/>
        <v>0.36964000000000002</v>
      </c>
      <c r="Y17" s="117">
        <f t="shared" si="3"/>
        <v>0.35582000000000003</v>
      </c>
      <c r="Z17" s="117">
        <f t="shared" si="3"/>
        <v>0.34215000000000001</v>
      </c>
      <c r="AA17" s="117">
        <f t="shared" si="3"/>
        <v>0.32800000000000001</v>
      </c>
      <c r="AB17" s="117">
        <f t="shared" si="3"/>
        <v>0.31403999999999999</v>
      </c>
      <c r="AC17" s="117">
        <f t="shared" si="3"/>
        <v>0.30117000000000005</v>
      </c>
      <c r="AD17" s="117">
        <f t="shared" si="3"/>
        <v>0.28872999999999999</v>
      </c>
      <c r="AE17" s="117">
        <f t="shared" si="3"/>
        <v>0.27683000000000002</v>
      </c>
      <c r="AF17" s="117">
        <f t="shared" si="3"/>
        <v>0.26540000000000002</v>
      </c>
      <c r="AG17" s="117">
        <f t="shared" si="3"/>
        <v>0.25479000000000002</v>
      </c>
      <c r="AH17" s="117">
        <f t="shared" si="3"/>
        <v>0.24504000000000004</v>
      </c>
      <c r="AI17" s="117">
        <f t="shared" si="3"/>
        <v>0.23477999999999996</v>
      </c>
      <c r="AJ17" s="117">
        <f t="shared" si="3"/>
        <v>0.22486</v>
      </c>
      <c r="AK17" s="117">
        <f t="shared" si="3"/>
        <v>0.21551999999999999</v>
      </c>
      <c r="AL17" s="117">
        <f t="shared" si="3"/>
        <v>0.20649999999999999</v>
      </c>
      <c r="AM17" s="117">
        <f t="shared" si="3"/>
        <v>0.16771999999999998</v>
      </c>
      <c r="AN17" s="117">
        <f t="shared" si="3"/>
        <v>0.13817000000000002</v>
      </c>
      <c r="AO17" s="117">
        <f t="shared" si="3"/>
        <v>0.13817000000000002</v>
      </c>
      <c r="AP17" s="117">
        <f t="shared" si="3"/>
        <v>0.13817000000000002</v>
      </c>
      <c r="AQ17" s="117"/>
      <c r="AR17" s="117"/>
      <c r="AS17" s="117"/>
      <c r="AT17" s="117"/>
      <c r="AU17" s="117"/>
      <c r="AV17" s="117"/>
    </row>
    <row r="18" spans="1:48">
      <c r="A18" s="4" t="s">
        <v>16</v>
      </c>
      <c r="C18" s="4" t="s">
        <v>51</v>
      </c>
      <c r="D18" s="4" t="s">
        <v>48</v>
      </c>
      <c r="E18" s="199">
        <f t="shared" ref="E18:E19" si="4">E23/$E$25</f>
        <v>0.30404999999999999</v>
      </c>
      <c r="F18" s="199">
        <f t="shared" ref="F18:F19" si="5">F23/$F$25</f>
        <v>0.31517000000000001</v>
      </c>
      <c r="K18" s="117">
        <f t="shared" ref="K18:Z19" si="6">K23/K$25</f>
        <v>0.29831000000000008</v>
      </c>
      <c r="L18" s="117">
        <f t="shared" si="6"/>
        <v>0.30127999999999999</v>
      </c>
      <c r="M18" s="117">
        <f t="shared" si="6"/>
        <v>0.30318000000000001</v>
      </c>
      <c r="N18" s="117">
        <f t="shared" si="6"/>
        <v>0.30435000000000001</v>
      </c>
      <c r="O18" s="117">
        <f t="shared" si="6"/>
        <v>0.30362</v>
      </c>
      <c r="P18" s="117">
        <f t="shared" si="6"/>
        <v>0.30426999999999998</v>
      </c>
      <c r="Q18" s="117">
        <f t="shared" si="6"/>
        <v>0.30568000000000001</v>
      </c>
      <c r="R18" s="117">
        <f t="shared" si="6"/>
        <v>0.31517000000000001</v>
      </c>
      <c r="S18" s="117">
        <f t="shared" si="6"/>
        <v>0.29937999999999998</v>
      </c>
      <c r="T18" s="117">
        <f t="shared" si="6"/>
        <v>0.30270000000000002</v>
      </c>
      <c r="U18" s="117">
        <f t="shared" si="6"/>
        <v>0.30468000000000001</v>
      </c>
      <c r="V18" s="117">
        <f t="shared" si="6"/>
        <v>0.30664999999999998</v>
      </c>
      <c r="W18" s="117">
        <f t="shared" si="6"/>
        <v>0.30913999999999997</v>
      </c>
      <c r="X18" s="117">
        <f t="shared" si="6"/>
        <v>0.31179999999999997</v>
      </c>
      <c r="Y18" s="117">
        <f t="shared" si="6"/>
        <v>0.31498999999999999</v>
      </c>
      <c r="Z18" s="117">
        <f t="shared" si="6"/>
        <v>0.31794</v>
      </c>
      <c r="AA18" s="117">
        <f t="shared" si="3"/>
        <v>0.32057000000000002</v>
      </c>
      <c r="AB18" s="117">
        <f t="shared" si="3"/>
        <v>0.32377</v>
      </c>
      <c r="AC18" s="117">
        <f t="shared" si="3"/>
        <v>0.3269800000000001</v>
      </c>
      <c r="AD18" s="117">
        <f t="shared" si="3"/>
        <v>0.33028000000000002</v>
      </c>
      <c r="AE18" s="117">
        <f t="shared" si="3"/>
        <v>0.33335999999999999</v>
      </c>
      <c r="AF18" s="117">
        <f t="shared" si="3"/>
        <v>0.33631</v>
      </c>
      <c r="AG18" s="117">
        <f t="shared" si="3"/>
        <v>0.33939999999999998</v>
      </c>
      <c r="AH18" s="117">
        <f t="shared" si="3"/>
        <v>0.34238000000000002</v>
      </c>
      <c r="AI18" s="117">
        <f t="shared" si="3"/>
        <v>0.34501999999999999</v>
      </c>
      <c r="AJ18" s="117">
        <f t="shared" si="3"/>
        <v>0.34815000000000002</v>
      </c>
      <c r="AK18" s="117">
        <f t="shared" si="3"/>
        <v>0.35088999999999998</v>
      </c>
      <c r="AL18" s="117">
        <f t="shared" si="3"/>
        <v>0.35360999999999998</v>
      </c>
      <c r="AM18" s="117">
        <f t="shared" si="3"/>
        <v>0.36719999999999992</v>
      </c>
      <c r="AN18" s="117">
        <f t="shared" si="3"/>
        <v>0.38073000000000007</v>
      </c>
      <c r="AO18" s="117">
        <f t="shared" si="3"/>
        <v>0.38073000000000007</v>
      </c>
      <c r="AP18" s="117">
        <f t="shared" si="3"/>
        <v>0.38073000000000007</v>
      </c>
      <c r="AQ18" s="117"/>
      <c r="AR18" s="117"/>
      <c r="AS18" s="117"/>
      <c r="AT18" s="117"/>
      <c r="AU18" s="117"/>
      <c r="AV18" s="117"/>
    </row>
    <row r="19" spans="1:48">
      <c r="A19" s="4" t="s">
        <v>16</v>
      </c>
      <c r="C19" s="4" t="s">
        <v>50</v>
      </c>
      <c r="D19" s="4" t="s">
        <v>48</v>
      </c>
      <c r="E19" s="199">
        <f t="shared" si="4"/>
        <v>0.18920000000000003</v>
      </c>
      <c r="F19" s="199">
        <f t="shared" si="5"/>
        <v>0.25568000000000007</v>
      </c>
      <c r="K19" s="117">
        <f t="shared" si="6"/>
        <v>0.20634999999999995</v>
      </c>
      <c r="L19" s="117">
        <f t="shared" si="3"/>
        <v>0.21945000000000001</v>
      </c>
      <c r="M19" s="117">
        <f t="shared" si="3"/>
        <v>0.23083999999999996</v>
      </c>
      <c r="N19" s="117">
        <f t="shared" si="3"/>
        <v>0.23906000000000002</v>
      </c>
      <c r="O19" s="117">
        <f t="shared" si="3"/>
        <v>0.25078</v>
      </c>
      <c r="P19" s="117">
        <f t="shared" si="3"/>
        <v>0.26207999999999998</v>
      </c>
      <c r="Q19" s="117">
        <f t="shared" si="3"/>
        <v>0.27044000000000001</v>
      </c>
      <c r="R19" s="117">
        <f t="shared" si="3"/>
        <v>0.25568000000000007</v>
      </c>
      <c r="S19" s="117">
        <f t="shared" si="3"/>
        <v>0.26559000000000005</v>
      </c>
      <c r="T19" s="117">
        <f t="shared" si="3"/>
        <v>0.27509</v>
      </c>
      <c r="U19" s="117">
        <f t="shared" si="3"/>
        <v>0.28516999999999992</v>
      </c>
      <c r="V19" s="117">
        <f t="shared" si="3"/>
        <v>0.29651</v>
      </c>
      <c r="W19" s="117">
        <f t="shared" si="3"/>
        <v>0.30778999999999995</v>
      </c>
      <c r="X19" s="117">
        <f t="shared" si="3"/>
        <v>0.3185599999999999</v>
      </c>
      <c r="Y19" s="117">
        <f t="shared" si="3"/>
        <v>0.32918999999999998</v>
      </c>
      <c r="Z19" s="117">
        <f t="shared" si="3"/>
        <v>0.33990999999999999</v>
      </c>
      <c r="AA19" s="117">
        <f t="shared" si="3"/>
        <v>0.35142999999999996</v>
      </c>
      <c r="AB19" s="117">
        <f t="shared" si="3"/>
        <v>0.36219000000000001</v>
      </c>
      <c r="AC19" s="117">
        <f t="shared" si="3"/>
        <v>0.37185000000000001</v>
      </c>
      <c r="AD19" s="117">
        <f t="shared" si="3"/>
        <v>0.38099</v>
      </c>
      <c r="AE19" s="117">
        <f t="shared" si="3"/>
        <v>0.38980999999999999</v>
      </c>
      <c r="AF19" s="117">
        <f t="shared" si="3"/>
        <v>0.39828999999999998</v>
      </c>
      <c r="AG19" s="117">
        <f t="shared" si="3"/>
        <v>0.40581000000000006</v>
      </c>
      <c r="AH19" s="117">
        <f t="shared" si="3"/>
        <v>0.41257999999999995</v>
      </c>
      <c r="AI19" s="117">
        <f t="shared" si="3"/>
        <v>0.42020000000000002</v>
      </c>
      <c r="AJ19" s="117">
        <f t="shared" si="3"/>
        <v>0.42699000000000004</v>
      </c>
      <c r="AK19" s="117">
        <f t="shared" si="3"/>
        <v>0.43359000000000009</v>
      </c>
      <c r="AL19" s="117">
        <f t="shared" si="3"/>
        <v>0.43989</v>
      </c>
      <c r="AM19" s="117">
        <f t="shared" si="3"/>
        <v>0.46507999999999999</v>
      </c>
      <c r="AN19" s="117">
        <f t="shared" si="3"/>
        <v>0.48110000000000003</v>
      </c>
      <c r="AO19" s="117">
        <f t="shared" si="3"/>
        <v>0.48110000000000003</v>
      </c>
      <c r="AP19" s="117">
        <f t="shared" si="3"/>
        <v>0.48110000000000003</v>
      </c>
      <c r="AQ19" s="117"/>
      <c r="AR19" s="117"/>
      <c r="AS19" s="117"/>
      <c r="AT19" s="117"/>
      <c r="AU19" s="117"/>
      <c r="AV19" s="117"/>
    </row>
    <row r="20" spans="1:48">
      <c r="A20" s="4" t="s">
        <v>16</v>
      </c>
      <c r="K20" s="5"/>
      <c r="Q20" s="5"/>
    </row>
    <row r="21" spans="1:48" ht="15.75" thickBot="1">
      <c r="A21" s="4" t="s">
        <v>16</v>
      </c>
      <c r="B21" s="20" t="s">
        <v>56</v>
      </c>
      <c r="D21" s="20"/>
      <c r="E21" s="4">
        <v>2012</v>
      </c>
      <c r="F21" s="4">
        <v>2020</v>
      </c>
      <c r="G21" s="4">
        <v>2030</v>
      </c>
      <c r="H21" s="4">
        <v>2040</v>
      </c>
      <c r="I21" s="4">
        <v>2050</v>
      </c>
      <c r="J21" s="41">
        <f>MATCH(J3,Drivers!$C$5:$AG$5,0)</f>
        <v>1</v>
      </c>
      <c r="K21" s="41">
        <f>MATCH(K3,Drivers!$C$5:$AG$5,0)</f>
        <v>2</v>
      </c>
      <c r="L21" s="41">
        <f>MATCH(L3,Drivers!$C$5:$AG$5,0)</f>
        <v>3</v>
      </c>
      <c r="M21" s="41">
        <f>MATCH(M3,Drivers!$C$5:$AG$5,0)</f>
        <v>4</v>
      </c>
      <c r="N21" s="41">
        <f>MATCH(N3,Drivers!$C$5:$AG$5,0)</f>
        <v>5</v>
      </c>
      <c r="O21" s="41">
        <f>MATCH(O3,Drivers!$C$5:$AG$5,0)</f>
        <v>6</v>
      </c>
      <c r="P21" s="41">
        <f>MATCH(P3,Drivers!$C$5:$AG$5,0)</f>
        <v>7</v>
      </c>
      <c r="Q21" s="41">
        <f>MATCH(Q3,Drivers!$C$5:$AG$5,0)</f>
        <v>8</v>
      </c>
      <c r="R21" s="41">
        <f>MATCH(R3,Drivers!$C$5:$AG$5,0)</f>
        <v>9</v>
      </c>
      <c r="S21" s="41">
        <f>MATCH(S3,Drivers!$C$5:$AG$5,0)</f>
        <v>10</v>
      </c>
      <c r="T21" s="41">
        <f>MATCH(T3,Drivers!$C$5:$AG$5,0)</f>
        <v>11</v>
      </c>
      <c r="U21" s="41">
        <f>MATCH(U3,Drivers!$C$5:$AG$5,0)</f>
        <v>12</v>
      </c>
      <c r="V21" s="41">
        <f>MATCH(V3,Drivers!$C$5:$AG$5,0)</f>
        <v>13</v>
      </c>
      <c r="W21" s="41">
        <f>MATCH(W3,Drivers!$C$5:$AG$5,0)</f>
        <v>14</v>
      </c>
      <c r="X21" s="41">
        <f>MATCH(X3,Drivers!$C$5:$AG$5,0)</f>
        <v>15</v>
      </c>
      <c r="Y21" s="41">
        <f>MATCH(Y3,Drivers!$C$5:$AG$5,0)</f>
        <v>16</v>
      </c>
      <c r="Z21" s="41">
        <f>MATCH(Z3,Drivers!$C$5:$AG$5,0)</f>
        <v>17</v>
      </c>
      <c r="AA21" s="41">
        <f>MATCH(AA3,Drivers!$C$5:$AG$5,0)</f>
        <v>18</v>
      </c>
      <c r="AB21" s="41">
        <f>MATCH(AB3,Drivers!$C$5:$AG$5,0)</f>
        <v>19</v>
      </c>
      <c r="AC21" s="41">
        <f>MATCH(AC3,Drivers!$C$5:$AG$5,0)</f>
        <v>20</v>
      </c>
      <c r="AD21" s="41">
        <f>MATCH(AD3,Drivers!$C$5:$AG$5,0)</f>
        <v>21</v>
      </c>
      <c r="AE21" s="41">
        <f>MATCH(AE3,Drivers!$C$5:$AG$5,0)</f>
        <v>22</v>
      </c>
      <c r="AF21" s="41">
        <f>MATCH(AF3,Drivers!$C$5:$AG$5,0)</f>
        <v>23</v>
      </c>
      <c r="AG21" s="41">
        <f>MATCH(AG3,Drivers!$C$5:$AG$5,0)</f>
        <v>24</v>
      </c>
      <c r="AH21" s="41">
        <f>MATCH(AH3,Drivers!$C$5:$AG$5,0)</f>
        <v>25</v>
      </c>
      <c r="AI21" s="41">
        <f>MATCH(AI3,Drivers!$C$5:$AG$5,0)</f>
        <v>26</v>
      </c>
      <c r="AJ21" s="41">
        <f>MATCH(AJ3,Drivers!$C$5:$AG$5,0)</f>
        <v>27</v>
      </c>
      <c r="AK21" s="41">
        <f>MATCH(AK3,Drivers!$C$5:$AG$5,0)</f>
        <v>28</v>
      </c>
      <c r="AL21" s="41">
        <f>MATCH(AL3,Drivers!$C$5:$AG$5,0)</f>
        <v>29</v>
      </c>
      <c r="AM21" s="41">
        <f>MATCH(AM3,Drivers!$C$5:$AG$5,0)</f>
        <v>30</v>
      </c>
      <c r="AN21" s="41">
        <f>MATCH(AN3,Drivers!$C$5:$AG$5,0)</f>
        <v>31</v>
      </c>
      <c r="AO21" s="7">
        <f>AN21+1</f>
        <v>32</v>
      </c>
      <c r="AP21" s="7">
        <f>AO21+1</f>
        <v>33</v>
      </c>
      <c r="AQ21" s="7"/>
      <c r="AR21" s="7"/>
      <c r="AS21" s="7"/>
      <c r="AT21" s="7"/>
      <c r="AU21" s="7"/>
      <c r="AV21" s="7"/>
    </row>
    <row r="22" spans="1:48">
      <c r="A22" s="4" t="s">
        <v>16</v>
      </c>
      <c r="B22" s="56">
        <v>1</v>
      </c>
      <c r="C22" s="4" t="s">
        <v>7</v>
      </c>
      <c r="D22" s="4" t="s">
        <v>47</v>
      </c>
      <c r="E22" s="10">
        <f>SUMIF($J$3:$AV$3,E$21,$J22:$AV22)</f>
        <v>26.515913112989015</v>
      </c>
      <c r="F22" s="10">
        <f>SUMIF($J$3:$AV$3,F$21,$J22:$AV22)</f>
        <v>25.4523243135</v>
      </c>
      <c r="G22" s="10">
        <f>SUMIF($J$3:$AV$3,G$21,$J22:$AV22)</f>
        <v>20.712850503599999</v>
      </c>
      <c r="H22" s="10">
        <f>SUMIF($J$3:$AV$3,H$21,$J22:$AV22)</f>
        <v>14.739000688999997</v>
      </c>
      <c r="I22" s="24">
        <f>SUMIF($J$3:$AV$3,I$21,$J22:$AV22)</f>
        <v>10.434309486529997</v>
      </c>
      <c r="J22" s="68">
        <f>INDEX(Drivers!$C$31:$AG$33,$B22,J$21)</f>
        <v>26.515913112989015</v>
      </c>
      <c r="K22" s="68">
        <f>INDEX(Drivers!$C$31:$AG$33,$B22,K$21)</f>
        <v>26.304726788315417</v>
      </c>
      <c r="L22" s="68">
        <f>INDEX(Drivers!$C$31:$AG$33,$B22,L$21)</f>
        <v>25.838579504931307</v>
      </c>
      <c r="M22" s="68">
        <f>INDEX(Drivers!$C$31:$AG$33,$B22,M$21)</f>
        <v>25.512634009282493</v>
      </c>
      <c r="N22" s="68">
        <f>INDEX(Drivers!$C$31:$AG$33,$B22,N$21)</f>
        <v>25.395508619117319</v>
      </c>
      <c r="O22" s="68">
        <f>INDEX(Drivers!$C$31:$AG$33,$B22,O$21)</f>
        <v>25.186180047358391</v>
      </c>
      <c r="P22" s="68">
        <f>INDEX(Drivers!$C$31:$AG$33,$B22,P$21)</f>
        <v>24.907121667691992</v>
      </c>
      <c r="Q22" s="68">
        <f>INDEX(Drivers!$C$31:$AG$33,$B22,Q$21)</f>
        <v>24.739686226660826</v>
      </c>
      <c r="R22" s="68">
        <f>INDEX(Drivers!$C$31:$AG$33,$B22,R$21)</f>
        <v>25.4523243135</v>
      </c>
      <c r="S22" s="68">
        <f>INDEX(Drivers!$C$31:$AG$33,$B22,S$21)</f>
        <v>26.09813724281733</v>
      </c>
      <c r="T22" s="68">
        <f>INDEX(Drivers!$C$31:$AG$33,$B22,T$21)</f>
        <v>25.620688160621981</v>
      </c>
      <c r="U22" s="68">
        <f>INDEX(Drivers!$C$31:$AG$33,$B22,U$21)</f>
        <v>25.17543381709098</v>
      </c>
      <c r="V22" s="68">
        <f>INDEX(Drivers!$C$31:$AG$33,$B22,V$21)</f>
        <v>24.638919570602077</v>
      </c>
      <c r="W22" s="68">
        <f>INDEX(Drivers!$C$31:$AG$33,$B22,W$21)</f>
        <v>24.057823393740012</v>
      </c>
      <c r="X22" s="68">
        <f>INDEX(Drivers!$C$31:$AG$33,$B22,X$21)</f>
        <v>23.442962593018784</v>
      </c>
      <c r="Y22" s="68">
        <f>INDEX(Drivers!$C$31:$AG$33,$B22,Y$21)</f>
        <v>22.788683175818168</v>
      </c>
      <c r="Z22" s="68">
        <f>INDEX(Drivers!$C$31:$AG$33,$B22,Z$21)</f>
        <v>22.128947671181702</v>
      </c>
      <c r="AA22" s="68">
        <f>INDEX(Drivers!$C$31:$AG$33,$B22,AA$21)</f>
        <v>21.422660408460331</v>
      </c>
      <c r="AB22" s="68">
        <f>INDEX(Drivers!$C$31:$AG$33,$B22,AB$21)</f>
        <v>20.712850503599999</v>
      </c>
      <c r="AC22" s="68">
        <f>INDEX(Drivers!$C$31:$AG$33,$B22,AC$21)</f>
        <v>20.033520360519404</v>
      </c>
      <c r="AD22" s="68">
        <f>INDEX(Drivers!$C$31:$AG$33,$B22,AD$21)</f>
        <v>19.369933713307852</v>
      </c>
      <c r="AE22" s="68">
        <f>INDEX(Drivers!$C$31:$AG$33,$B22,AE$21)</f>
        <v>18.73009746156184</v>
      </c>
      <c r="AF22" s="68">
        <f>INDEX(Drivers!$C$31:$AG$33,$B22,AF$21)</f>
        <v>18.110000565537405</v>
      </c>
      <c r="AG22" s="68">
        <f>INDEX(Drivers!$C$31:$AG$33,$B22,AG$21)</f>
        <v>17.534386895040004</v>
      </c>
      <c r="AH22" s="68">
        <f>INDEX(Drivers!$C$31:$AG$33,$B22,AH$21)</f>
        <v>16.986861482318545</v>
      </c>
      <c r="AI22" s="68">
        <f>INDEX(Drivers!$C$31:$AG$33,$B22,AI$21)</f>
        <v>16.394765729624176</v>
      </c>
      <c r="AJ22" s="68">
        <f>INDEX(Drivers!$C$31:$AG$33,$B22,AJ$21)</f>
        <v>15.817005975866289</v>
      </c>
      <c r="AK22" s="68">
        <f>INDEX(Drivers!$C$31:$AG$33,$B22,AK$21)</f>
        <v>15.271004535906266</v>
      </c>
      <c r="AL22" s="68">
        <f>INDEX(Drivers!$C$31:$AG$33,$B22,AL$21)</f>
        <v>14.739000688999997</v>
      </c>
      <c r="AM22" s="68">
        <f>INDEX(Drivers!$C$31:$AG$33,$B22,AM$21)</f>
        <v>12.347470255119996</v>
      </c>
      <c r="AN22" s="68">
        <f>INDEX(Drivers!$C$31:$AG$33,$B22,AN$21)</f>
        <v>10.434309486529997</v>
      </c>
      <c r="AO22" s="68">
        <f t="shared" ref="AO22:AP24" si="7">AN22</f>
        <v>10.434309486529997</v>
      </c>
      <c r="AP22" s="68">
        <f t="shared" si="7"/>
        <v>10.434309486529997</v>
      </c>
      <c r="AQ22" s="68"/>
      <c r="AR22" s="68"/>
      <c r="AS22" s="68"/>
      <c r="AT22" s="68"/>
      <c r="AU22" s="68"/>
      <c r="AV22" s="68"/>
    </row>
    <row r="23" spans="1:48">
      <c r="A23" s="4" t="s">
        <v>16</v>
      </c>
      <c r="B23" s="56">
        <v>2</v>
      </c>
      <c r="C23" s="4" t="s">
        <v>8</v>
      </c>
      <c r="D23" s="4" t="s">
        <v>47</v>
      </c>
      <c r="E23" s="10">
        <f>SUMIF($J$3:$AV$3,E$21,$J23:$AV23)</f>
        <v>15.909547867793409</v>
      </c>
      <c r="F23" s="10">
        <f t="shared" ref="F23:I24" si="8">SUMIF($J$3:$AV$3,F$21,$J23:$AV23)</f>
        <v>18.6923198273</v>
      </c>
      <c r="G23" s="10">
        <f t="shared" si="8"/>
        <v>21.354603259300003</v>
      </c>
      <c r="H23" s="10">
        <f t="shared" si="8"/>
        <v>25.239021954659997</v>
      </c>
      <c r="I23" s="24">
        <f t="shared" si="8"/>
        <v>28.751933493569997</v>
      </c>
      <c r="J23" s="68">
        <f>INDEX(Drivers!$C$31:$AG$33,$B23,J$21)</f>
        <v>15.909547867793409</v>
      </c>
      <c r="K23" s="68">
        <f>INDEX(Drivers!$C$31:$AG$33,$B23,K$21)</f>
        <v>15.841569524412268</v>
      </c>
      <c r="L23" s="68">
        <f>INDEX(Drivers!$C$31:$AG$33,$B23,L$21)</f>
        <v>16.242717535513812</v>
      </c>
      <c r="M23" s="68">
        <f>INDEX(Drivers!$C$31:$AG$33,$B23,M$21)</f>
        <v>16.599254000030616</v>
      </c>
      <c r="N23" s="68">
        <f>INDEX(Drivers!$C$31:$AG$33,$B23,N$21)</f>
        <v>16.927928881991186</v>
      </c>
      <c r="O23" s="68">
        <f>INDEX(Drivers!$C$31:$AG$33,$B23,O$21)</f>
        <v>17.161193864405195</v>
      </c>
      <c r="P23" s="68">
        <f>INDEX(Drivers!$C$31:$AG$33,$B23,P$21)</f>
        <v>17.476051907825767</v>
      </c>
      <c r="Q23" s="68">
        <f>INDEX(Drivers!$C$31:$AG$33,$B23,Q$21)</f>
        <v>17.840962738901769</v>
      </c>
      <c r="R23" s="68">
        <f>INDEX(Drivers!$C$31:$AG$33,$B23,R$21)</f>
        <v>18.6923198273</v>
      </c>
      <c r="S23" s="68">
        <f>INDEX(Drivers!$C$31:$AG$33,$B23,S$21)</f>
        <v>17.960279354882772</v>
      </c>
      <c r="T23" s="68">
        <f>INDEX(Drivers!$C$31:$AG$33,$B23,T$21)</f>
        <v>18.368542446224094</v>
      </c>
      <c r="U23" s="68">
        <f>INDEX(Drivers!$C$31:$AG$33,$B23,U$21)</f>
        <v>18.701575461151478</v>
      </c>
      <c r="V23" s="68">
        <f>INDEX(Drivers!$C$31:$AG$33,$B23,V$21)</f>
        <v>19.039221566185681</v>
      </c>
      <c r="W23" s="68">
        <f>INDEX(Drivers!$C$31:$AG$33,$B23,W$21)</f>
        <v>19.414821113480009</v>
      </c>
      <c r="X23" s="68">
        <f>INDEX(Drivers!$C$31:$AG$33,$B23,X$21)</f>
        <v>19.774688173637205</v>
      </c>
      <c r="Y23" s="68">
        <f>INDEX(Drivers!$C$31:$AG$33,$B23,Y$21)</f>
        <v>20.173703877103492</v>
      </c>
      <c r="Z23" s="68">
        <f>INDEX(Drivers!$C$31:$AG$33,$B23,Z$21)</f>
        <v>20.563137871037586</v>
      </c>
      <c r="AA23" s="68">
        <f>INDEX(Drivers!$C$31:$AG$33,$B23,AA$21)</f>
        <v>20.937384899817463</v>
      </c>
      <c r="AB23" s="68">
        <f>INDEX(Drivers!$C$31:$AG$33,$B23,AB$21)</f>
        <v>21.354603259300003</v>
      </c>
      <c r="AC23" s="68">
        <f>INDEX(Drivers!$C$31:$AG$33,$B23,AC$21)</f>
        <v>21.750375161811053</v>
      </c>
      <c r="AD23" s="68">
        <f>INDEX(Drivers!$C$31:$AG$33,$B23,AD$21)</f>
        <v>22.15738477758223</v>
      </c>
      <c r="AE23" s="68">
        <f>INDEX(Drivers!$C$31:$AG$33,$B23,AE$21)</f>
        <v>22.554872267406907</v>
      </c>
      <c r="AF23" s="68">
        <f>INDEX(Drivers!$C$31:$AG$33,$B23,AF$21)</f>
        <v>22.948659721913657</v>
      </c>
      <c r="AG23" s="68">
        <f>INDEX(Drivers!$C$31:$AG$33,$B23,AG$21)</f>
        <v>23.357160454400002</v>
      </c>
      <c r="AH23" s="68">
        <f>INDEX(Drivers!$C$31:$AG$33,$B23,AH$21)</f>
        <v>23.734743855355138</v>
      </c>
      <c r="AI23" s="68">
        <f>INDEX(Drivers!$C$31:$AG$33,$B23,AI$21)</f>
        <v>24.092861708982596</v>
      </c>
      <c r="AJ23" s="68">
        <f>INDEX(Drivers!$C$31:$AG$33,$B23,AJ$21)</f>
        <v>24.489418440353326</v>
      </c>
      <c r="AK23" s="68">
        <f>INDEX(Drivers!$C$31:$AG$33,$B23,AK$21)</f>
        <v>24.862856262083099</v>
      </c>
      <c r="AL23" s="68">
        <f>INDEX(Drivers!$C$31:$AG$33,$B23,AL$21)</f>
        <v>25.239021954659997</v>
      </c>
      <c r="AM23" s="68">
        <f>INDEX(Drivers!$C$31:$AG$33,$B23,AM$21)</f>
        <v>27.03309729119999</v>
      </c>
      <c r="AN23" s="68">
        <f>INDEX(Drivers!$C$31:$AG$33,$B23,AN$21)</f>
        <v>28.751933493569997</v>
      </c>
      <c r="AO23" s="68">
        <f t="shared" si="7"/>
        <v>28.751933493569997</v>
      </c>
      <c r="AP23" s="68">
        <f t="shared" si="7"/>
        <v>28.751933493569997</v>
      </c>
      <c r="AQ23" s="68"/>
      <c r="AR23" s="68"/>
      <c r="AS23" s="68"/>
      <c r="AT23" s="68"/>
      <c r="AU23" s="68"/>
      <c r="AV23" s="68"/>
    </row>
    <row r="24" spans="1:48">
      <c r="A24" s="4" t="s">
        <v>16</v>
      </c>
      <c r="B24" s="56">
        <v>3</v>
      </c>
      <c r="C24" s="4" t="s">
        <v>406</v>
      </c>
      <c r="D24" s="4" t="s">
        <v>47</v>
      </c>
      <c r="E24" s="10">
        <f>SUMIF($J$3:$AV$3,E$21,$J24:$AV24)</f>
        <v>9.8999719012876621</v>
      </c>
      <c r="F24" s="10">
        <f t="shared" si="8"/>
        <v>15.164045859200005</v>
      </c>
      <c r="G24" s="10">
        <f t="shared" si="8"/>
        <v>23.888636237100002</v>
      </c>
      <c r="H24" s="10">
        <f t="shared" si="8"/>
        <v>31.397283356339997</v>
      </c>
      <c r="I24" s="24">
        <f t="shared" si="8"/>
        <v>36.331666019899991</v>
      </c>
      <c r="J24" s="68">
        <f>INDEX(Drivers!$C$31:$AG$33,$B24,J$21)</f>
        <v>9.8999719012876621</v>
      </c>
      <c r="K24" s="68">
        <f>INDEX(Drivers!$C$31:$AG$33,$B24,K$21)</f>
        <v>10.958090145695653</v>
      </c>
      <c r="L24" s="68">
        <f>INDEX(Drivers!$C$31:$AG$33,$B24,L$21)</f>
        <v>11.831068650984156</v>
      </c>
      <c r="M24" s="68">
        <f>INDEX(Drivers!$C$31:$AG$33,$B24,M$21)</f>
        <v>12.638603448008004</v>
      </c>
      <c r="N24" s="68">
        <f>INDEX(Drivers!$C$31:$AG$33,$B24,N$21)</f>
        <v>13.296502968716323</v>
      </c>
      <c r="O24" s="68">
        <f>INDEX(Drivers!$C$31:$AG$33,$B24,O$21)</f>
        <v>14.17457412988451</v>
      </c>
      <c r="P24" s="68">
        <f>INDEX(Drivers!$C$31:$AG$33,$B24,P$21)</f>
        <v>15.052827041781892</v>
      </c>
      <c r="Q24" s="68">
        <f>INDEX(Drivers!$C$31:$AG$33,$B24,Q$21)</f>
        <v>15.784185956256854</v>
      </c>
      <c r="R24" s="68">
        <f>INDEX(Drivers!$C$31:$AG$33,$B24,R$21)</f>
        <v>15.164045859200005</v>
      </c>
      <c r="S24" s="68">
        <f>INDEX(Drivers!$C$31:$AG$33,$B24,S$21)</f>
        <v>15.933163851504164</v>
      </c>
      <c r="T24" s="68">
        <f>INDEX(Drivers!$C$31:$AG$33,$B24,T$21)</f>
        <v>16.693103209553307</v>
      </c>
      <c r="U24" s="68">
        <f>INDEX(Drivers!$C$31:$AG$33,$B24,U$21)</f>
        <v>17.504031358331908</v>
      </c>
      <c r="V24" s="68">
        <f>INDEX(Drivers!$C$31:$AG$33,$B24,V$21)</f>
        <v>18.409651350365944</v>
      </c>
      <c r="W24" s="68">
        <f>INDEX(Drivers!$C$31:$AG$33,$B24,W$21)</f>
        <v>19.330037492780008</v>
      </c>
      <c r="X24" s="68">
        <f>INDEX(Drivers!$C$31:$AG$33,$B24,X$21)</f>
        <v>20.203414575349154</v>
      </c>
      <c r="Y24" s="68">
        <f>INDEX(Drivers!$C$31:$AG$33,$B24,Y$21)</f>
        <v>21.083150510504137</v>
      </c>
      <c r="Z24" s="68">
        <f>INDEX(Drivers!$C$31:$AG$33,$B24,Z$21)</f>
        <v>21.984073075877163</v>
      </c>
      <c r="AA24" s="68">
        <f>INDEX(Drivers!$C$31:$AG$33,$B24,AA$21)</f>
        <v>22.952943741906136</v>
      </c>
      <c r="AB24" s="68">
        <f>INDEX(Drivers!$C$31:$AG$33,$B24,AB$21)</f>
        <v>23.888636237100002</v>
      </c>
      <c r="AC24" s="68">
        <f>INDEX(Drivers!$C$31:$AG$33,$B24,AC$21)</f>
        <v>24.735081668357203</v>
      </c>
      <c r="AD24" s="68">
        <f>INDEX(Drivers!$C$31:$AG$33,$B24,AD$21)</f>
        <v>25.559349722693028</v>
      </c>
      <c r="AE24" s="68">
        <f>INDEX(Drivers!$C$31:$AG$33,$B24,AE$21)</f>
        <v>26.374234336926705</v>
      </c>
      <c r="AF24" s="68">
        <f>INDEX(Drivers!$C$31:$AG$33,$B24,AF$21)</f>
        <v>27.177965807264101</v>
      </c>
      <c r="AG24" s="68">
        <f>INDEX(Drivers!$C$31:$AG$33,$B24,AG$21)</f>
        <v>27.927428650560007</v>
      </c>
      <c r="AH24" s="68">
        <f>INDEX(Drivers!$C$31:$AG$33,$B24,AH$21)</f>
        <v>28.601205151709859</v>
      </c>
      <c r="AI24" s="68">
        <f>INDEX(Drivers!$C$31:$AG$33,$B24,AI$21)</f>
        <v>29.34270619127728</v>
      </c>
      <c r="AJ24" s="68">
        <f>INDEX(Drivers!$C$31:$AG$33,$B24,AJ$21)</f>
        <v>30.035148010473836</v>
      </c>
      <c r="AK24" s="68">
        <f>INDEX(Drivers!$C$31:$AG$33,$B24,AK$21)</f>
        <v>30.722693284723459</v>
      </c>
      <c r="AL24" s="68">
        <f>INDEX(Drivers!$C$31:$AG$33,$B24,AL$21)</f>
        <v>31.397283356339997</v>
      </c>
      <c r="AM24" s="68">
        <f>INDEX(Drivers!$C$31:$AG$33,$B24,AM$21)</f>
        <v>34.238978453679991</v>
      </c>
      <c r="AN24" s="68">
        <f>INDEX(Drivers!$C$31:$AG$33,$B24,AN$21)</f>
        <v>36.331666019899991</v>
      </c>
      <c r="AO24" s="68">
        <f t="shared" si="7"/>
        <v>36.331666019899991</v>
      </c>
      <c r="AP24" s="68">
        <f t="shared" si="7"/>
        <v>36.331666019899991</v>
      </c>
      <c r="AQ24" s="68"/>
      <c r="AR24" s="68"/>
      <c r="AS24" s="68"/>
      <c r="AT24" s="68"/>
      <c r="AU24" s="68"/>
      <c r="AV24" s="68"/>
    </row>
    <row r="25" spans="1:48">
      <c r="A25" s="4" t="s">
        <v>16</v>
      </c>
      <c r="E25" s="49">
        <f t="shared" ref="E25:K25" si="9">SUM(E22:E24)</f>
        <v>52.325432882070089</v>
      </c>
      <c r="F25" s="49">
        <f t="shared" si="9"/>
        <v>59.308689999999999</v>
      </c>
      <c r="G25" s="49">
        <f t="shared" si="9"/>
        <v>65.956090000000003</v>
      </c>
      <c r="H25" s="49">
        <f t="shared" si="9"/>
        <v>71.375305999999995</v>
      </c>
      <c r="I25" s="49">
        <f t="shared" si="9"/>
        <v>75.517908999999975</v>
      </c>
      <c r="J25" s="121">
        <f t="shared" si="9"/>
        <v>52.325432882070089</v>
      </c>
      <c r="K25" s="121">
        <f t="shared" si="9"/>
        <v>53.104386458423335</v>
      </c>
      <c r="L25" s="121">
        <f t="shared" ref="L25:AP25" si="10">SUM(L22:L24)</f>
        <v>53.912365691429279</v>
      </c>
      <c r="M25" s="121">
        <f t="shared" si="10"/>
        <v>54.750491457321111</v>
      </c>
      <c r="N25" s="121">
        <f t="shared" si="10"/>
        <v>55.619940469824826</v>
      </c>
      <c r="O25" s="121">
        <f t="shared" si="10"/>
        <v>56.521948041648095</v>
      </c>
      <c r="P25" s="121">
        <f t="shared" si="10"/>
        <v>57.436000617299655</v>
      </c>
      <c r="Q25" s="121">
        <f t="shared" si="10"/>
        <v>58.364834921819451</v>
      </c>
      <c r="R25" s="121">
        <f t="shared" si="10"/>
        <v>59.308689999999999</v>
      </c>
      <c r="S25" s="121">
        <f t="shared" si="10"/>
        <v>59.991580449204264</v>
      </c>
      <c r="T25" s="121">
        <f t="shared" si="10"/>
        <v>60.682333816399385</v>
      </c>
      <c r="U25" s="121">
        <f t="shared" si="10"/>
        <v>61.381040636574362</v>
      </c>
      <c r="V25" s="121">
        <f t="shared" si="10"/>
        <v>62.087792487153706</v>
      </c>
      <c r="W25" s="121">
        <f t="shared" si="10"/>
        <v>62.802682000000033</v>
      </c>
      <c r="X25" s="121">
        <f t="shared" si="10"/>
        <v>63.42106534200515</v>
      </c>
      <c r="Y25" s="121">
        <f t="shared" si="10"/>
        <v>64.045537563425796</v>
      </c>
      <c r="Z25" s="121">
        <f t="shared" si="10"/>
        <v>64.676158618096451</v>
      </c>
      <c r="AA25" s="121">
        <f t="shared" si="10"/>
        <v>65.31298905018393</v>
      </c>
      <c r="AB25" s="121">
        <f t="shared" si="10"/>
        <v>65.956090000000003</v>
      </c>
      <c r="AC25" s="121">
        <f t="shared" si="10"/>
        <v>66.51897719068765</v>
      </c>
      <c r="AD25" s="121">
        <f t="shared" si="10"/>
        <v>67.08666821358311</v>
      </c>
      <c r="AE25" s="121">
        <f t="shared" si="10"/>
        <v>67.659204065895452</v>
      </c>
      <c r="AF25" s="121">
        <f t="shared" si="10"/>
        <v>68.236626094715163</v>
      </c>
      <c r="AG25" s="121">
        <f t="shared" si="10"/>
        <v>68.818976000000006</v>
      </c>
      <c r="AH25" s="121">
        <f t="shared" si="10"/>
        <v>69.322810489383542</v>
      </c>
      <c r="AI25" s="121">
        <f t="shared" si="10"/>
        <v>69.830333629884052</v>
      </c>
      <c r="AJ25" s="121">
        <f t="shared" si="10"/>
        <v>70.341572426693446</v>
      </c>
      <c r="AK25" s="121">
        <f t="shared" si="10"/>
        <v>70.856554082712819</v>
      </c>
      <c r="AL25" s="121">
        <f t="shared" si="10"/>
        <v>71.375305999999995</v>
      </c>
      <c r="AM25" s="121">
        <f t="shared" si="10"/>
        <v>73.619545999999985</v>
      </c>
      <c r="AN25" s="121">
        <f t="shared" si="10"/>
        <v>75.517908999999975</v>
      </c>
      <c r="AO25" s="121">
        <f t="shared" si="10"/>
        <v>75.517908999999975</v>
      </c>
      <c r="AP25" s="121">
        <f t="shared" si="10"/>
        <v>75.517908999999975</v>
      </c>
      <c r="AQ25" s="121"/>
      <c r="AR25" s="121"/>
      <c r="AS25" s="121"/>
      <c r="AT25" s="121"/>
      <c r="AU25" s="121"/>
      <c r="AV25" s="121"/>
    </row>
    <row r="26" spans="1:48">
      <c r="A26" s="4" t="s">
        <v>16</v>
      </c>
      <c r="J26" s="43"/>
      <c r="K26" s="6"/>
      <c r="L26" s="6"/>
    </row>
    <row r="27" spans="1:48">
      <c r="A27" s="4" t="s">
        <v>16</v>
      </c>
      <c r="J27" s="43"/>
      <c r="K27" s="6"/>
      <c r="L27" s="6"/>
    </row>
    <row r="28" spans="1:48" ht="15.75" thickBot="1">
      <c r="A28" s="4" t="s">
        <v>16</v>
      </c>
      <c r="C28" s="20" t="s">
        <v>45</v>
      </c>
      <c r="D28" s="20"/>
      <c r="E28" s="4">
        <v>2012</v>
      </c>
      <c r="F28" s="4">
        <v>2020</v>
      </c>
      <c r="G28" s="4">
        <v>2030</v>
      </c>
      <c r="H28" s="4">
        <v>2040</v>
      </c>
      <c r="I28" s="4">
        <v>2050</v>
      </c>
    </row>
    <row r="29" spans="1:48">
      <c r="A29" s="4" t="s">
        <v>16</v>
      </c>
      <c r="C29" s="4" t="s">
        <v>7</v>
      </c>
      <c r="D29" s="4" t="s">
        <v>48</v>
      </c>
      <c r="E29" s="31">
        <v>0.71</v>
      </c>
      <c r="F29" s="35">
        <v>0.8</v>
      </c>
      <c r="G29" s="35">
        <v>0.85</v>
      </c>
      <c r="H29" s="35">
        <v>0.9</v>
      </c>
      <c r="I29" s="122">
        <v>0.95</v>
      </c>
      <c r="J29" s="4">
        <f>IF(J$7=-1,K29,IF(J$7=99,I29,IF(J$7=0,INDEX($E29:$I29,0,J$5),(INDEX($E29:$I29,0,J$7+1)-INDEX($E29:$I29,0,J$7))/(INDEX($E$4:$I$4,0,J$7+1)-INDEX($E$4:$I$4,0,J$7))+I29)))</f>
        <v>0.71</v>
      </c>
      <c r="K29" s="4">
        <f t="shared" ref="K29:AP30" si="11">IF(K$7=-1,L29,IF(K$7=99,J29,IF(K$7=0,INDEX($E29:$I29,0,K$5),(INDEX($E29:$I29,0,K$7+1)-INDEX($E29:$I29,0,K$7))/(INDEX($E$4:$I$4,0,K$7+1)-INDEX($E$4:$I$4,0,K$7))+J29)))</f>
        <v>0.72124999999999995</v>
      </c>
      <c r="L29" s="4">
        <f t="shared" si="11"/>
        <v>0.73249999999999993</v>
      </c>
      <c r="M29" s="4">
        <f t="shared" si="11"/>
        <v>0.74374999999999991</v>
      </c>
      <c r="N29" s="4">
        <f t="shared" si="11"/>
        <v>0.75499999999999989</v>
      </c>
      <c r="O29" s="4">
        <f t="shared" si="11"/>
        <v>0.76624999999999988</v>
      </c>
      <c r="P29" s="4">
        <f t="shared" si="11"/>
        <v>0.77749999999999986</v>
      </c>
      <c r="Q29" s="4">
        <f t="shared" si="11"/>
        <v>0.78874999999999984</v>
      </c>
      <c r="R29" s="4">
        <f t="shared" si="11"/>
        <v>0.8</v>
      </c>
      <c r="S29" s="4">
        <f t="shared" si="11"/>
        <v>0.80500000000000005</v>
      </c>
      <c r="T29" s="4">
        <f t="shared" si="11"/>
        <v>0.81</v>
      </c>
      <c r="U29" s="4">
        <f t="shared" si="11"/>
        <v>0.81500000000000006</v>
      </c>
      <c r="V29" s="4">
        <f t="shared" si="11"/>
        <v>0.82000000000000006</v>
      </c>
      <c r="W29" s="4">
        <f t="shared" si="11"/>
        <v>0.82500000000000007</v>
      </c>
      <c r="X29" s="4">
        <f t="shared" si="11"/>
        <v>0.83000000000000007</v>
      </c>
      <c r="Y29" s="4">
        <f t="shared" si="11"/>
        <v>0.83500000000000008</v>
      </c>
      <c r="Z29" s="4">
        <f t="shared" si="11"/>
        <v>0.84000000000000008</v>
      </c>
      <c r="AA29" s="4">
        <f t="shared" si="11"/>
        <v>0.84500000000000008</v>
      </c>
      <c r="AB29" s="4">
        <f t="shared" si="11"/>
        <v>0.85</v>
      </c>
      <c r="AC29" s="4">
        <f t="shared" si="11"/>
        <v>0.85499999999999998</v>
      </c>
      <c r="AD29" s="4">
        <f t="shared" si="11"/>
        <v>0.86</v>
      </c>
      <c r="AE29" s="4">
        <f t="shared" si="11"/>
        <v>0.86499999999999999</v>
      </c>
      <c r="AF29" s="4">
        <f t="shared" si="11"/>
        <v>0.87</v>
      </c>
      <c r="AG29" s="4">
        <f t="shared" si="11"/>
        <v>0.875</v>
      </c>
      <c r="AH29" s="4">
        <f t="shared" si="11"/>
        <v>0.88</v>
      </c>
      <c r="AI29" s="4">
        <f t="shared" si="11"/>
        <v>0.88500000000000001</v>
      </c>
      <c r="AJ29" s="4">
        <f t="shared" si="11"/>
        <v>0.89</v>
      </c>
      <c r="AK29" s="4">
        <f t="shared" si="11"/>
        <v>0.89500000000000002</v>
      </c>
      <c r="AL29" s="4">
        <f t="shared" si="11"/>
        <v>0.9</v>
      </c>
      <c r="AM29" s="229">
        <f>(AL29+AN29)/2</f>
        <v>0.92500000000000004</v>
      </c>
      <c r="AN29" s="4">
        <f t="shared" si="11"/>
        <v>0.95</v>
      </c>
      <c r="AO29" s="4">
        <f t="shared" si="11"/>
        <v>0.95</v>
      </c>
      <c r="AP29" s="4">
        <f t="shared" si="11"/>
        <v>0.95</v>
      </c>
    </row>
    <row r="30" spans="1:48">
      <c r="A30" s="4" t="s">
        <v>16</v>
      </c>
      <c r="C30" s="4" t="s">
        <v>8</v>
      </c>
      <c r="D30" s="4" t="s">
        <v>48</v>
      </c>
      <c r="E30" s="88">
        <v>0.83</v>
      </c>
      <c r="F30" s="35">
        <v>0.9</v>
      </c>
      <c r="G30" s="35">
        <v>0.95</v>
      </c>
      <c r="H30" s="35">
        <v>0.95</v>
      </c>
      <c r="I30" s="122">
        <v>1</v>
      </c>
      <c r="J30" s="4">
        <f>IF(J$7=-1,K30,IF(J$7=99,I30,IF(J$7=0,INDEX($E30:$I30,0,J$5),(INDEX($E30:$I30,0,J$7+1)-INDEX($E30:$I30,0,J$7))/(INDEX($E$4:$I$4,0,J$7+1)-INDEX($E$4:$I$4,0,J$7))+I30)))</f>
        <v>0.83</v>
      </c>
      <c r="K30" s="4">
        <f t="shared" si="11"/>
        <v>0.83875</v>
      </c>
      <c r="L30" s="4">
        <f t="shared" si="11"/>
        <v>0.84750000000000003</v>
      </c>
      <c r="M30" s="4">
        <f t="shared" si="11"/>
        <v>0.85625000000000007</v>
      </c>
      <c r="N30" s="4">
        <f t="shared" si="11"/>
        <v>0.8650000000000001</v>
      </c>
      <c r="O30" s="4">
        <f t="shared" si="11"/>
        <v>0.87375000000000014</v>
      </c>
      <c r="P30" s="4">
        <f t="shared" si="11"/>
        <v>0.88250000000000017</v>
      </c>
      <c r="Q30" s="4">
        <f t="shared" si="11"/>
        <v>0.89125000000000021</v>
      </c>
      <c r="R30" s="4">
        <f t="shared" si="11"/>
        <v>0.9</v>
      </c>
      <c r="S30" s="4">
        <f t="shared" si="11"/>
        <v>0.90500000000000003</v>
      </c>
      <c r="T30" s="4">
        <f t="shared" si="11"/>
        <v>0.91</v>
      </c>
      <c r="U30" s="4">
        <f t="shared" si="11"/>
        <v>0.91500000000000004</v>
      </c>
      <c r="V30" s="4">
        <f t="shared" si="11"/>
        <v>0.92</v>
      </c>
      <c r="W30" s="4">
        <f t="shared" si="11"/>
        <v>0.92500000000000004</v>
      </c>
      <c r="X30" s="4">
        <f t="shared" si="11"/>
        <v>0.93</v>
      </c>
      <c r="Y30" s="4">
        <f t="shared" si="11"/>
        <v>0.93500000000000005</v>
      </c>
      <c r="Z30" s="4">
        <f t="shared" si="11"/>
        <v>0.94000000000000006</v>
      </c>
      <c r="AA30" s="4">
        <f t="shared" si="11"/>
        <v>0.94500000000000006</v>
      </c>
      <c r="AB30" s="4">
        <f t="shared" si="11"/>
        <v>0.95</v>
      </c>
      <c r="AC30" s="4">
        <f t="shared" si="11"/>
        <v>0.95</v>
      </c>
      <c r="AD30" s="4">
        <f t="shared" si="11"/>
        <v>0.95</v>
      </c>
      <c r="AE30" s="4">
        <f t="shared" si="11"/>
        <v>0.95</v>
      </c>
      <c r="AF30" s="4">
        <f t="shared" si="11"/>
        <v>0.95</v>
      </c>
      <c r="AG30" s="4">
        <f t="shared" si="11"/>
        <v>0.95</v>
      </c>
      <c r="AH30" s="4">
        <f t="shared" si="11"/>
        <v>0.95</v>
      </c>
      <c r="AI30" s="4">
        <f t="shared" si="11"/>
        <v>0.95</v>
      </c>
      <c r="AJ30" s="4">
        <f t="shared" si="11"/>
        <v>0.95</v>
      </c>
      <c r="AK30" s="4">
        <f t="shared" si="11"/>
        <v>0.95</v>
      </c>
      <c r="AL30" s="4">
        <f t="shared" si="11"/>
        <v>0.95</v>
      </c>
      <c r="AM30" s="229">
        <f>(AL30+AN30)/2</f>
        <v>0.97499999999999998</v>
      </c>
      <c r="AN30" s="4">
        <f t="shared" si="11"/>
        <v>1</v>
      </c>
      <c r="AO30" s="4">
        <f t="shared" si="11"/>
        <v>1</v>
      </c>
      <c r="AP30" s="4">
        <f t="shared" si="11"/>
        <v>1</v>
      </c>
    </row>
    <row r="31" spans="1:48">
      <c r="A31" s="4" t="s">
        <v>16</v>
      </c>
      <c r="C31" s="4" t="s">
        <v>54</v>
      </c>
      <c r="D31" s="4" t="s">
        <v>48</v>
      </c>
      <c r="E31" s="88">
        <f>(E29*E22+E30*E23+E24)/E25</f>
        <v>0.80135400000000001</v>
      </c>
      <c r="F31" s="71">
        <f>(F29*F22+F30*F23+F24)/F25</f>
        <v>0.88265300000000024</v>
      </c>
      <c r="G31" s="71">
        <f>(G29*G22+G30*G23+G24)/G25</f>
        <v>0.93670549999999997</v>
      </c>
      <c r="H31" s="71">
        <f>(H29*H22+H30*H23+H24)/H25</f>
        <v>0.96166949999999984</v>
      </c>
      <c r="I31" s="71">
        <f>(I29*I22+I30*I23+I24)/I25</f>
        <v>0.99309150000000002</v>
      </c>
      <c r="J31" s="67"/>
    </row>
    <row r="32" spans="1:48">
      <c r="A32" s="4" t="s">
        <v>16</v>
      </c>
      <c r="N32" s="199"/>
    </row>
    <row r="33" spans="1:48" ht="15.75" thickBot="1">
      <c r="A33" s="4" t="s">
        <v>16</v>
      </c>
      <c r="B33" s="20" t="s">
        <v>59</v>
      </c>
      <c r="D33" s="20"/>
      <c r="E33" s="4">
        <f>E28</f>
        <v>2012</v>
      </c>
      <c r="F33" s="4">
        <f>F28</f>
        <v>2020</v>
      </c>
      <c r="G33" s="4">
        <f>G28</f>
        <v>2030</v>
      </c>
      <c r="H33" s="4">
        <f>H28</f>
        <v>2040</v>
      </c>
      <c r="I33" s="4">
        <f>I28</f>
        <v>2050</v>
      </c>
    </row>
    <row r="34" spans="1:48">
      <c r="A34" s="4" t="s">
        <v>16</v>
      </c>
      <c r="B34" s="4" t="str">
        <f>[5]RES!B26</f>
        <v>LE</v>
      </c>
      <c r="C34" s="4" t="str">
        <f>[5]RES!A26</f>
        <v>Low Income Electrified</v>
      </c>
      <c r="D34" s="4" t="s">
        <v>47</v>
      </c>
      <c r="E34" s="10">
        <f t="shared" ref="E34:I35" si="12">E29*E22</f>
        <v>18.826298310222199</v>
      </c>
      <c r="F34" s="10">
        <f t="shared" si="12"/>
        <v>20.361859450800001</v>
      </c>
      <c r="G34" s="10">
        <f t="shared" si="12"/>
        <v>17.60592292806</v>
      </c>
      <c r="H34" s="10">
        <f t="shared" si="12"/>
        <v>13.265100620099998</v>
      </c>
      <c r="I34" s="10">
        <f t="shared" si="12"/>
        <v>9.9125940122034972</v>
      </c>
      <c r="J34" s="10">
        <f t="shared" ref="J34:AP34" si="13">J29*J22</f>
        <v>18.826298310222199</v>
      </c>
      <c r="K34" s="10">
        <f t="shared" si="13"/>
        <v>18.972284196072494</v>
      </c>
      <c r="L34" s="10">
        <f t="shared" si="13"/>
        <v>18.92675948736218</v>
      </c>
      <c r="M34" s="10">
        <f t="shared" si="13"/>
        <v>18.975021544403852</v>
      </c>
      <c r="N34" s="10">
        <f t="shared" si="13"/>
        <v>19.173609007433573</v>
      </c>
      <c r="O34" s="24">
        <f t="shared" si="13"/>
        <v>19.298910461288365</v>
      </c>
      <c r="P34" s="24">
        <f t="shared" si="13"/>
        <v>19.365287096630521</v>
      </c>
      <c r="Q34" s="24">
        <f t="shared" si="13"/>
        <v>19.513427511278721</v>
      </c>
      <c r="R34" s="138">
        <f t="shared" si="13"/>
        <v>20.361859450800001</v>
      </c>
      <c r="S34" s="10">
        <f t="shared" si="13"/>
        <v>21.009000480467954</v>
      </c>
      <c r="T34" s="10">
        <f t="shared" si="13"/>
        <v>20.752757410103808</v>
      </c>
      <c r="U34" s="10">
        <f t="shared" si="13"/>
        <v>20.517978560929151</v>
      </c>
      <c r="V34" s="10">
        <f t="shared" si="13"/>
        <v>20.203914047893704</v>
      </c>
      <c r="W34" s="10">
        <f t="shared" si="13"/>
        <v>19.847704299835513</v>
      </c>
      <c r="X34" s="10">
        <f t="shared" si="13"/>
        <v>19.457658952205591</v>
      </c>
      <c r="Y34" s="10">
        <f t="shared" si="13"/>
        <v>19.028550451808172</v>
      </c>
      <c r="Z34" s="10">
        <f t="shared" si="13"/>
        <v>18.588316043792631</v>
      </c>
      <c r="AA34" s="10">
        <f t="shared" si="13"/>
        <v>18.102148045148983</v>
      </c>
      <c r="AB34" s="10">
        <f t="shared" si="13"/>
        <v>17.60592292806</v>
      </c>
      <c r="AC34" s="10">
        <f t="shared" si="13"/>
        <v>17.128659908244089</v>
      </c>
      <c r="AD34" s="10">
        <f t="shared" si="13"/>
        <v>16.658142993444752</v>
      </c>
      <c r="AE34" s="10">
        <f t="shared" si="13"/>
        <v>16.201534304250991</v>
      </c>
      <c r="AF34" s="10">
        <f t="shared" si="13"/>
        <v>15.755700492017542</v>
      </c>
      <c r="AG34" s="10">
        <f t="shared" si="13"/>
        <v>15.342588533160004</v>
      </c>
      <c r="AH34" s="10">
        <f t="shared" si="13"/>
        <v>14.948438104440321</v>
      </c>
      <c r="AI34" s="10">
        <f t="shared" si="13"/>
        <v>14.509367670717396</v>
      </c>
      <c r="AJ34" s="10">
        <f t="shared" si="13"/>
        <v>14.077135318520998</v>
      </c>
      <c r="AK34" s="10">
        <f t="shared" si="13"/>
        <v>13.667549059636109</v>
      </c>
      <c r="AL34" s="10">
        <f t="shared" si="13"/>
        <v>13.265100620099998</v>
      </c>
      <c r="AM34" s="10">
        <f t="shared" si="13"/>
        <v>11.421409985985997</v>
      </c>
      <c r="AN34" s="10">
        <f t="shared" si="13"/>
        <v>9.9125940122034972</v>
      </c>
      <c r="AO34" s="10">
        <f t="shared" si="13"/>
        <v>9.9125940122034972</v>
      </c>
      <c r="AP34" s="10">
        <f t="shared" si="13"/>
        <v>9.9125940122034972</v>
      </c>
      <c r="AQ34" s="10"/>
      <c r="AR34" s="10"/>
      <c r="AS34" s="10"/>
      <c r="AT34" s="10"/>
      <c r="AU34" s="10"/>
      <c r="AV34" s="10"/>
    </row>
    <row r="35" spans="1:48">
      <c r="A35" s="4" t="s">
        <v>16</v>
      </c>
      <c r="B35" s="4" t="str">
        <f>[5]RES!B27</f>
        <v>ME</v>
      </c>
      <c r="C35" s="4" t="str">
        <f>[5]RES!A27</f>
        <v>Middle Income Electrified</v>
      </c>
      <c r="D35" s="4" t="s">
        <v>47</v>
      </c>
      <c r="E35" s="10">
        <f t="shared" si="12"/>
        <v>13.204924730268528</v>
      </c>
      <c r="F35" s="10">
        <f t="shared" si="12"/>
        <v>16.823087844570001</v>
      </c>
      <c r="G35" s="10">
        <f t="shared" si="12"/>
        <v>20.286873096335</v>
      </c>
      <c r="H35" s="10">
        <f t="shared" si="12"/>
        <v>23.977070856926996</v>
      </c>
      <c r="I35" s="10">
        <f t="shared" si="12"/>
        <v>28.751933493569997</v>
      </c>
      <c r="J35" s="10">
        <f t="shared" ref="J35:AP35" si="14">J30*J23</f>
        <v>13.204924730268528</v>
      </c>
      <c r="K35" s="10">
        <f t="shared" si="14"/>
        <v>13.287116438600791</v>
      </c>
      <c r="L35" s="10">
        <f t="shared" si="14"/>
        <v>13.765703111347957</v>
      </c>
      <c r="M35" s="10">
        <f t="shared" si="14"/>
        <v>14.213111237526215</v>
      </c>
      <c r="N35" s="10">
        <f t="shared" si="14"/>
        <v>14.642658482922377</v>
      </c>
      <c r="O35" s="10">
        <f t="shared" si="14"/>
        <v>14.994593139024042</v>
      </c>
      <c r="P35" s="10">
        <f t="shared" si="14"/>
        <v>15.422615808656243</v>
      </c>
      <c r="Q35" s="10">
        <f t="shared" si="14"/>
        <v>15.900758041046206</v>
      </c>
      <c r="R35" s="10">
        <f t="shared" si="14"/>
        <v>16.823087844570001</v>
      </c>
      <c r="S35" s="10">
        <f t="shared" si="14"/>
        <v>16.254052816168908</v>
      </c>
      <c r="T35" s="10">
        <f t="shared" si="14"/>
        <v>16.715373626063926</v>
      </c>
      <c r="U35" s="10">
        <f t="shared" si="14"/>
        <v>17.111941546953602</v>
      </c>
      <c r="V35" s="10">
        <f t="shared" si="14"/>
        <v>17.516083840890825</v>
      </c>
      <c r="W35" s="10">
        <f t="shared" si="14"/>
        <v>17.95870952996901</v>
      </c>
      <c r="X35" s="10">
        <f t="shared" si="14"/>
        <v>18.390460001482602</v>
      </c>
      <c r="Y35" s="10">
        <f t="shared" si="14"/>
        <v>18.862413125091766</v>
      </c>
      <c r="Z35" s="10">
        <f t="shared" si="14"/>
        <v>19.329349598775334</v>
      </c>
      <c r="AA35" s="10">
        <f t="shared" si="14"/>
        <v>19.785828730327506</v>
      </c>
      <c r="AB35" s="10">
        <f t="shared" si="14"/>
        <v>20.286873096335</v>
      </c>
      <c r="AC35" s="10">
        <f t="shared" si="14"/>
        <v>20.6628564037205</v>
      </c>
      <c r="AD35" s="10">
        <f t="shared" si="14"/>
        <v>21.049515538703119</v>
      </c>
      <c r="AE35" s="10">
        <f t="shared" si="14"/>
        <v>21.427128654036562</v>
      </c>
      <c r="AF35" s="10">
        <f t="shared" si="14"/>
        <v>21.801226735817973</v>
      </c>
      <c r="AG35" s="10">
        <f t="shared" si="14"/>
        <v>22.189302431680002</v>
      </c>
      <c r="AH35" s="10">
        <f t="shared" si="14"/>
        <v>22.54800666258738</v>
      </c>
      <c r="AI35" s="10">
        <f t="shared" si="14"/>
        <v>22.888218623533465</v>
      </c>
      <c r="AJ35" s="10">
        <f t="shared" si="14"/>
        <v>23.26494751833566</v>
      </c>
      <c r="AK35" s="10">
        <f t="shared" si="14"/>
        <v>23.619713448978942</v>
      </c>
      <c r="AL35" s="10">
        <f t="shared" si="14"/>
        <v>23.977070856926996</v>
      </c>
      <c r="AM35" s="10">
        <f t="shared" si="14"/>
        <v>26.357269858919988</v>
      </c>
      <c r="AN35" s="10">
        <f t="shared" si="14"/>
        <v>28.751933493569997</v>
      </c>
      <c r="AO35" s="10">
        <f t="shared" si="14"/>
        <v>28.751933493569997</v>
      </c>
      <c r="AP35" s="10">
        <f t="shared" si="14"/>
        <v>28.751933493569997</v>
      </c>
      <c r="AQ35" s="10"/>
      <c r="AR35" s="10"/>
      <c r="AS35" s="10"/>
      <c r="AT35" s="10"/>
      <c r="AU35" s="10"/>
      <c r="AV35" s="10"/>
    </row>
    <row r="36" spans="1:48">
      <c r="A36" s="4" t="s">
        <v>16</v>
      </c>
      <c r="B36" s="4" t="str">
        <f>[5]RES!B28</f>
        <v>HE</v>
      </c>
      <c r="C36" s="4" t="str">
        <f>[5]RES!A28</f>
        <v>High Income Electrified</v>
      </c>
      <c r="D36" s="4" t="s">
        <v>47</v>
      </c>
      <c r="E36" s="10">
        <f>E24</f>
        <v>9.8999719012876621</v>
      </c>
      <c r="F36" s="10">
        <f>F24</f>
        <v>15.164045859200005</v>
      </c>
      <c r="G36" s="10">
        <f>G24</f>
        <v>23.888636237100002</v>
      </c>
      <c r="H36" s="10">
        <f>H24</f>
        <v>31.397283356339997</v>
      </c>
      <c r="I36" s="10">
        <f>I24</f>
        <v>36.331666019899991</v>
      </c>
      <c r="J36" s="10">
        <f t="shared" ref="J36:AP36" si="15">J24</f>
        <v>9.8999719012876621</v>
      </c>
      <c r="K36" s="10">
        <f t="shared" si="15"/>
        <v>10.958090145695653</v>
      </c>
      <c r="L36" s="10">
        <f t="shared" si="15"/>
        <v>11.831068650984156</v>
      </c>
      <c r="M36" s="10">
        <f t="shared" si="15"/>
        <v>12.638603448008004</v>
      </c>
      <c r="N36" s="10">
        <f t="shared" si="15"/>
        <v>13.296502968716323</v>
      </c>
      <c r="O36" s="10">
        <f t="shared" si="15"/>
        <v>14.17457412988451</v>
      </c>
      <c r="P36" s="10">
        <f t="shared" si="15"/>
        <v>15.052827041781892</v>
      </c>
      <c r="Q36" s="10">
        <f t="shared" si="15"/>
        <v>15.784185956256854</v>
      </c>
      <c r="R36" s="10">
        <f t="shared" si="15"/>
        <v>15.164045859200005</v>
      </c>
      <c r="S36" s="10">
        <f t="shared" si="15"/>
        <v>15.933163851504164</v>
      </c>
      <c r="T36" s="10">
        <f t="shared" si="15"/>
        <v>16.693103209553307</v>
      </c>
      <c r="U36" s="10">
        <f t="shared" si="15"/>
        <v>17.504031358331908</v>
      </c>
      <c r="V36" s="10">
        <f t="shared" si="15"/>
        <v>18.409651350365944</v>
      </c>
      <c r="W36" s="10">
        <f t="shared" si="15"/>
        <v>19.330037492780008</v>
      </c>
      <c r="X36" s="10">
        <f t="shared" si="15"/>
        <v>20.203414575349154</v>
      </c>
      <c r="Y36" s="10">
        <f t="shared" si="15"/>
        <v>21.083150510504137</v>
      </c>
      <c r="Z36" s="10">
        <f t="shared" si="15"/>
        <v>21.984073075877163</v>
      </c>
      <c r="AA36" s="10">
        <f t="shared" si="15"/>
        <v>22.952943741906136</v>
      </c>
      <c r="AB36" s="10">
        <f t="shared" si="15"/>
        <v>23.888636237100002</v>
      </c>
      <c r="AC36" s="10">
        <f t="shared" si="15"/>
        <v>24.735081668357203</v>
      </c>
      <c r="AD36" s="10">
        <f t="shared" si="15"/>
        <v>25.559349722693028</v>
      </c>
      <c r="AE36" s="10">
        <f t="shared" si="15"/>
        <v>26.374234336926705</v>
      </c>
      <c r="AF36" s="10">
        <f t="shared" si="15"/>
        <v>27.177965807264101</v>
      </c>
      <c r="AG36" s="10">
        <f t="shared" si="15"/>
        <v>27.927428650560007</v>
      </c>
      <c r="AH36" s="10">
        <f t="shared" si="15"/>
        <v>28.601205151709859</v>
      </c>
      <c r="AI36" s="10">
        <f t="shared" si="15"/>
        <v>29.34270619127728</v>
      </c>
      <c r="AJ36" s="10">
        <f t="shared" si="15"/>
        <v>30.035148010473836</v>
      </c>
      <c r="AK36" s="10">
        <f t="shared" si="15"/>
        <v>30.722693284723459</v>
      </c>
      <c r="AL36" s="10">
        <f t="shared" si="15"/>
        <v>31.397283356339997</v>
      </c>
      <c r="AM36" s="10">
        <f t="shared" si="15"/>
        <v>34.238978453679991</v>
      </c>
      <c r="AN36" s="10">
        <f t="shared" si="15"/>
        <v>36.331666019899991</v>
      </c>
      <c r="AO36" s="10">
        <f t="shared" si="15"/>
        <v>36.331666019899991</v>
      </c>
      <c r="AP36" s="10">
        <f t="shared" si="15"/>
        <v>36.331666019899991</v>
      </c>
      <c r="AQ36" s="10"/>
      <c r="AR36" s="10"/>
      <c r="AS36" s="10"/>
      <c r="AT36" s="10"/>
      <c r="AU36" s="10"/>
      <c r="AV36" s="10"/>
    </row>
    <row r="37" spans="1:48">
      <c r="A37" s="4" t="s">
        <v>16</v>
      </c>
      <c r="B37" s="4" t="str">
        <f>[5]RES!B29</f>
        <v>LN</v>
      </c>
      <c r="C37" s="4" t="str">
        <f>[5]RES!A29</f>
        <v>Low Income Non-Electrified</v>
      </c>
      <c r="D37" s="4" t="s">
        <v>47</v>
      </c>
      <c r="E37" s="10">
        <f t="shared" ref="E37:I38" si="16">E22-E34</f>
        <v>7.6896148027668154</v>
      </c>
      <c r="F37" s="10">
        <f t="shared" si="16"/>
        <v>5.0904648626999993</v>
      </c>
      <c r="G37" s="10">
        <f t="shared" si="16"/>
        <v>3.1069275755399985</v>
      </c>
      <c r="H37" s="10">
        <f t="shared" si="16"/>
        <v>1.473900068899999</v>
      </c>
      <c r="I37" s="10">
        <f t="shared" si="16"/>
        <v>0.52171547432650023</v>
      </c>
      <c r="J37" s="10">
        <f t="shared" ref="J37:AP37" si="17">J22-J34</f>
        <v>7.6896148027668154</v>
      </c>
      <c r="K37" s="10">
        <f t="shared" si="17"/>
        <v>7.3324425922429235</v>
      </c>
      <c r="L37" s="10">
        <f t="shared" si="17"/>
        <v>6.9118200175691271</v>
      </c>
      <c r="M37" s="10">
        <f t="shared" si="17"/>
        <v>6.5376124648786416</v>
      </c>
      <c r="N37" s="10">
        <f t="shared" si="17"/>
        <v>6.2218996116837459</v>
      </c>
      <c r="O37" s="10">
        <f t="shared" si="17"/>
        <v>5.8872695860700262</v>
      </c>
      <c r="P37" s="10">
        <f t="shared" si="17"/>
        <v>5.5418345710614716</v>
      </c>
      <c r="Q37" s="10">
        <f t="shared" si="17"/>
        <v>5.2262587153821052</v>
      </c>
      <c r="R37" s="10">
        <f t="shared" si="17"/>
        <v>5.0904648626999993</v>
      </c>
      <c r="S37" s="10">
        <f t="shared" si="17"/>
        <v>5.0891367623493764</v>
      </c>
      <c r="T37" s="10">
        <f t="shared" si="17"/>
        <v>4.8679307505181733</v>
      </c>
      <c r="U37" s="10">
        <f t="shared" si="17"/>
        <v>4.6574552561618283</v>
      </c>
      <c r="V37" s="10">
        <f t="shared" si="17"/>
        <v>4.4350055227083729</v>
      </c>
      <c r="W37" s="10">
        <f t="shared" si="17"/>
        <v>4.210119093904499</v>
      </c>
      <c r="X37" s="10">
        <f t="shared" si="17"/>
        <v>3.9853036408131928</v>
      </c>
      <c r="Y37" s="10">
        <f t="shared" si="17"/>
        <v>3.7601327240099955</v>
      </c>
      <c r="Z37" s="10">
        <f t="shared" si="17"/>
        <v>3.5406316273890717</v>
      </c>
      <c r="AA37" s="10">
        <f t="shared" si="17"/>
        <v>3.320512363311348</v>
      </c>
      <c r="AB37" s="10">
        <f t="shared" si="17"/>
        <v>3.1069275755399985</v>
      </c>
      <c r="AC37" s="10">
        <f t="shared" si="17"/>
        <v>2.9048604522753152</v>
      </c>
      <c r="AD37" s="10">
        <f t="shared" si="17"/>
        <v>2.7117907198630995</v>
      </c>
      <c r="AE37" s="10">
        <f t="shared" si="17"/>
        <v>2.5285631573108489</v>
      </c>
      <c r="AF37" s="10">
        <f t="shared" si="17"/>
        <v>2.3543000735198625</v>
      </c>
      <c r="AG37" s="10">
        <f t="shared" si="17"/>
        <v>2.1917983618800001</v>
      </c>
      <c r="AH37" s="10">
        <f t="shared" si="17"/>
        <v>2.0384233778782246</v>
      </c>
      <c r="AI37" s="10">
        <f t="shared" si="17"/>
        <v>1.8853980589067802</v>
      </c>
      <c r="AJ37" s="10">
        <f t="shared" si="17"/>
        <v>1.7398706573452909</v>
      </c>
      <c r="AK37" s="10">
        <f t="shared" si="17"/>
        <v>1.6034554762701578</v>
      </c>
      <c r="AL37" s="10">
        <f t="shared" si="17"/>
        <v>1.473900068899999</v>
      </c>
      <c r="AM37" s="10">
        <f t="shared" si="17"/>
        <v>0.9260602691339983</v>
      </c>
      <c r="AN37" s="10">
        <f t="shared" si="17"/>
        <v>0.52171547432650023</v>
      </c>
      <c r="AO37" s="10">
        <f t="shared" si="17"/>
        <v>0.52171547432650023</v>
      </c>
      <c r="AP37" s="10">
        <f t="shared" si="17"/>
        <v>0.52171547432650023</v>
      </c>
      <c r="AQ37" s="10"/>
      <c r="AR37" s="10"/>
      <c r="AS37" s="10"/>
      <c r="AT37" s="10"/>
      <c r="AU37" s="10"/>
      <c r="AV37" s="10"/>
    </row>
    <row r="38" spans="1:48">
      <c r="A38" s="4" t="s">
        <v>16</v>
      </c>
      <c r="B38" s="4" t="str">
        <f>[5]RES!B30</f>
        <v>MN</v>
      </c>
      <c r="C38" s="4" t="str">
        <f>[5]RES!A30</f>
        <v>Middle Income Non-Electrified</v>
      </c>
      <c r="D38" s="4" t="s">
        <v>47</v>
      </c>
      <c r="E38" s="10">
        <f t="shared" si="16"/>
        <v>2.7046231375248801</v>
      </c>
      <c r="F38" s="10">
        <f t="shared" si="16"/>
        <v>1.8692319827299997</v>
      </c>
      <c r="G38" s="10">
        <f t="shared" si="16"/>
        <v>1.0677301629650024</v>
      </c>
      <c r="H38" s="10">
        <f t="shared" si="16"/>
        <v>1.2619510977330002</v>
      </c>
      <c r="I38" s="10">
        <f t="shared" si="16"/>
        <v>0</v>
      </c>
      <c r="J38" s="10">
        <f t="shared" ref="J38:AP38" si="18">J23-J35</f>
        <v>2.7046231375248801</v>
      </c>
      <c r="K38" s="10">
        <f t="shared" si="18"/>
        <v>2.5544530858114776</v>
      </c>
      <c r="L38" s="10">
        <f t="shared" si="18"/>
        <v>2.4770144241658549</v>
      </c>
      <c r="M38" s="10">
        <f t="shared" si="18"/>
        <v>2.3861427625044005</v>
      </c>
      <c r="N38" s="10">
        <f t="shared" si="18"/>
        <v>2.2852703990688088</v>
      </c>
      <c r="O38" s="10">
        <f t="shared" si="18"/>
        <v>2.1666007253811532</v>
      </c>
      <c r="P38" s="10">
        <f t="shared" si="18"/>
        <v>2.0534360991695237</v>
      </c>
      <c r="Q38" s="10">
        <f t="shared" si="18"/>
        <v>1.9402046978555632</v>
      </c>
      <c r="R38" s="10">
        <f t="shared" si="18"/>
        <v>1.8692319827299997</v>
      </c>
      <c r="S38" s="10">
        <f t="shared" si="18"/>
        <v>1.7062265387138638</v>
      </c>
      <c r="T38" s="10">
        <f t="shared" si="18"/>
        <v>1.6531688201601682</v>
      </c>
      <c r="U38" s="10">
        <f t="shared" si="18"/>
        <v>1.5896339141978757</v>
      </c>
      <c r="V38" s="10">
        <f t="shared" si="18"/>
        <v>1.5231377252948555</v>
      </c>
      <c r="W38" s="10">
        <f t="shared" si="18"/>
        <v>1.4561115835109995</v>
      </c>
      <c r="X38" s="10">
        <f t="shared" si="18"/>
        <v>1.3842281721546037</v>
      </c>
      <c r="Y38" s="10">
        <f t="shared" si="18"/>
        <v>1.3112907520117254</v>
      </c>
      <c r="Z38" s="10">
        <f t="shared" si="18"/>
        <v>1.2337882722622524</v>
      </c>
      <c r="AA38" s="10">
        <f t="shared" si="18"/>
        <v>1.1515561694899574</v>
      </c>
      <c r="AB38" s="10">
        <f t="shared" si="18"/>
        <v>1.0677301629650024</v>
      </c>
      <c r="AC38" s="10">
        <f t="shared" si="18"/>
        <v>1.0875187580905532</v>
      </c>
      <c r="AD38" s="10">
        <f t="shared" si="18"/>
        <v>1.1078692388791112</v>
      </c>
      <c r="AE38" s="10">
        <f t="shared" si="18"/>
        <v>1.1277436133703453</v>
      </c>
      <c r="AF38" s="10">
        <f t="shared" si="18"/>
        <v>1.1474329860956836</v>
      </c>
      <c r="AG38" s="10">
        <f t="shared" si="18"/>
        <v>1.1678580227200008</v>
      </c>
      <c r="AH38" s="10">
        <f t="shared" si="18"/>
        <v>1.1867371927677581</v>
      </c>
      <c r="AI38" s="10">
        <f t="shared" si="18"/>
        <v>1.2046430854491312</v>
      </c>
      <c r="AJ38" s="10">
        <f t="shared" si="18"/>
        <v>1.2244709220176659</v>
      </c>
      <c r="AK38" s="10">
        <f t="shared" si="18"/>
        <v>1.2431428131041571</v>
      </c>
      <c r="AL38" s="10">
        <f t="shared" si="18"/>
        <v>1.2619510977330002</v>
      </c>
      <c r="AM38" s="10">
        <f t="shared" si="18"/>
        <v>0.67582743228000197</v>
      </c>
      <c r="AN38" s="10">
        <f t="shared" si="18"/>
        <v>0</v>
      </c>
      <c r="AO38" s="10">
        <f t="shared" si="18"/>
        <v>0</v>
      </c>
      <c r="AP38" s="10">
        <f t="shared" si="18"/>
        <v>0</v>
      </c>
      <c r="AQ38" s="10"/>
      <c r="AR38" s="10"/>
      <c r="AS38" s="10"/>
      <c r="AT38" s="10"/>
      <c r="AU38" s="10"/>
      <c r="AV38" s="10"/>
    </row>
    <row r="39" spans="1:48">
      <c r="A39" s="4" t="s">
        <v>16</v>
      </c>
      <c r="B39" s="25"/>
      <c r="J39" s="43"/>
      <c r="K39" s="6">
        <f>SUM(K34:K38)</f>
        <v>53.104386458423335</v>
      </c>
      <c r="L39" s="6"/>
    </row>
    <row r="40" spans="1:48" ht="18" thickBot="1">
      <c r="A40" s="4" t="s">
        <v>16</v>
      </c>
      <c r="B40" s="25"/>
      <c r="C40" s="38" t="s">
        <v>60</v>
      </c>
    </row>
    <row r="41" spans="1:48" ht="15.75" thickTop="1">
      <c r="A41" s="4" t="s">
        <v>16</v>
      </c>
    </row>
    <row r="42" spans="1:48" ht="15.75" thickBot="1">
      <c r="A42" s="4" t="s">
        <v>16</v>
      </c>
      <c r="C42" s="20" t="s">
        <v>58</v>
      </c>
      <c r="D42" s="20"/>
      <c r="E42" s="7">
        <v>2012</v>
      </c>
      <c r="F42" s="7">
        <v>2020</v>
      </c>
      <c r="G42" s="7">
        <v>2030</v>
      </c>
      <c r="H42" s="7">
        <v>2040</v>
      </c>
      <c r="I42" s="7">
        <v>2050</v>
      </c>
    </row>
    <row r="43" spans="1:48">
      <c r="A43" s="4" t="s">
        <v>16</v>
      </c>
      <c r="C43" s="4" t="s">
        <v>49</v>
      </c>
      <c r="D43" s="36"/>
      <c r="E43" s="10">
        <f>SUMIF($J$3:$AV$3,E$21,$J43:$AV43)</f>
        <v>1</v>
      </c>
      <c r="F43" s="10">
        <f>SUMIF($J$3:$AV$3,F$21,$J43:$AV43)</f>
        <v>1</v>
      </c>
      <c r="G43" s="10">
        <f>SUMIF($J$3:$AV$3,G$21,$J43:$AV43)</f>
        <v>1</v>
      </c>
      <c r="H43" s="10">
        <f>SUMIF($J$3:$AV$3,H$21,$J43:$AV43)</f>
        <v>1</v>
      </c>
      <c r="I43" s="10">
        <f>SUMIF($J$3:$AV$3,I$21,$J43:$AV43)</f>
        <v>1</v>
      </c>
      <c r="J43" s="54">
        <v>1</v>
      </c>
      <c r="K43" s="54">
        <v>1</v>
      </c>
      <c r="L43" s="54">
        <v>1</v>
      </c>
      <c r="M43" s="54">
        <v>1</v>
      </c>
      <c r="N43" s="54">
        <v>1</v>
      </c>
      <c r="O43" s="54">
        <v>1</v>
      </c>
      <c r="P43" s="54">
        <v>1</v>
      </c>
      <c r="Q43" s="54">
        <v>1</v>
      </c>
      <c r="R43" s="54">
        <v>1</v>
      </c>
      <c r="S43" s="54">
        <v>1</v>
      </c>
      <c r="T43" s="54">
        <v>1</v>
      </c>
      <c r="U43" s="54">
        <v>1</v>
      </c>
      <c r="V43" s="54">
        <v>1</v>
      </c>
      <c r="W43" s="54">
        <v>1</v>
      </c>
      <c r="X43" s="54">
        <v>1</v>
      </c>
      <c r="Y43" s="54">
        <v>1</v>
      </c>
      <c r="Z43" s="54">
        <v>1</v>
      </c>
      <c r="AA43" s="54">
        <v>1</v>
      </c>
      <c r="AB43" s="54">
        <v>1</v>
      </c>
      <c r="AC43" s="54">
        <v>1</v>
      </c>
      <c r="AD43" s="54">
        <v>1</v>
      </c>
      <c r="AE43" s="54">
        <v>1</v>
      </c>
      <c r="AF43" s="54">
        <v>1</v>
      </c>
      <c r="AG43" s="54">
        <v>1</v>
      </c>
      <c r="AH43" s="54">
        <v>1</v>
      </c>
      <c r="AI43" s="54">
        <v>1</v>
      </c>
      <c r="AJ43" s="54">
        <v>1</v>
      </c>
      <c r="AK43" s="54">
        <v>1</v>
      </c>
      <c r="AL43" s="54">
        <v>1</v>
      </c>
      <c r="AM43" s="54">
        <v>1</v>
      </c>
      <c r="AN43" s="54">
        <v>1</v>
      </c>
      <c r="AO43" s="54">
        <v>1</v>
      </c>
      <c r="AP43" s="54">
        <v>1</v>
      </c>
      <c r="AQ43" s="10"/>
      <c r="AR43" s="10"/>
      <c r="AS43" s="10"/>
      <c r="AT43" s="10"/>
      <c r="AU43" s="10"/>
      <c r="AV43" s="10"/>
    </row>
    <row r="44" spans="1:48">
      <c r="A44" s="4" t="s">
        <v>16</v>
      </c>
      <c r="C44" s="4" t="s">
        <v>51</v>
      </c>
      <c r="E44" s="10">
        <f>SUMIF($J$3:$AV$3,E$21,$J44:$AV44)</f>
        <v>1</v>
      </c>
      <c r="F44" s="10">
        <f t="shared" ref="F44:I45" si="19">SUMIF($J$3:$AV$3,F$21,$J44:$AV44)</f>
        <v>1</v>
      </c>
      <c r="G44" s="10">
        <f t="shared" si="19"/>
        <v>1</v>
      </c>
      <c r="H44" s="10">
        <f t="shared" si="19"/>
        <v>1</v>
      </c>
      <c r="I44" s="10">
        <f t="shared" si="19"/>
        <v>1</v>
      </c>
      <c r="J44" s="54">
        <v>1</v>
      </c>
      <c r="K44" s="54">
        <v>1</v>
      </c>
      <c r="L44" s="54">
        <v>1</v>
      </c>
      <c r="M44" s="54">
        <v>1</v>
      </c>
      <c r="N44" s="54">
        <v>1</v>
      </c>
      <c r="O44" s="54">
        <v>1</v>
      </c>
      <c r="P44" s="54">
        <v>1</v>
      </c>
      <c r="Q44" s="54">
        <v>1</v>
      </c>
      <c r="R44" s="54">
        <v>1</v>
      </c>
      <c r="S44" s="54">
        <v>1</v>
      </c>
      <c r="T44" s="54">
        <v>1</v>
      </c>
      <c r="U44" s="54">
        <v>1</v>
      </c>
      <c r="V44" s="54">
        <v>1</v>
      </c>
      <c r="W44" s="54">
        <v>1</v>
      </c>
      <c r="X44" s="54">
        <v>1</v>
      </c>
      <c r="Y44" s="54">
        <v>1</v>
      </c>
      <c r="Z44" s="54">
        <v>1</v>
      </c>
      <c r="AA44" s="54">
        <v>1</v>
      </c>
      <c r="AB44" s="54">
        <v>1</v>
      </c>
      <c r="AC44" s="54">
        <v>1</v>
      </c>
      <c r="AD44" s="54">
        <v>1</v>
      </c>
      <c r="AE44" s="54">
        <v>1</v>
      </c>
      <c r="AF44" s="54">
        <v>1</v>
      </c>
      <c r="AG44" s="54">
        <v>1</v>
      </c>
      <c r="AH44" s="54">
        <v>1</v>
      </c>
      <c r="AI44" s="54">
        <v>1</v>
      </c>
      <c r="AJ44" s="54">
        <v>1</v>
      </c>
      <c r="AK44" s="54">
        <v>1</v>
      </c>
      <c r="AL44" s="54">
        <v>1</v>
      </c>
      <c r="AM44" s="54">
        <v>1</v>
      </c>
      <c r="AN44" s="54">
        <v>1</v>
      </c>
      <c r="AO44" s="54">
        <v>1</v>
      </c>
      <c r="AP44" s="54">
        <v>1</v>
      </c>
      <c r="AQ44" s="10"/>
      <c r="AR44" s="10"/>
      <c r="AS44" s="10"/>
      <c r="AT44" s="10"/>
      <c r="AU44" s="10"/>
      <c r="AV44" s="10"/>
    </row>
    <row r="45" spans="1:48">
      <c r="A45" s="4" t="s">
        <v>16</v>
      </c>
      <c r="C45" s="4" t="s">
        <v>50</v>
      </c>
      <c r="E45" s="10">
        <f>SUMIF($J$3:$AV$3,E$21,$J45:$AV45)</f>
        <v>1</v>
      </c>
      <c r="F45" s="10">
        <f t="shared" si="19"/>
        <v>1.0111887641959545</v>
      </c>
      <c r="G45" s="10">
        <f t="shared" si="19"/>
        <v>1.5435118607620457</v>
      </c>
      <c r="H45" s="10">
        <f t="shared" si="19"/>
        <v>2.4424769840736511</v>
      </c>
      <c r="I45" s="10">
        <f t="shared" si="19"/>
        <v>3.6720314494993618</v>
      </c>
      <c r="J45" s="54">
        <f>INDEX(Drivers!$C$34:$AG$34,1,J21)/Drivers!$C$34</f>
        <v>1</v>
      </c>
      <c r="K45" s="54">
        <f>INDEX(Drivers!$C$34:$AG$34,1,K21)/Drivers!$C$34</f>
        <v>1.0300047039849471</v>
      </c>
      <c r="L45" s="54">
        <f>INDEX(Drivers!$C$34:$AG$34,1,L21)/Drivers!$C$34</f>
        <v>1.0458638532356697</v>
      </c>
      <c r="M45" s="54">
        <f>INDEX(Drivers!$C$34:$AG$34,1,M21)/Drivers!$C$34</f>
        <v>1.0591022108729251</v>
      </c>
      <c r="N45" s="54">
        <f>INDEX(Drivers!$C$34:$AG$34,1,N21)/Drivers!$C$34</f>
        <v>1.0650829917344264</v>
      </c>
      <c r="O45" s="54">
        <f>INDEX(Drivers!$C$34:$AG$34,1,O21)/Drivers!$C$34</f>
        <v>1.0793629460385727</v>
      </c>
      <c r="P45" s="54">
        <f>INDEX(Drivers!$C$34:$AG$34,1,P21)/Drivers!$C$34</f>
        <v>1.0944828976547274</v>
      </c>
      <c r="Q45" s="54">
        <f>INDEX(Drivers!$C$34:$AG$34,1,Q21)/Drivers!$C$34</f>
        <v>1.1004300786237484</v>
      </c>
      <c r="R45" s="54">
        <f>INDEX(Drivers!$C$34:$AG$34,1,R21)/Drivers!$C$34</f>
        <v>1.0111887641959545</v>
      </c>
      <c r="S45" s="54">
        <f>INDEX(Drivers!$C$34:$AG$34,1,S21)/Drivers!$C$34</f>
        <v>1.0539950272159131</v>
      </c>
      <c r="T45" s="54">
        <f>INDEX(Drivers!$C$34:$AG$34,1,T21)/Drivers!$C$34</f>
        <v>1.0780189503393589</v>
      </c>
      <c r="U45" s="54">
        <f>INDEX(Drivers!$C$34:$AG$34,1,U21)/Drivers!$C$34</f>
        <v>1.1061756602378874</v>
      </c>
      <c r="V45" s="54">
        <f>INDEX(Drivers!$C$34:$AG$34,1,V21)/Drivers!$C$34</f>
        <v>1.1402795511054364</v>
      </c>
      <c r="W45" s="54">
        <f>INDEX(Drivers!$C$34:$AG$34,1,W21)/Drivers!$C$34</f>
        <v>1.1759962368120422</v>
      </c>
      <c r="X45" s="54">
        <f>INDEX(Drivers!$C$34:$AG$34,1,X21)/Drivers!$C$34</f>
        <v>1.2170217055305423</v>
      </c>
      <c r="Y45" s="54">
        <f>INDEX(Drivers!$C$34:$AG$34,1,Y21)/Drivers!$C$34</f>
        <v>1.2595927693031381</v>
      </c>
      <c r="Z45" s="54">
        <f>INDEX(Drivers!$C$34:$AG$34,1,Z21)/Drivers!$C$34</f>
        <v>1.4247362408440294</v>
      </c>
      <c r="AA45" s="54">
        <f>INDEX(Drivers!$C$34:$AG$34,1,AA21)/Drivers!$C$34</f>
        <v>1.4844096498891204</v>
      </c>
      <c r="AB45" s="54">
        <f>INDEX(Drivers!$C$34:$AG$34,1,AB21)/Drivers!$C$34</f>
        <v>1.5435118607620457</v>
      </c>
      <c r="AC45" s="54">
        <f>INDEX(Drivers!$C$34:$AG$34,1,AC21)/Drivers!$C$34</f>
        <v>1.6066124588401316</v>
      </c>
      <c r="AD45" s="54">
        <f>INDEX(Drivers!$C$34:$AG$34,1,AD21)/Drivers!$C$34</f>
        <v>1.6707546535851086</v>
      </c>
      <c r="AE45" s="54">
        <f>INDEX(Drivers!$C$34:$AG$34,1,AE21)/Drivers!$C$34</f>
        <v>1.7372152409112291</v>
      </c>
      <c r="AF45" s="54">
        <f>INDEX(Drivers!$C$34:$AG$34,1,AF21)/Drivers!$C$34</f>
        <v>1.8069014179154625</v>
      </c>
      <c r="AG45" s="54">
        <f>INDEX(Drivers!$C$34:$AG$34,1,AG21)/Drivers!$C$34</f>
        <v>1.8723204085746925</v>
      </c>
      <c r="AH45" s="54">
        <f>INDEX(Drivers!$C$34:$AG$34,1,AH21)/Drivers!$C$34</f>
        <v>1.9435857805255023</v>
      </c>
      <c r="AI45" s="54">
        <f>INDEX(Drivers!$C$34:$AG$34,1,AI21)/Drivers!$C$34</f>
        <v>2.03027350312479</v>
      </c>
      <c r="AJ45" s="54">
        <f>INDEX(Drivers!$C$34:$AG$34,1,AJ21)/Drivers!$C$34</f>
        <v>2.2499496001612793</v>
      </c>
      <c r="AK45" s="54">
        <f>INDEX(Drivers!$C$34:$AG$34,1,AK21)/Drivers!$C$34</f>
        <v>2.3445668973859286</v>
      </c>
      <c r="AL45" s="54">
        <f>INDEX(Drivers!$C$34:$AG$34,1,AL21)/Drivers!$C$34</f>
        <v>2.4424769840736511</v>
      </c>
      <c r="AM45" s="54">
        <f>INDEX(Drivers!$C$34:$AG$34,1,AM21)/Drivers!$C$34</f>
        <v>3.0026879913984277</v>
      </c>
      <c r="AN45" s="54">
        <f>INDEX(Drivers!$C$34:$AG$34,1,AN21)/Drivers!$C$34</f>
        <v>3.6720314494993618</v>
      </c>
      <c r="AO45" s="37">
        <f>AN45</f>
        <v>3.6720314494993618</v>
      </c>
      <c r="AP45" s="37">
        <f>AO45</f>
        <v>3.6720314494993618</v>
      </c>
      <c r="AQ45" s="37"/>
      <c r="AR45" s="37"/>
      <c r="AS45" s="68"/>
      <c r="AT45" s="68"/>
      <c r="AU45" s="68"/>
      <c r="AV45" s="68"/>
    </row>
    <row r="46" spans="1:48">
      <c r="A46" s="4" t="s">
        <v>16</v>
      </c>
      <c r="H46" s="118">
        <f>I46^(1/40)-1</f>
        <v>3.3053134545314222E-2</v>
      </c>
      <c r="I46" s="6">
        <f>I45/E45</f>
        <v>3.6720314494993618</v>
      </c>
      <c r="L46" s="24"/>
    </row>
    <row r="47" spans="1:48" ht="15.75" thickBot="1">
      <c r="A47" s="4" t="s">
        <v>16</v>
      </c>
      <c r="C47" s="87" t="s">
        <v>213</v>
      </c>
      <c r="D47" s="87"/>
      <c r="E47" s="7">
        <v>2012</v>
      </c>
      <c r="F47" s="7">
        <v>2020</v>
      </c>
      <c r="G47" s="7">
        <v>2030</v>
      </c>
      <c r="H47" s="7">
        <v>2040</v>
      </c>
      <c r="I47" s="7">
        <v>2050</v>
      </c>
    </row>
    <row r="48" spans="1:48">
      <c r="A48" s="4" t="s">
        <v>16</v>
      </c>
      <c r="C48" s="4" t="s">
        <v>49</v>
      </c>
      <c r="D48" s="36" t="s">
        <v>55</v>
      </c>
      <c r="E48" s="88"/>
      <c r="F48" s="88">
        <f t="shared" ref="F48:I50" si="20">(F43/E43)^(1/(F$42-E$42))-1</f>
        <v>0</v>
      </c>
      <c r="G48" s="88">
        <f t="shared" si="20"/>
        <v>0</v>
      </c>
      <c r="H48" s="88">
        <f t="shared" si="20"/>
        <v>0</v>
      </c>
      <c r="I48" s="88">
        <f t="shared" si="20"/>
        <v>0</v>
      </c>
      <c r="J48" s="54"/>
      <c r="K48" s="37"/>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4" t="s">
        <v>16</v>
      </c>
      <c r="C49" s="4" t="s">
        <v>51</v>
      </c>
      <c r="E49" s="88"/>
      <c r="F49" s="88">
        <f t="shared" si="20"/>
        <v>0</v>
      </c>
      <c r="G49" s="88">
        <f t="shared" si="20"/>
        <v>0</v>
      </c>
      <c r="H49" s="88">
        <f t="shared" si="20"/>
        <v>0</v>
      </c>
      <c r="I49" s="88">
        <f t="shared" si="20"/>
        <v>0</v>
      </c>
      <c r="J49" s="54"/>
      <c r="K49" s="37"/>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4" t="s">
        <v>16</v>
      </c>
      <c r="C50" s="4" t="s">
        <v>50</v>
      </c>
      <c r="E50" s="88"/>
      <c r="F50" s="63">
        <f t="shared" si="20"/>
        <v>1.3917967753711569E-3</v>
      </c>
      <c r="G50" s="63">
        <f>(G45/F45)^(1/(G$42-F$42))-1</f>
        <v>4.3200468852294893E-2</v>
      </c>
      <c r="H50" s="63">
        <f>(H45/G45)^(1/(H$42-G$42))-1</f>
        <v>4.6964728592738592E-2</v>
      </c>
      <c r="I50" s="63">
        <f>(I45/H45)^(1/(I$42-H$42))-1</f>
        <v>4.161587732249572E-2</v>
      </c>
      <c r="J50" s="54"/>
      <c r="K50" s="37"/>
      <c r="L50" s="24"/>
      <c r="M50" s="10"/>
      <c r="O50" s="10"/>
      <c r="P50" s="10"/>
      <c r="Q50" s="10"/>
      <c r="R50" s="10"/>
      <c r="S50" s="10"/>
      <c r="T50" s="10"/>
      <c r="U50" s="10"/>
      <c r="V50" s="10"/>
      <c r="W50" s="10"/>
      <c r="Y50" s="10"/>
      <c r="Z50" s="10"/>
      <c r="AA50" s="10"/>
      <c r="AB50" s="10"/>
      <c r="AC50" s="10"/>
      <c r="AD50" s="10"/>
      <c r="AE50" s="10"/>
      <c r="AF50" s="10"/>
      <c r="AG50" s="10"/>
      <c r="AS50" s="8"/>
      <c r="AU50" s="8"/>
    </row>
    <row r="51" spans="1:47">
      <c r="A51" s="4" t="s">
        <v>16</v>
      </c>
      <c r="L51" s="24"/>
    </row>
    <row r="52" spans="1:47" ht="18" thickBot="1">
      <c r="A52" s="4" t="s">
        <v>16</v>
      </c>
      <c r="C52" s="38" t="s">
        <v>294</v>
      </c>
    </row>
    <row r="53" spans="1:47" ht="15.75" thickTop="1">
      <c r="A53" s="4" t="s">
        <v>16</v>
      </c>
      <c r="D53" s="4" t="s">
        <v>52</v>
      </c>
      <c r="E53" s="4">
        <v>100</v>
      </c>
      <c r="F53" s="4">
        <v>150</v>
      </c>
      <c r="G53" s="4">
        <v>200</v>
      </c>
      <c r="H53" s="41"/>
      <c r="J53" s="4"/>
    </row>
    <row r="54" spans="1:47">
      <c r="A54" s="4" t="s">
        <v>16</v>
      </c>
      <c r="B54" s="4">
        <f>[5]RES!$B32</f>
        <v>0</v>
      </c>
      <c r="C54" s="4" t="str">
        <f>[5]RES!A32</f>
        <v>USE the names but not the numbers in the greyed out stuff, all the balance numbers are taken directly from the energy balance sheet</v>
      </c>
      <c r="E54" s="4">
        <v>0.3</v>
      </c>
      <c r="F54" s="12">
        <v>0.25</v>
      </c>
      <c r="G54" s="12">
        <v>0.2</v>
      </c>
      <c r="H54" s="41"/>
      <c r="J54" s="4"/>
    </row>
    <row r="55" spans="1:47">
      <c r="A55" s="4" t="s">
        <v>16</v>
      </c>
      <c r="B55" s="4" t="str">
        <f>[5]RES!$B33</f>
        <v>Demand</v>
      </c>
      <c r="C55" s="4" t="str">
        <f>[5]RES!A33</f>
        <v>End use demands</v>
      </c>
      <c r="E55" s="4">
        <v>0.1</v>
      </c>
      <c r="F55" s="12">
        <v>0.1</v>
      </c>
      <c r="G55" s="12">
        <v>0.1</v>
      </c>
      <c r="H55" s="41"/>
      <c r="J55" s="4"/>
    </row>
    <row r="56" spans="1:47">
      <c r="A56" s="4" t="s">
        <v>16</v>
      </c>
      <c r="B56" s="4" t="str">
        <f>[5]RES!$B34</f>
        <v>L</v>
      </c>
      <c r="C56" s="4" t="str">
        <f>[5]RES!A34</f>
        <v>Lighting</v>
      </c>
      <c r="E56" s="4">
        <v>0.5</v>
      </c>
      <c r="F56" s="12">
        <v>0.4</v>
      </c>
      <c r="G56" s="12">
        <v>0.3</v>
      </c>
      <c r="H56" s="41"/>
      <c r="J56" s="4"/>
    </row>
    <row r="57" spans="1:47">
      <c r="A57" s="4" t="s">
        <v>16</v>
      </c>
      <c r="B57" s="4" t="str">
        <f>[5]RES!$B35</f>
        <v>K</v>
      </c>
      <c r="C57" s="4" t="str">
        <f>[5]RES!A35</f>
        <v>Cooking</v>
      </c>
      <c r="E57" s="4">
        <v>0.3</v>
      </c>
      <c r="F57" s="12">
        <v>0.25</v>
      </c>
      <c r="G57" s="12">
        <v>0.2</v>
      </c>
      <c r="H57" s="41"/>
      <c r="J57" s="4"/>
    </row>
    <row r="58" spans="1:47">
      <c r="A58" s="4" t="s">
        <v>16</v>
      </c>
      <c r="B58" s="4" t="str">
        <f>[5]RES!$B36</f>
        <v>H</v>
      </c>
      <c r="C58" s="4" t="str">
        <f>[5]RES!A36</f>
        <v>Space Heating</v>
      </c>
      <c r="E58" s="4">
        <v>0.2</v>
      </c>
      <c r="F58" s="12">
        <v>0.15</v>
      </c>
      <c r="G58" s="12">
        <v>0.1</v>
      </c>
      <c r="H58" s="41"/>
      <c r="J58" s="4"/>
    </row>
    <row r="59" spans="1:47">
      <c r="A59" s="4" t="s">
        <v>16</v>
      </c>
      <c r="B59" s="4" t="str">
        <f>[5]RES!$B37</f>
        <v>WG</v>
      </c>
      <c r="C59" s="4" t="str">
        <f>[5]RES!A37</f>
        <v>Water Heating Geyser</v>
      </c>
      <c r="E59" s="4">
        <v>0.5</v>
      </c>
      <c r="F59" s="12">
        <v>0.4</v>
      </c>
      <c r="G59" s="12">
        <v>0.3</v>
      </c>
      <c r="H59" s="41"/>
      <c r="J59" s="4"/>
    </row>
    <row r="60" spans="1:47">
      <c r="A60" s="4" t="s">
        <v>16</v>
      </c>
      <c r="B60" s="4" t="str">
        <f>[5]RES!$B38</f>
        <v>W</v>
      </c>
      <c r="C60" s="4" t="str">
        <f>[5]RES!A38</f>
        <v>Water Heating</v>
      </c>
      <c r="E60" s="4">
        <v>0</v>
      </c>
      <c r="F60" s="12">
        <v>0</v>
      </c>
      <c r="G60" s="12">
        <v>0</v>
      </c>
      <c r="H60" s="41"/>
      <c r="J60" s="4"/>
    </row>
    <row r="61" spans="1:47">
      <c r="A61" s="4" t="s">
        <v>16</v>
      </c>
      <c r="B61" s="25"/>
    </row>
    <row r="62" spans="1:47">
      <c r="A62" s="4" t="s">
        <v>16</v>
      </c>
      <c r="C62" s="5" t="str">
        <f>C52</f>
        <v>High Income Household Elasticities</v>
      </c>
    </row>
    <row r="63" spans="1:47">
      <c r="A63" s="4" t="s">
        <v>16</v>
      </c>
      <c r="C63" s="4" t="str">
        <f>C54</f>
        <v>USE the names but not the numbers in the greyed out stuff, all the balance numbers are taken directly from the energy balance sheet</v>
      </c>
      <c r="E63" s="6">
        <f t="shared" ref="E63:I69" si="21">FORECAST(E$45,$E54:$G54,$E$53:$G$53)</f>
        <v>0.39899999999999997</v>
      </c>
      <c r="F63" s="6">
        <f t="shared" si="21"/>
        <v>0.39898881123580399</v>
      </c>
      <c r="G63" s="6">
        <f t="shared" si="21"/>
        <v>0.3984564881392379</v>
      </c>
      <c r="H63" s="6">
        <f t="shared" si="21"/>
        <v>0.39755752301592634</v>
      </c>
      <c r="I63" s="6">
        <f t="shared" si="21"/>
        <v>0.39632796855050062</v>
      </c>
      <c r="J63" s="4">
        <f>IF(J$7=-1,K63,IF(J$7=99,I63,IF(J$7=0,INDEX($E63:$I63,0,J$5),(INDEX($E63:$I63,0,J$7+1)-INDEX($E63:$I63,0,J$7))/(INDEX($E$4:$I$4,0,J$7+1)-INDEX($E$4:$I$4,0,J$7))+I63)))</f>
        <v>0.39899999999999997</v>
      </c>
      <c r="K63" s="4">
        <f t="shared" ref="K63:AP63" si="22">IF(K$7=-1,L63,IF(K$7=99,J63,IF(K$7=0,INDEX($E63:$I63,0,K$5),(INDEX($E63:$I63,0,K$7+1)-INDEX($E63:$I63,0,K$7))/(INDEX($E$4:$I$4,0,K$7+1)-INDEX($E$4:$I$4,0,K$7))+J63)))</f>
        <v>0.39899860140447546</v>
      </c>
      <c r="L63" s="4">
        <f t="shared" si="22"/>
        <v>0.39899720280895096</v>
      </c>
      <c r="M63" s="4">
        <f t="shared" si="22"/>
        <v>0.39899580421342645</v>
      </c>
      <c r="N63" s="4">
        <f t="shared" si="22"/>
        <v>0.39899440561790195</v>
      </c>
      <c r="O63" s="4">
        <f t="shared" si="22"/>
        <v>0.39899300702237744</v>
      </c>
      <c r="P63" s="4">
        <f t="shared" si="22"/>
        <v>0.39899160842685294</v>
      </c>
      <c r="Q63" s="4">
        <f t="shared" si="22"/>
        <v>0.39899020983132844</v>
      </c>
      <c r="R63" s="4">
        <f t="shared" si="22"/>
        <v>0.39898881123580399</v>
      </c>
      <c r="S63" s="4">
        <f t="shared" si="22"/>
        <v>0.39893557892614739</v>
      </c>
      <c r="T63" s="4">
        <f t="shared" si="22"/>
        <v>0.3988823466164908</v>
      </c>
      <c r="U63" s="4">
        <f t="shared" si="22"/>
        <v>0.39882911430683421</v>
      </c>
      <c r="V63" s="4">
        <f t="shared" si="22"/>
        <v>0.39877588199717762</v>
      </c>
      <c r="W63" s="4">
        <f t="shared" si="22"/>
        <v>0.39872264968752102</v>
      </c>
      <c r="X63" s="4">
        <f t="shared" si="22"/>
        <v>0.39866941737786443</v>
      </c>
      <c r="Y63" s="4">
        <f t="shared" si="22"/>
        <v>0.39861618506820784</v>
      </c>
      <c r="Z63" s="4">
        <f t="shared" si="22"/>
        <v>0.39856295275855125</v>
      </c>
      <c r="AA63" s="4">
        <f t="shared" si="22"/>
        <v>0.39850972044889466</v>
      </c>
      <c r="AB63" s="4">
        <f t="shared" si="22"/>
        <v>0.3984564881392379</v>
      </c>
      <c r="AC63" s="4">
        <f t="shared" si="22"/>
        <v>0.39836659162690674</v>
      </c>
      <c r="AD63" s="4">
        <f t="shared" si="22"/>
        <v>0.39827669511457559</v>
      </c>
      <c r="AE63" s="4">
        <f t="shared" si="22"/>
        <v>0.39818679860224443</v>
      </c>
      <c r="AF63" s="4">
        <f t="shared" si="22"/>
        <v>0.39809690208991327</v>
      </c>
      <c r="AG63" s="4">
        <f t="shared" si="22"/>
        <v>0.39800700557758212</v>
      </c>
      <c r="AH63" s="4">
        <f t="shared" si="22"/>
        <v>0.39791710906525096</v>
      </c>
      <c r="AI63" s="4">
        <f t="shared" si="22"/>
        <v>0.39782721255291981</v>
      </c>
      <c r="AJ63" s="4">
        <f t="shared" si="22"/>
        <v>0.39773731604058865</v>
      </c>
      <c r="AK63" s="4">
        <f t="shared" si="22"/>
        <v>0.3976474195282575</v>
      </c>
      <c r="AL63" s="4">
        <f t="shared" si="22"/>
        <v>0.39755752301592634</v>
      </c>
      <c r="AM63" s="4">
        <f t="shared" si="22"/>
        <v>0.39743456756938378</v>
      </c>
      <c r="AN63" s="4">
        <f t="shared" si="22"/>
        <v>0.39632796855050062</v>
      </c>
      <c r="AO63" s="4">
        <f t="shared" si="22"/>
        <v>0.39632796855050062</v>
      </c>
      <c r="AP63" s="4">
        <f t="shared" si="22"/>
        <v>0.39632796855050062</v>
      </c>
    </row>
    <row r="64" spans="1:47">
      <c r="A64" s="4" t="s">
        <v>16</v>
      </c>
      <c r="C64" s="4" t="str">
        <f t="shared" ref="C64:C69" si="23">C55</f>
        <v>End use demands</v>
      </c>
      <c r="E64" s="6">
        <f t="shared" si="21"/>
        <v>0.10000000000000002</v>
      </c>
      <c r="F64" s="6">
        <f t="shared" si="21"/>
        <v>0.10000000000000002</v>
      </c>
      <c r="G64" s="6">
        <f t="shared" si="21"/>
        <v>0.10000000000000002</v>
      </c>
      <c r="H64" s="6">
        <f t="shared" si="21"/>
        <v>0.10000000000000002</v>
      </c>
      <c r="I64" s="6">
        <f t="shared" si="21"/>
        <v>0.10000000000000002</v>
      </c>
      <c r="J64" s="4">
        <f t="shared" ref="J64:AP64" si="24">IF(J$7=-1,K64,IF(J$7=99,I64,IF(J$7=0,INDEX($E64:$I64,0,J$5),(INDEX($E64:$I64,0,J$7+1)-INDEX($E64:$I64,0,J$7))/(INDEX($E$4:$I$4,0,J$7+1)-INDEX($E$4:$I$4,0,J$7))+I64)))</f>
        <v>0.10000000000000002</v>
      </c>
      <c r="K64" s="4">
        <f t="shared" si="24"/>
        <v>0.10000000000000002</v>
      </c>
      <c r="L64" s="4">
        <f t="shared" si="24"/>
        <v>0.10000000000000002</v>
      </c>
      <c r="M64" s="4">
        <f t="shared" si="24"/>
        <v>0.10000000000000002</v>
      </c>
      <c r="N64" s="4">
        <f t="shared" si="24"/>
        <v>0.10000000000000002</v>
      </c>
      <c r="O64" s="4">
        <f t="shared" si="24"/>
        <v>0.10000000000000002</v>
      </c>
      <c r="P64" s="4">
        <f t="shared" si="24"/>
        <v>0.10000000000000002</v>
      </c>
      <c r="Q64" s="4">
        <f t="shared" si="24"/>
        <v>0.10000000000000002</v>
      </c>
      <c r="R64" s="4">
        <f t="shared" si="24"/>
        <v>0.10000000000000002</v>
      </c>
      <c r="S64" s="4">
        <f t="shared" si="24"/>
        <v>0.10000000000000002</v>
      </c>
      <c r="T64" s="4">
        <f t="shared" si="24"/>
        <v>0.10000000000000002</v>
      </c>
      <c r="U64" s="4">
        <f t="shared" si="24"/>
        <v>0.10000000000000002</v>
      </c>
      <c r="V64" s="4">
        <f t="shared" si="24"/>
        <v>0.10000000000000002</v>
      </c>
      <c r="W64" s="4">
        <f t="shared" si="24"/>
        <v>0.10000000000000002</v>
      </c>
      <c r="X64" s="4">
        <f t="shared" si="24"/>
        <v>0.10000000000000002</v>
      </c>
      <c r="Y64" s="4">
        <f t="shared" si="24"/>
        <v>0.10000000000000002</v>
      </c>
      <c r="Z64" s="4">
        <f t="shared" si="24"/>
        <v>0.10000000000000002</v>
      </c>
      <c r="AA64" s="4">
        <f t="shared" si="24"/>
        <v>0.10000000000000002</v>
      </c>
      <c r="AB64" s="4">
        <f t="shared" si="24"/>
        <v>0.10000000000000002</v>
      </c>
      <c r="AC64" s="4">
        <f t="shared" si="24"/>
        <v>0.10000000000000002</v>
      </c>
      <c r="AD64" s="4">
        <f t="shared" si="24"/>
        <v>0.10000000000000002</v>
      </c>
      <c r="AE64" s="4">
        <f t="shared" si="24"/>
        <v>0.10000000000000002</v>
      </c>
      <c r="AF64" s="4">
        <f t="shared" si="24"/>
        <v>0.10000000000000002</v>
      </c>
      <c r="AG64" s="4">
        <f t="shared" si="24"/>
        <v>0.10000000000000002</v>
      </c>
      <c r="AH64" s="4">
        <f t="shared" si="24"/>
        <v>0.10000000000000002</v>
      </c>
      <c r="AI64" s="4">
        <f t="shared" si="24"/>
        <v>0.10000000000000002</v>
      </c>
      <c r="AJ64" s="4">
        <f t="shared" si="24"/>
        <v>0.10000000000000002</v>
      </c>
      <c r="AK64" s="4">
        <f t="shared" si="24"/>
        <v>0.10000000000000002</v>
      </c>
      <c r="AL64" s="4">
        <f t="shared" si="24"/>
        <v>0.10000000000000002</v>
      </c>
      <c r="AM64" s="4">
        <f t="shared" si="24"/>
        <v>0.10000000000000002</v>
      </c>
      <c r="AN64" s="4">
        <f t="shared" si="24"/>
        <v>0.10000000000000002</v>
      </c>
      <c r="AO64" s="4">
        <f t="shared" si="24"/>
        <v>0.10000000000000002</v>
      </c>
      <c r="AP64" s="4">
        <f t="shared" si="24"/>
        <v>0.10000000000000002</v>
      </c>
    </row>
    <row r="65" spans="1:42">
      <c r="A65" s="4" t="s">
        <v>16</v>
      </c>
      <c r="C65" s="4" t="str">
        <f t="shared" si="23"/>
        <v>Lighting</v>
      </c>
      <c r="E65" s="6">
        <f t="shared" si="21"/>
        <v>0.69799999999999995</v>
      </c>
      <c r="F65" s="6">
        <f t="shared" si="21"/>
        <v>0.69797762247160799</v>
      </c>
      <c r="G65" s="6">
        <f t="shared" si="21"/>
        <v>0.69691297627847582</v>
      </c>
      <c r="H65" s="6">
        <f t="shared" si="21"/>
        <v>0.6951150460318527</v>
      </c>
      <c r="I65" s="6">
        <f t="shared" si="21"/>
        <v>0.69265593710100126</v>
      </c>
      <c r="J65" s="4">
        <f t="shared" ref="J65:AP65" si="25">IF(J$7=-1,K65,IF(J$7=99,I65,IF(J$7=0,INDEX($E65:$I65,0,J$5),(INDEX($E65:$I65,0,J$7+1)-INDEX($E65:$I65,0,J$7))/(INDEX($E$4:$I$4,0,J$7+1)-INDEX($E$4:$I$4,0,J$7))+I65)))</f>
        <v>0.69799999999999995</v>
      </c>
      <c r="K65" s="4">
        <f t="shared" si="25"/>
        <v>0.69799720280895095</v>
      </c>
      <c r="L65" s="4">
        <f t="shared" si="25"/>
        <v>0.69799440561790194</v>
      </c>
      <c r="M65" s="4">
        <f t="shared" si="25"/>
        <v>0.69799160842685293</v>
      </c>
      <c r="N65" s="4">
        <f t="shared" si="25"/>
        <v>0.69798881123580392</v>
      </c>
      <c r="O65" s="4">
        <f t="shared" si="25"/>
        <v>0.69798601404475491</v>
      </c>
      <c r="P65" s="4">
        <f t="shared" si="25"/>
        <v>0.6979832168537059</v>
      </c>
      <c r="Q65" s="4">
        <f t="shared" si="25"/>
        <v>0.69798041966265689</v>
      </c>
      <c r="R65" s="4">
        <f t="shared" si="25"/>
        <v>0.69797762247160799</v>
      </c>
      <c r="S65" s="4">
        <f t="shared" si="25"/>
        <v>0.69787115785229481</v>
      </c>
      <c r="T65" s="4">
        <f t="shared" si="25"/>
        <v>0.69776469323298163</v>
      </c>
      <c r="U65" s="4">
        <f t="shared" si="25"/>
        <v>0.69765822861366844</v>
      </c>
      <c r="V65" s="4">
        <f t="shared" si="25"/>
        <v>0.69755176399435526</v>
      </c>
      <c r="W65" s="4">
        <f t="shared" si="25"/>
        <v>0.69744529937504207</v>
      </c>
      <c r="X65" s="4">
        <f t="shared" si="25"/>
        <v>0.69733883475572889</v>
      </c>
      <c r="Y65" s="4">
        <f t="shared" si="25"/>
        <v>0.6972323701364157</v>
      </c>
      <c r="Z65" s="4">
        <f t="shared" si="25"/>
        <v>0.69712590551710252</v>
      </c>
      <c r="AA65" s="4">
        <f t="shared" si="25"/>
        <v>0.69701944089778933</v>
      </c>
      <c r="AB65" s="4">
        <f t="shared" si="25"/>
        <v>0.69691297627847582</v>
      </c>
      <c r="AC65" s="4">
        <f t="shared" si="25"/>
        <v>0.6967331832538135</v>
      </c>
      <c r="AD65" s="4">
        <f t="shared" si="25"/>
        <v>0.69655339022915119</v>
      </c>
      <c r="AE65" s="4">
        <f t="shared" si="25"/>
        <v>0.69637359720448888</v>
      </c>
      <c r="AF65" s="4">
        <f t="shared" si="25"/>
        <v>0.69619380417982657</v>
      </c>
      <c r="AG65" s="4">
        <f t="shared" si="25"/>
        <v>0.69601401115516426</v>
      </c>
      <c r="AH65" s="4">
        <f t="shared" si="25"/>
        <v>0.69583421813050195</v>
      </c>
      <c r="AI65" s="4">
        <f t="shared" si="25"/>
        <v>0.69565442510583964</v>
      </c>
      <c r="AJ65" s="4">
        <f t="shared" si="25"/>
        <v>0.69547463208117732</v>
      </c>
      <c r="AK65" s="4">
        <f t="shared" si="25"/>
        <v>0.69529483905651501</v>
      </c>
      <c r="AL65" s="4">
        <f t="shared" si="25"/>
        <v>0.6951150460318527</v>
      </c>
      <c r="AM65" s="4">
        <f t="shared" si="25"/>
        <v>0.69486913513876758</v>
      </c>
      <c r="AN65" s="4">
        <f t="shared" si="25"/>
        <v>0.69265593710100126</v>
      </c>
      <c r="AO65" s="4">
        <f t="shared" si="25"/>
        <v>0.69265593710100126</v>
      </c>
      <c r="AP65" s="4">
        <f t="shared" si="25"/>
        <v>0.69265593710100126</v>
      </c>
    </row>
    <row r="66" spans="1:42">
      <c r="A66" s="4" t="s">
        <v>16</v>
      </c>
      <c r="C66" s="4" t="str">
        <f t="shared" si="23"/>
        <v>Cooking</v>
      </c>
      <c r="E66" s="6">
        <f t="shared" si="21"/>
        <v>0.39899999999999997</v>
      </c>
      <c r="F66" s="6">
        <f t="shared" si="21"/>
        <v>0.39898881123580399</v>
      </c>
      <c r="G66" s="6">
        <f t="shared" si="21"/>
        <v>0.3984564881392379</v>
      </c>
      <c r="H66" s="6">
        <f t="shared" si="21"/>
        <v>0.39755752301592634</v>
      </c>
      <c r="I66" s="6">
        <f t="shared" si="21"/>
        <v>0.39632796855050062</v>
      </c>
      <c r="J66" s="4">
        <f t="shared" ref="J66:AP66" si="26">IF(J$7=-1,K66,IF(J$7=99,I66,IF(J$7=0,INDEX($E66:$I66,0,J$5),(INDEX($E66:$I66,0,J$7+1)-INDEX($E66:$I66,0,J$7))/(INDEX($E$4:$I$4,0,J$7+1)-INDEX($E$4:$I$4,0,J$7))+I66)))</f>
        <v>0.39899999999999997</v>
      </c>
      <c r="K66" s="4">
        <f t="shared" si="26"/>
        <v>0.39899860140447546</v>
      </c>
      <c r="L66" s="4">
        <f t="shared" si="26"/>
        <v>0.39899720280895096</v>
      </c>
      <c r="M66" s="4">
        <f t="shared" si="26"/>
        <v>0.39899580421342645</v>
      </c>
      <c r="N66" s="4">
        <f t="shared" si="26"/>
        <v>0.39899440561790195</v>
      </c>
      <c r="O66" s="4">
        <f t="shared" si="26"/>
        <v>0.39899300702237744</v>
      </c>
      <c r="P66" s="4">
        <f t="shared" si="26"/>
        <v>0.39899160842685294</v>
      </c>
      <c r="Q66" s="4">
        <f t="shared" si="26"/>
        <v>0.39899020983132844</v>
      </c>
      <c r="R66" s="4">
        <f t="shared" si="26"/>
        <v>0.39898881123580399</v>
      </c>
      <c r="S66" s="4">
        <f t="shared" si="26"/>
        <v>0.39893557892614739</v>
      </c>
      <c r="T66" s="4">
        <f t="shared" si="26"/>
        <v>0.3988823466164908</v>
      </c>
      <c r="U66" s="4">
        <f t="shared" si="26"/>
        <v>0.39882911430683421</v>
      </c>
      <c r="V66" s="4">
        <f t="shared" si="26"/>
        <v>0.39877588199717762</v>
      </c>
      <c r="W66" s="4">
        <f t="shared" si="26"/>
        <v>0.39872264968752102</v>
      </c>
      <c r="X66" s="4">
        <f t="shared" si="26"/>
        <v>0.39866941737786443</v>
      </c>
      <c r="Y66" s="4">
        <f t="shared" si="26"/>
        <v>0.39861618506820784</v>
      </c>
      <c r="Z66" s="4">
        <f t="shared" si="26"/>
        <v>0.39856295275855125</v>
      </c>
      <c r="AA66" s="4">
        <f t="shared" si="26"/>
        <v>0.39850972044889466</v>
      </c>
      <c r="AB66" s="4">
        <f t="shared" si="26"/>
        <v>0.3984564881392379</v>
      </c>
      <c r="AC66" s="4">
        <f t="shared" si="26"/>
        <v>0.39836659162690674</v>
      </c>
      <c r="AD66" s="4">
        <f t="shared" si="26"/>
        <v>0.39827669511457559</v>
      </c>
      <c r="AE66" s="4">
        <f t="shared" si="26"/>
        <v>0.39818679860224443</v>
      </c>
      <c r="AF66" s="4">
        <f t="shared" si="26"/>
        <v>0.39809690208991327</v>
      </c>
      <c r="AG66" s="4">
        <f t="shared" si="26"/>
        <v>0.39800700557758212</v>
      </c>
      <c r="AH66" s="4">
        <f t="shared" si="26"/>
        <v>0.39791710906525096</v>
      </c>
      <c r="AI66" s="4">
        <f t="shared" si="26"/>
        <v>0.39782721255291981</v>
      </c>
      <c r="AJ66" s="4">
        <f t="shared" si="26"/>
        <v>0.39773731604058865</v>
      </c>
      <c r="AK66" s="4">
        <f t="shared" si="26"/>
        <v>0.3976474195282575</v>
      </c>
      <c r="AL66" s="4">
        <f t="shared" si="26"/>
        <v>0.39755752301592634</v>
      </c>
      <c r="AM66" s="4">
        <f t="shared" si="26"/>
        <v>0.39743456756938378</v>
      </c>
      <c r="AN66" s="4">
        <f t="shared" si="26"/>
        <v>0.39632796855050062</v>
      </c>
      <c r="AO66" s="4">
        <f t="shared" si="26"/>
        <v>0.39632796855050062</v>
      </c>
      <c r="AP66" s="4">
        <f t="shared" si="26"/>
        <v>0.39632796855050062</v>
      </c>
    </row>
    <row r="67" spans="1:42">
      <c r="A67" s="4" t="s">
        <v>16</v>
      </c>
      <c r="C67" s="4" t="str">
        <f t="shared" si="23"/>
        <v>Space Heating</v>
      </c>
      <c r="E67" s="6">
        <f t="shared" si="21"/>
        <v>0.29899999999999999</v>
      </c>
      <c r="F67" s="6">
        <f t="shared" si="21"/>
        <v>0.29898881123580401</v>
      </c>
      <c r="G67" s="6">
        <f t="shared" si="21"/>
        <v>0.29845648813923792</v>
      </c>
      <c r="H67" s="6">
        <f t="shared" si="21"/>
        <v>0.29755752301592636</v>
      </c>
      <c r="I67" s="6">
        <f t="shared" si="21"/>
        <v>0.29632796855050064</v>
      </c>
      <c r="J67" s="4">
        <f t="shared" ref="J67:AP67" si="27">IF(J$7=-1,K67,IF(J$7=99,I67,IF(J$7=0,INDEX($E67:$I67,0,J$5),(INDEX($E67:$I67,0,J$7+1)-INDEX($E67:$I67,0,J$7))/(INDEX($E$4:$I$4,0,J$7+1)-INDEX($E$4:$I$4,0,J$7))+I67)))</f>
        <v>0.29899999999999999</v>
      </c>
      <c r="K67" s="4">
        <f t="shared" si="27"/>
        <v>0.29899860140447548</v>
      </c>
      <c r="L67" s="4">
        <f t="shared" si="27"/>
        <v>0.29899720280895098</v>
      </c>
      <c r="M67" s="4">
        <f t="shared" si="27"/>
        <v>0.29899580421342647</v>
      </c>
      <c r="N67" s="4">
        <f t="shared" si="27"/>
        <v>0.29899440561790197</v>
      </c>
      <c r="O67" s="4">
        <f t="shared" si="27"/>
        <v>0.29899300702237747</v>
      </c>
      <c r="P67" s="4">
        <f t="shared" si="27"/>
        <v>0.29899160842685296</v>
      </c>
      <c r="Q67" s="4">
        <f t="shared" si="27"/>
        <v>0.29899020983132846</v>
      </c>
      <c r="R67" s="4">
        <f t="shared" si="27"/>
        <v>0.29898881123580401</v>
      </c>
      <c r="S67" s="4">
        <f t="shared" si="27"/>
        <v>0.29893557892614742</v>
      </c>
      <c r="T67" s="4">
        <f t="shared" si="27"/>
        <v>0.29888234661649082</v>
      </c>
      <c r="U67" s="4">
        <f t="shared" si="27"/>
        <v>0.29882911430683423</v>
      </c>
      <c r="V67" s="4">
        <f t="shared" si="27"/>
        <v>0.29877588199717764</v>
      </c>
      <c r="W67" s="4">
        <f t="shared" si="27"/>
        <v>0.29872264968752105</v>
      </c>
      <c r="X67" s="4">
        <f t="shared" si="27"/>
        <v>0.29866941737786445</v>
      </c>
      <c r="Y67" s="4">
        <f t="shared" si="27"/>
        <v>0.29861618506820786</v>
      </c>
      <c r="Z67" s="4">
        <f t="shared" si="27"/>
        <v>0.29856295275855127</v>
      </c>
      <c r="AA67" s="4">
        <f t="shared" si="27"/>
        <v>0.29850972044889468</v>
      </c>
      <c r="AB67" s="4">
        <f t="shared" si="27"/>
        <v>0.29845648813923792</v>
      </c>
      <c r="AC67" s="4">
        <f t="shared" si="27"/>
        <v>0.29836659162690676</v>
      </c>
      <c r="AD67" s="4">
        <f t="shared" si="27"/>
        <v>0.29827669511457561</v>
      </c>
      <c r="AE67" s="4">
        <f t="shared" si="27"/>
        <v>0.29818679860224445</v>
      </c>
      <c r="AF67" s="4">
        <f t="shared" si="27"/>
        <v>0.2980969020899133</v>
      </c>
      <c r="AG67" s="4">
        <f t="shared" si="27"/>
        <v>0.29800700557758214</v>
      </c>
      <c r="AH67" s="4">
        <f t="shared" si="27"/>
        <v>0.29791710906525098</v>
      </c>
      <c r="AI67" s="4">
        <f t="shared" si="27"/>
        <v>0.29782721255291983</v>
      </c>
      <c r="AJ67" s="4">
        <f t="shared" si="27"/>
        <v>0.29773731604058867</v>
      </c>
      <c r="AK67" s="4">
        <f t="shared" si="27"/>
        <v>0.29764741952825752</v>
      </c>
      <c r="AL67" s="4">
        <f t="shared" si="27"/>
        <v>0.29755752301592636</v>
      </c>
      <c r="AM67" s="4">
        <f t="shared" si="27"/>
        <v>0.2974345675693838</v>
      </c>
      <c r="AN67" s="4">
        <f t="shared" si="27"/>
        <v>0.29632796855050064</v>
      </c>
      <c r="AO67" s="4">
        <f t="shared" si="27"/>
        <v>0.29632796855050064</v>
      </c>
      <c r="AP67" s="4">
        <f t="shared" si="27"/>
        <v>0.29632796855050064</v>
      </c>
    </row>
    <row r="68" spans="1:42">
      <c r="A68" s="4" t="s">
        <v>16</v>
      </c>
      <c r="C68" s="4" t="str">
        <f t="shared" si="23"/>
        <v>Water Heating Geyser</v>
      </c>
      <c r="E68" s="6">
        <f t="shared" si="21"/>
        <v>0.69799999999999995</v>
      </c>
      <c r="F68" s="6">
        <f t="shared" si="21"/>
        <v>0.69797762247160799</v>
      </c>
      <c r="G68" s="6">
        <f t="shared" si="21"/>
        <v>0.69691297627847582</v>
      </c>
      <c r="H68" s="6">
        <f t="shared" si="21"/>
        <v>0.6951150460318527</v>
      </c>
      <c r="I68" s="6">
        <f t="shared" si="21"/>
        <v>0.69265593710100126</v>
      </c>
      <c r="J68" s="4">
        <f t="shared" ref="J68:AP68" si="28">IF(J$7=-1,K68,IF(J$7=99,I68,IF(J$7=0,INDEX($E68:$I68,0,J$5),(INDEX($E68:$I68,0,J$7+1)-INDEX($E68:$I68,0,J$7))/(INDEX($E$4:$I$4,0,J$7+1)-INDEX($E$4:$I$4,0,J$7))+I68)))</f>
        <v>0.69799999999999995</v>
      </c>
      <c r="K68" s="4">
        <f t="shared" si="28"/>
        <v>0.69799720280895095</v>
      </c>
      <c r="L68" s="4">
        <f t="shared" si="28"/>
        <v>0.69799440561790194</v>
      </c>
      <c r="M68" s="4">
        <f t="shared" si="28"/>
        <v>0.69799160842685293</v>
      </c>
      <c r="N68" s="4">
        <f t="shared" si="28"/>
        <v>0.69798881123580392</v>
      </c>
      <c r="O68" s="4">
        <f t="shared" si="28"/>
        <v>0.69798601404475491</v>
      </c>
      <c r="P68" s="4">
        <f t="shared" si="28"/>
        <v>0.6979832168537059</v>
      </c>
      <c r="Q68" s="4">
        <f t="shared" si="28"/>
        <v>0.69798041966265689</v>
      </c>
      <c r="R68" s="4">
        <f t="shared" si="28"/>
        <v>0.69797762247160799</v>
      </c>
      <c r="S68" s="4">
        <f t="shared" si="28"/>
        <v>0.69787115785229481</v>
      </c>
      <c r="T68" s="4">
        <f t="shared" si="28"/>
        <v>0.69776469323298163</v>
      </c>
      <c r="U68" s="4">
        <f t="shared" si="28"/>
        <v>0.69765822861366844</v>
      </c>
      <c r="V68" s="4">
        <f t="shared" si="28"/>
        <v>0.69755176399435526</v>
      </c>
      <c r="W68" s="4">
        <f t="shared" si="28"/>
        <v>0.69744529937504207</v>
      </c>
      <c r="X68" s="4">
        <f t="shared" si="28"/>
        <v>0.69733883475572889</v>
      </c>
      <c r="Y68" s="4">
        <f t="shared" si="28"/>
        <v>0.6972323701364157</v>
      </c>
      <c r="Z68" s="4">
        <f t="shared" si="28"/>
        <v>0.69712590551710252</v>
      </c>
      <c r="AA68" s="4">
        <f t="shared" si="28"/>
        <v>0.69701944089778933</v>
      </c>
      <c r="AB68" s="4">
        <f t="shared" si="28"/>
        <v>0.69691297627847582</v>
      </c>
      <c r="AC68" s="4">
        <f t="shared" si="28"/>
        <v>0.6967331832538135</v>
      </c>
      <c r="AD68" s="4">
        <f t="shared" si="28"/>
        <v>0.69655339022915119</v>
      </c>
      <c r="AE68" s="4">
        <f t="shared" si="28"/>
        <v>0.69637359720448888</v>
      </c>
      <c r="AF68" s="4">
        <f t="shared" si="28"/>
        <v>0.69619380417982657</v>
      </c>
      <c r="AG68" s="4">
        <f t="shared" si="28"/>
        <v>0.69601401115516426</v>
      </c>
      <c r="AH68" s="4">
        <f t="shared" si="28"/>
        <v>0.69583421813050195</v>
      </c>
      <c r="AI68" s="4">
        <f t="shared" si="28"/>
        <v>0.69565442510583964</v>
      </c>
      <c r="AJ68" s="4">
        <f t="shared" si="28"/>
        <v>0.69547463208117732</v>
      </c>
      <c r="AK68" s="4">
        <f t="shared" si="28"/>
        <v>0.69529483905651501</v>
      </c>
      <c r="AL68" s="4">
        <f t="shared" si="28"/>
        <v>0.6951150460318527</v>
      </c>
      <c r="AM68" s="4">
        <f t="shared" si="28"/>
        <v>0.69486913513876758</v>
      </c>
      <c r="AN68" s="4">
        <f t="shared" si="28"/>
        <v>0.69265593710100126</v>
      </c>
      <c r="AO68" s="4">
        <f t="shared" si="28"/>
        <v>0.69265593710100126</v>
      </c>
      <c r="AP68" s="4">
        <f t="shared" si="28"/>
        <v>0.69265593710100126</v>
      </c>
    </row>
    <row r="69" spans="1:42">
      <c r="A69" s="4" t="s">
        <v>16</v>
      </c>
      <c r="C69" s="4" t="str">
        <f t="shared" si="23"/>
        <v>Water Heating</v>
      </c>
      <c r="E69" s="6">
        <f t="shared" si="21"/>
        <v>0</v>
      </c>
      <c r="F69" s="6">
        <f t="shared" si="21"/>
        <v>0</v>
      </c>
      <c r="G69" s="6">
        <f t="shared" si="21"/>
        <v>0</v>
      </c>
      <c r="H69" s="6">
        <f t="shared" si="21"/>
        <v>0</v>
      </c>
      <c r="I69" s="6">
        <f t="shared" si="21"/>
        <v>0</v>
      </c>
      <c r="J69" s="4">
        <f t="shared" ref="J69:AP69" si="29">IF(J$7=-1,K69,IF(J$7=99,I69,IF(J$7=0,INDEX($E69:$I69,0,J$5),(INDEX($E69:$I69,0,J$7+1)-INDEX($E69:$I69,0,J$7))/(INDEX($E$4:$I$4,0,J$7+1)-INDEX($E$4:$I$4,0,J$7))+I69)))</f>
        <v>0</v>
      </c>
      <c r="K69" s="4">
        <f t="shared" si="29"/>
        <v>0</v>
      </c>
      <c r="L69" s="4">
        <f t="shared" si="29"/>
        <v>0</v>
      </c>
      <c r="M69" s="4">
        <f t="shared" si="29"/>
        <v>0</v>
      </c>
      <c r="N69" s="4">
        <f t="shared" si="29"/>
        <v>0</v>
      </c>
      <c r="O69" s="4">
        <f t="shared" si="29"/>
        <v>0</v>
      </c>
      <c r="P69" s="4">
        <f t="shared" si="29"/>
        <v>0</v>
      </c>
      <c r="Q69" s="4">
        <f t="shared" si="29"/>
        <v>0</v>
      </c>
      <c r="R69" s="4">
        <f t="shared" si="29"/>
        <v>0</v>
      </c>
      <c r="S69" s="4">
        <f t="shared" si="29"/>
        <v>0</v>
      </c>
      <c r="T69" s="4">
        <f t="shared" si="29"/>
        <v>0</v>
      </c>
      <c r="U69" s="4">
        <f t="shared" si="29"/>
        <v>0</v>
      </c>
      <c r="V69" s="4">
        <f t="shared" si="29"/>
        <v>0</v>
      </c>
      <c r="W69" s="4">
        <f t="shared" si="29"/>
        <v>0</v>
      </c>
      <c r="X69" s="4">
        <f t="shared" si="29"/>
        <v>0</v>
      </c>
      <c r="Y69" s="4">
        <f t="shared" si="29"/>
        <v>0</v>
      </c>
      <c r="Z69" s="4">
        <f t="shared" si="29"/>
        <v>0</v>
      </c>
      <c r="AA69" s="4">
        <f t="shared" si="29"/>
        <v>0</v>
      </c>
      <c r="AB69" s="4">
        <f t="shared" si="29"/>
        <v>0</v>
      </c>
      <c r="AC69" s="4">
        <f t="shared" si="29"/>
        <v>0</v>
      </c>
      <c r="AD69" s="4">
        <f t="shared" si="29"/>
        <v>0</v>
      </c>
      <c r="AE69" s="4">
        <f t="shared" si="29"/>
        <v>0</v>
      </c>
      <c r="AF69" s="4">
        <f t="shared" si="29"/>
        <v>0</v>
      </c>
      <c r="AG69" s="4">
        <f t="shared" si="29"/>
        <v>0</v>
      </c>
      <c r="AH69" s="4">
        <f t="shared" si="29"/>
        <v>0</v>
      </c>
      <c r="AI69" s="4">
        <f t="shared" si="29"/>
        <v>0</v>
      </c>
      <c r="AJ69" s="4">
        <f t="shared" si="29"/>
        <v>0</v>
      </c>
      <c r="AK69" s="4">
        <f t="shared" si="29"/>
        <v>0</v>
      </c>
      <c r="AL69" s="4">
        <f t="shared" si="29"/>
        <v>0</v>
      </c>
      <c r="AM69" s="4">
        <f t="shared" si="29"/>
        <v>0</v>
      </c>
      <c r="AN69" s="4">
        <f t="shared" si="29"/>
        <v>0</v>
      </c>
      <c r="AO69" s="4">
        <f t="shared" si="29"/>
        <v>0</v>
      </c>
      <c r="AP69" s="4">
        <f t="shared" si="29"/>
        <v>0</v>
      </c>
    </row>
    <row r="70" spans="1:42">
      <c r="A70" s="4" t="s">
        <v>16</v>
      </c>
    </row>
    <row r="71" spans="1:42" s="199" customFormat="1">
      <c r="A71" s="199" t="s">
        <v>16</v>
      </c>
      <c r="C71" s="222" t="s">
        <v>547</v>
      </c>
      <c r="D71" s="223" t="s">
        <v>548</v>
      </c>
      <c r="E71" s="224"/>
      <c r="F71" s="224"/>
      <c r="G71" s="224"/>
      <c r="H71" s="224"/>
      <c r="I71" s="224"/>
      <c r="J71" s="223"/>
      <c r="K71" s="223"/>
      <c r="L71" s="223"/>
      <c r="M71" s="223"/>
      <c r="N71" s="223"/>
    </row>
    <row r="72" spans="1:42" s="199" customFormat="1">
      <c r="A72" s="199" t="s">
        <v>16</v>
      </c>
      <c r="E72" s="200"/>
      <c r="F72" s="200"/>
      <c r="G72" s="200"/>
      <c r="H72" s="200"/>
      <c r="I72" s="200"/>
    </row>
    <row r="73" spans="1:42" s="199" customFormat="1">
      <c r="A73" s="199" t="s">
        <v>16</v>
      </c>
      <c r="E73" s="200"/>
      <c r="F73" s="200"/>
      <c r="G73" s="200"/>
      <c r="H73" s="200"/>
      <c r="I73" s="200"/>
      <c r="J73" s="199">
        <f>J94</f>
        <v>2012</v>
      </c>
      <c r="K73" s="199">
        <f t="shared" ref="K73:AP73" si="30">K94</f>
        <v>2013</v>
      </c>
      <c r="L73" s="199">
        <f t="shared" si="30"/>
        <v>2014</v>
      </c>
      <c r="M73" s="199">
        <f t="shared" si="30"/>
        <v>2015</v>
      </c>
      <c r="N73" s="199">
        <f t="shared" si="30"/>
        <v>2016</v>
      </c>
      <c r="O73" s="199">
        <f t="shared" si="30"/>
        <v>2017</v>
      </c>
      <c r="P73" s="199">
        <f t="shared" si="30"/>
        <v>2018</v>
      </c>
      <c r="Q73" s="199">
        <f t="shared" si="30"/>
        <v>2019</v>
      </c>
      <c r="R73" s="199">
        <f t="shared" si="30"/>
        <v>2020</v>
      </c>
      <c r="S73" s="199">
        <f t="shared" si="30"/>
        <v>2021</v>
      </c>
      <c r="T73" s="199">
        <f t="shared" si="30"/>
        <v>2022</v>
      </c>
      <c r="U73" s="199">
        <f t="shared" si="30"/>
        <v>2023</v>
      </c>
      <c r="V73" s="199">
        <f t="shared" si="30"/>
        <v>2024</v>
      </c>
      <c r="W73" s="199">
        <f t="shared" si="30"/>
        <v>2025</v>
      </c>
      <c r="X73" s="199">
        <f t="shared" si="30"/>
        <v>2026</v>
      </c>
      <c r="Y73" s="199">
        <f t="shared" si="30"/>
        <v>2027</v>
      </c>
      <c r="Z73" s="199">
        <f t="shared" si="30"/>
        <v>2028</v>
      </c>
      <c r="AA73" s="199">
        <f t="shared" si="30"/>
        <v>2029</v>
      </c>
      <c r="AB73" s="199">
        <f t="shared" si="30"/>
        <v>2030</v>
      </c>
      <c r="AC73" s="199">
        <f t="shared" si="30"/>
        <v>2031</v>
      </c>
      <c r="AD73" s="199">
        <f t="shared" si="30"/>
        <v>2032</v>
      </c>
      <c r="AE73" s="199">
        <f t="shared" si="30"/>
        <v>2033</v>
      </c>
      <c r="AF73" s="199">
        <f t="shared" si="30"/>
        <v>2034</v>
      </c>
      <c r="AG73" s="199">
        <f t="shared" si="30"/>
        <v>2035</v>
      </c>
      <c r="AH73" s="199">
        <f t="shared" si="30"/>
        <v>2036</v>
      </c>
      <c r="AI73" s="199">
        <f t="shared" si="30"/>
        <v>2037</v>
      </c>
      <c r="AJ73" s="199">
        <f t="shared" si="30"/>
        <v>2038</v>
      </c>
      <c r="AK73" s="199">
        <f t="shared" si="30"/>
        <v>2039</v>
      </c>
      <c r="AL73" s="199">
        <f t="shared" si="30"/>
        <v>2040</v>
      </c>
      <c r="AM73" s="199">
        <f t="shared" si="30"/>
        <v>2045</v>
      </c>
      <c r="AN73" s="199">
        <f t="shared" si="30"/>
        <v>2050</v>
      </c>
      <c r="AO73" s="199">
        <f t="shared" si="30"/>
        <v>2060</v>
      </c>
      <c r="AP73" s="199">
        <f t="shared" si="30"/>
        <v>2070</v>
      </c>
    </row>
    <row r="74" spans="1:42" s="199" customFormat="1">
      <c r="A74" s="199" t="s">
        <v>16</v>
      </c>
      <c r="C74" s="199" t="s">
        <v>549</v>
      </c>
      <c r="E74" s="200"/>
      <c r="F74" s="200"/>
      <c r="G74" s="200"/>
      <c r="H74" s="200"/>
      <c r="I74" s="200"/>
      <c r="J74" s="200">
        <f>SUM(J98,J108,J118,J127,J134)</f>
        <v>39.190283611953319</v>
      </c>
      <c r="K74" s="200">
        <f t="shared" ref="K74:AP74" si="31">SUM(K98,K108,K118,K127,K134)</f>
        <v>40.879444557824577</v>
      </c>
      <c r="L74" s="200">
        <f t="shared" si="31"/>
        <v>42.568605503695828</v>
      </c>
      <c r="M74" s="200">
        <f t="shared" si="31"/>
        <v>44.257766449567086</v>
      </c>
      <c r="N74" s="200">
        <f t="shared" si="31"/>
        <v>45.94692739543833</v>
      </c>
      <c r="O74" s="200">
        <f t="shared" si="31"/>
        <v>47.636088341309588</v>
      </c>
      <c r="P74" s="200">
        <f t="shared" ca="1" si="31"/>
        <v>51.179553962933305</v>
      </c>
      <c r="Q74" s="200">
        <f t="shared" ca="1" si="31"/>
        <v>53.014961594492476</v>
      </c>
      <c r="R74" s="200">
        <f t="shared" ca="1" si="31"/>
        <v>51.733147140767471</v>
      </c>
      <c r="S74" s="200">
        <f t="shared" ca="1" si="31"/>
        <v>54.047055324761118</v>
      </c>
      <c r="T74" s="200">
        <f t="shared" ca="1" si="31"/>
        <v>55.81082503379573</v>
      </c>
      <c r="U74" s="200">
        <f t="shared" ca="1" si="31"/>
        <v>57.722878815990931</v>
      </c>
      <c r="V74" s="200">
        <f t="shared" ca="1" si="31"/>
        <v>59.839519628570017</v>
      </c>
      <c r="W74" s="200">
        <f t="shared" ca="1" si="31"/>
        <v>61.973883864315873</v>
      </c>
      <c r="X74" s="200">
        <f t="shared" ca="1" si="31"/>
        <v>63.969337132466926</v>
      </c>
      <c r="Y74" s="200">
        <f t="shared" ca="1" si="31"/>
        <v>65.962971449590299</v>
      </c>
      <c r="Z74" s="200">
        <f t="shared" ca="1" si="31"/>
        <v>68.00941638253812</v>
      </c>
      <c r="AA74" s="200">
        <f t="shared" ca="1" si="31"/>
        <v>70.211541243194631</v>
      </c>
      <c r="AB74" s="200">
        <f t="shared" ca="1" si="31"/>
        <v>72.325412260269118</v>
      </c>
      <c r="AC74" s="200">
        <f t="shared" ca="1" si="31"/>
        <v>74.219793489570975</v>
      </c>
      <c r="AD74" s="200">
        <f t="shared" ca="1" si="31"/>
        <v>76.063650377193298</v>
      </c>
      <c r="AE74" s="200">
        <f t="shared" ca="1" si="31"/>
        <v>77.894142741114578</v>
      </c>
      <c r="AF74" s="200">
        <f t="shared" ca="1" si="31"/>
        <v>79.704771045634217</v>
      </c>
      <c r="AG74" s="200">
        <f t="shared" ca="1" si="31"/>
        <v>81.394529984220426</v>
      </c>
      <c r="AH74" s="200">
        <f t="shared" ca="1" si="31"/>
        <v>82.899504245707618</v>
      </c>
      <c r="AI74" s="200">
        <f t="shared" ca="1" si="31"/>
        <v>84.560477775776974</v>
      </c>
      <c r="AJ74" s="200">
        <f t="shared" ca="1" si="31"/>
        <v>86.100064263010267</v>
      </c>
      <c r="AK74" s="200">
        <f t="shared" ca="1" si="31"/>
        <v>87.641749192039157</v>
      </c>
      <c r="AL74" s="200">
        <f t="shared" ca="1" si="31"/>
        <v>89.156171318995234</v>
      </c>
      <c r="AM74" s="200">
        <f t="shared" ca="1" si="31"/>
        <v>95.46801450492292</v>
      </c>
      <c r="AN74" s="200">
        <f t="shared" ca="1" si="31"/>
        <v>100.04695583395532</v>
      </c>
      <c r="AO74" s="200">
        <f t="shared" ca="1" si="31"/>
        <v>100.04695583395532</v>
      </c>
      <c r="AP74" s="200">
        <f t="shared" ca="1" si="31"/>
        <v>100.04695583395532</v>
      </c>
    </row>
    <row r="75" spans="1:42" s="199" customFormat="1">
      <c r="A75" s="199" t="s">
        <v>16</v>
      </c>
      <c r="C75" s="199" t="s">
        <v>550</v>
      </c>
      <c r="D75" s="200" t="s">
        <v>487</v>
      </c>
      <c r="E75" s="225">
        <v>0.12</v>
      </c>
      <c r="F75" s="200"/>
      <c r="G75" s="200"/>
      <c r="H75" s="200"/>
      <c r="I75" s="200"/>
      <c r="M75" s="204">
        <v>0</v>
      </c>
      <c r="N75" s="204">
        <f>(($AB$75-$M$75)/($AB$73-$M$73))*(N$73-$M$73)</f>
        <v>8.0000000000000002E-3</v>
      </c>
      <c r="O75" s="204">
        <f t="shared" ref="O75:AA75" si="32">(($AB$75-$M$75)/($AB$73-$M$73))*(O$73-$M$73)</f>
        <v>1.6E-2</v>
      </c>
      <c r="P75" s="204">
        <f t="shared" si="32"/>
        <v>2.4E-2</v>
      </c>
      <c r="Q75" s="204">
        <f t="shared" si="32"/>
        <v>3.2000000000000001E-2</v>
      </c>
      <c r="R75" s="204">
        <f t="shared" si="32"/>
        <v>0.04</v>
      </c>
      <c r="S75" s="204">
        <f t="shared" si="32"/>
        <v>4.8000000000000001E-2</v>
      </c>
      <c r="T75" s="204">
        <f t="shared" si="32"/>
        <v>5.6000000000000001E-2</v>
      </c>
      <c r="U75" s="204">
        <f t="shared" si="32"/>
        <v>6.4000000000000001E-2</v>
      </c>
      <c r="V75" s="204">
        <f t="shared" si="32"/>
        <v>7.2000000000000008E-2</v>
      </c>
      <c r="W75" s="204">
        <f t="shared" si="32"/>
        <v>0.08</v>
      </c>
      <c r="X75" s="204">
        <f t="shared" si="32"/>
        <v>8.7999999999999995E-2</v>
      </c>
      <c r="Y75" s="204">
        <f t="shared" si="32"/>
        <v>9.6000000000000002E-2</v>
      </c>
      <c r="Z75" s="204">
        <f t="shared" si="32"/>
        <v>0.10400000000000001</v>
      </c>
      <c r="AA75" s="204">
        <f t="shared" si="32"/>
        <v>0.112</v>
      </c>
      <c r="AB75" s="30">
        <f>$E$75</f>
        <v>0.12</v>
      </c>
      <c r="AC75" s="204">
        <f>AB75</f>
        <v>0.12</v>
      </c>
      <c r="AD75" s="204">
        <f t="shared" ref="AD75:AP76" si="33">AC75</f>
        <v>0.12</v>
      </c>
      <c r="AE75" s="204">
        <f t="shared" si="33"/>
        <v>0.12</v>
      </c>
      <c r="AF75" s="204">
        <f t="shared" si="33"/>
        <v>0.12</v>
      </c>
      <c r="AG75" s="204">
        <f t="shared" si="33"/>
        <v>0.12</v>
      </c>
      <c r="AH75" s="204">
        <f t="shared" si="33"/>
        <v>0.12</v>
      </c>
      <c r="AI75" s="204">
        <f t="shared" si="33"/>
        <v>0.12</v>
      </c>
      <c r="AJ75" s="204">
        <f t="shared" si="33"/>
        <v>0.12</v>
      </c>
      <c r="AK75" s="204">
        <f t="shared" si="33"/>
        <v>0.12</v>
      </c>
      <c r="AL75" s="204">
        <f t="shared" si="33"/>
        <v>0.12</v>
      </c>
      <c r="AM75" s="204">
        <f t="shared" si="33"/>
        <v>0.12</v>
      </c>
      <c r="AN75" s="204">
        <f t="shared" si="33"/>
        <v>0.12</v>
      </c>
      <c r="AO75" s="204">
        <f t="shared" si="33"/>
        <v>0.12</v>
      </c>
      <c r="AP75" s="204">
        <f t="shared" si="33"/>
        <v>0.12</v>
      </c>
    </row>
    <row r="76" spans="1:42" s="199" customFormat="1">
      <c r="A76" s="199" t="s">
        <v>16</v>
      </c>
      <c r="D76" s="199" t="s">
        <v>488</v>
      </c>
      <c r="E76" s="225">
        <v>0.2</v>
      </c>
      <c r="F76" s="200"/>
      <c r="G76" s="200"/>
      <c r="H76" s="200"/>
      <c r="I76" s="200"/>
      <c r="M76" s="204">
        <v>0</v>
      </c>
      <c r="N76" s="204">
        <f>(($AB$76-$M$76)/($AB$73-$M$73))*(N$73-$M$73)</f>
        <v>1.3333333333333334E-2</v>
      </c>
      <c r="O76" s="204">
        <f t="shared" ref="O76:AA76" si="34">(($AB$76-$M$76)/($AB$73-$M$73))*(O$73-$M$73)</f>
        <v>2.6666666666666668E-2</v>
      </c>
      <c r="P76" s="204">
        <f t="shared" si="34"/>
        <v>0.04</v>
      </c>
      <c r="Q76" s="204">
        <f t="shared" si="34"/>
        <v>5.3333333333333337E-2</v>
      </c>
      <c r="R76" s="204">
        <f t="shared" si="34"/>
        <v>6.6666666666666666E-2</v>
      </c>
      <c r="S76" s="204">
        <f t="shared" si="34"/>
        <v>0.08</v>
      </c>
      <c r="T76" s="204">
        <f t="shared" si="34"/>
        <v>9.3333333333333338E-2</v>
      </c>
      <c r="U76" s="204">
        <f t="shared" si="34"/>
        <v>0.10666666666666667</v>
      </c>
      <c r="V76" s="204">
        <f t="shared" si="34"/>
        <v>0.12000000000000001</v>
      </c>
      <c r="W76" s="204">
        <f t="shared" si="34"/>
        <v>0.13333333333333333</v>
      </c>
      <c r="X76" s="204">
        <f t="shared" si="34"/>
        <v>0.14666666666666667</v>
      </c>
      <c r="Y76" s="204">
        <f t="shared" si="34"/>
        <v>0.16</v>
      </c>
      <c r="Z76" s="204">
        <f t="shared" si="34"/>
        <v>0.17333333333333334</v>
      </c>
      <c r="AA76" s="204">
        <f t="shared" si="34"/>
        <v>0.18666666666666668</v>
      </c>
      <c r="AB76" s="30">
        <f>$E$76</f>
        <v>0.2</v>
      </c>
      <c r="AC76" s="204">
        <f>AB76</f>
        <v>0.2</v>
      </c>
      <c r="AD76" s="204">
        <f t="shared" si="33"/>
        <v>0.2</v>
      </c>
      <c r="AE76" s="204">
        <f t="shared" si="33"/>
        <v>0.2</v>
      </c>
      <c r="AF76" s="204">
        <f t="shared" si="33"/>
        <v>0.2</v>
      </c>
      <c r="AG76" s="204">
        <f t="shared" si="33"/>
        <v>0.2</v>
      </c>
      <c r="AH76" s="204">
        <f t="shared" si="33"/>
        <v>0.2</v>
      </c>
      <c r="AI76" s="204">
        <f t="shared" si="33"/>
        <v>0.2</v>
      </c>
      <c r="AJ76" s="204">
        <f t="shared" si="33"/>
        <v>0.2</v>
      </c>
      <c r="AK76" s="204">
        <f t="shared" si="33"/>
        <v>0.2</v>
      </c>
      <c r="AL76" s="204">
        <f t="shared" si="33"/>
        <v>0.2</v>
      </c>
      <c r="AM76" s="204">
        <f t="shared" si="33"/>
        <v>0.2</v>
      </c>
      <c r="AN76" s="204">
        <f t="shared" si="33"/>
        <v>0.2</v>
      </c>
      <c r="AO76" s="204">
        <f t="shared" si="33"/>
        <v>0.2</v>
      </c>
      <c r="AP76" s="204">
        <f t="shared" si="33"/>
        <v>0.2</v>
      </c>
    </row>
    <row r="77" spans="1:42" s="199" customFormat="1">
      <c r="A77" s="199" t="s">
        <v>16</v>
      </c>
      <c r="C77" s="199" t="s">
        <v>551</v>
      </c>
      <c r="E77" s="200"/>
      <c r="F77" s="200"/>
      <c r="G77" s="200"/>
      <c r="H77" s="200"/>
      <c r="I77" s="200"/>
      <c r="J77" s="200">
        <f>J$74</f>
        <v>39.190283611953319</v>
      </c>
      <c r="K77" s="200">
        <f>K$74</f>
        <v>40.879444557824577</v>
      </c>
      <c r="L77" s="200">
        <f>L$74</f>
        <v>42.568605503695828</v>
      </c>
      <c r="M77" s="200">
        <f>M$74</f>
        <v>44.257766449567086</v>
      </c>
      <c r="N77" s="200">
        <f>(($M$74*(1-N$75))+((N74-$M$74)*(1-N$76)))</f>
        <v>45.570343117896847</v>
      </c>
      <c r="O77" s="200">
        <f t="shared" ref="O77:AP77" si="35">(($M$74*(1-O$75))+((O74-$M$74)*(1-O$76)))</f>
        <v>46.837875494336714</v>
      </c>
      <c r="P77" s="200">
        <f t="shared" ca="1" si="35"/>
        <v>49.840496067609045</v>
      </c>
      <c r="Q77" s="200">
        <f t="shared" ca="1" si="35"/>
        <v>51.131662660376975</v>
      </c>
      <c r="R77" s="200">
        <f t="shared" ca="1" si="35"/>
        <v>49.464477770038094</v>
      </c>
      <c r="S77" s="200">
        <f t="shared" ca="1" si="35"/>
        <v>51.139539425166376</v>
      </c>
      <c r="T77" s="200">
        <f t="shared" ca="1" si="35"/>
        <v>52.254104644758627</v>
      </c>
      <c r="U77" s="200">
        <f t="shared" ca="1" si="35"/>
        <v>53.454103110800091</v>
      </c>
      <c r="V77" s="200">
        <f t="shared" ca="1" si="35"/>
        <v>54.783150062720836</v>
      </c>
      <c r="W77" s="200">
        <f t="shared" ca="1" si="35"/>
        <v>56.071113559717332</v>
      </c>
      <c r="X77" s="200">
        <f t="shared" ca="1" si="35"/>
        <v>57.183623318079711</v>
      </c>
      <c r="Y77" s="200">
        <f t="shared" ca="1" si="35"/>
        <v>58.241393070428146</v>
      </c>
      <c r="Z77" s="200">
        <f t="shared" ca="1" si="35"/>
        <v>59.289656016734838</v>
      </c>
      <c r="AA77" s="200">
        <f t="shared" ca="1" si="35"/>
        <v>60.409966772699306</v>
      </c>
      <c r="AB77" s="200">
        <f t="shared" ca="1" si="35"/>
        <v>61.400951124180665</v>
      </c>
      <c r="AC77" s="200">
        <f t="shared" ca="1" si="35"/>
        <v>62.916456107622146</v>
      </c>
      <c r="AD77" s="200">
        <f t="shared" ca="1" si="35"/>
        <v>64.391541617720009</v>
      </c>
      <c r="AE77" s="200">
        <f t="shared" ca="1" si="35"/>
        <v>65.85593550885703</v>
      </c>
      <c r="AF77" s="200">
        <f t="shared" ca="1" si="35"/>
        <v>67.304438152472741</v>
      </c>
      <c r="AG77" s="200">
        <f t="shared" ca="1" si="35"/>
        <v>68.656245303341706</v>
      </c>
      <c r="AH77" s="200">
        <f t="shared" ca="1" si="35"/>
        <v>69.860224712531462</v>
      </c>
      <c r="AI77" s="200">
        <f t="shared" ca="1" si="35"/>
        <v>71.189003536586938</v>
      </c>
      <c r="AJ77" s="200">
        <f t="shared" ca="1" si="35"/>
        <v>72.420672726373581</v>
      </c>
      <c r="AK77" s="200">
        <f t="shared" ca="1" si="35"/>
        <v>73.65402066959669</v>
      </c>
      <c r="AL77" s="200">
        <f t="shared" ca="1" si="35"/>
        <v>74.865558371161555</v>
      </c>
      <c r="AM77" s="200">
        <f t="shared" ca="1" si="35"/>
        <v>79.915032919903695</v>
      </c>
      <c r="AN77" s="200">
        <f t="shared" ca="1" si="35"/>
        <v>83.578185983129629</v>
      </c>
      <c r="AO77" s="200">
        <f t="shared" ca="1" si="35"/>
        <v>83.578185983129629</v>
      </c>
      <c r="AP77" s="200">
        <f t="shared" ca="1" si="35"/>
        <v>83.578185983129629</v>
      </c>
    </row>
    <row r="78" spans="1:42" s="199" customFormat="1">
      <c r="A78" s="199" t="s">
        <v>16</v>
      </c>
      <c r="D78" s="199" t="s">
        <v>552</v>
      </c>
      <c r="E78" s="226">
        <f>DriversGams!A163</f>
        <v>-1</v>
      </c>
      <c r="F78" s="199" t="s">
        <v>553</v>
      </c>
      <c r="J78" s="41"/>
    </row>
    <row r="79" spans="1:42" s="199" customFormat="1">
      <c r="A79" s="199" t="s">
        <v>16</v>
      </c>
      <c r="B79" s="25"/>
      <c r="D79" s="200"/>
      <c r="F79" s="199" t="s">
        <v>554</v>
      </c>
      <c r="J79" s="41"/>
    </row>
    <row r="80" spans="1:42" s="199" customFormat="1">
      <c r="A80" s="199" t="s">
        <v>16</v>
      </c>
      <c r="B80" s="25"/>
      <c r="D80" s="200"/>
      <c r="J80" s="227">
        <f>J73</f>
        <v>2012</v>
      </c>
      <c r="K80" s="228">
        <f t="shared" ref="K80:AP80" si="36">K73</f>
        <v>2013</v>
      </c>
      <c r="L80" s="228">
        <f t="shared" si="36"/>
        <v>2014</v>
      </c>
      <c r="M80" s="228">
        <f t="shared" si="36"/>
        <v>2015</v>
      </c>
      <c r="N80" s="228">
        <f t="shared" si="36"/>
        <v>2016</v>
      </c>
      <c r="O80" s="228">
        <f t="shared" si="36"/>
        <v>2017</v>
      </c>
      <c r="P80" s="228">
        <f t="shared" si="36"/>
        <v>2018</v>
      </c>
      <c r="Q80" s="228">
        <f t="shared" si="36"/>
        <v>2019</v>
      </c>
      <c r="R80" s="228">
        <f t="shared" si="36"/>
        <v>2020</v>
      </c>
      <c r="S80" s="228">
        <f t="shared" si="36"/>
        <v>2021</v>
      </c>
      <c r="T80" s="228">
        <f t="shared" si="36"/>
        <v>2022</v>
      </c>
      <c r="U80" s="228">
        <f t="shared" si="36"/>
        <v>2023</v>
      </c>
      <c r="V80" s="228">
        <f t="shared" si="36"/>
        <v>2024</v>
      </c>
      <c r="W80" s="228">
        <f t="shared" si="36"/>
        <v>2025</v>
      </c>
      <c r="X80" s="228">
        <f t="shared" si="36"/>
        <v>2026</v>
      </c>
      <c r="Y80" s="228">
        <f t="shared" si="36"/>
        <v>2027</v>
      </c>
      <c r="Z80" s="228">
        <f t="shared" si="36"/>
        <v>2028</v>
      </c>
      <c r="AA80" s="228">
        <f t="shared" si="36"/>
        <v>2029</v>
      </c>
      <c r="AB80" s="228">
        <f t="shared" si="36"/>
        <v>2030</v>
      </c>
      <c r="AC80" s="228">
        <f t="shared" si="36"/>
        <v>2031</v>
      </c>
      <c r="AD80" s="228">
        <f t="shared" si="36"/>
        <v>2032</v>
      </c>
      <c r="AE80" s="228">
        <f t="shared" si="36"/>
        <v>2033</v>
      </c>
      <c r="AF80" s="228">
        <f t="shared" si="36"/>
        <v>2034</v>
      </c>
      <c r="AG80" s="228">
        <f t="shared" si="36"/>
        <v>2035</v>
      </c>
      <c r="AH80" s="228">
        <f t="shared" si="36"/>
        <v>2036</v>
      </c>
      <c r="AI80" s="228">
        <f t="shared" si="36"/>
        <v>2037</v>
      </c>
      <c r="AJ80" s="228">
        <f t="shared" si="36"/>
        <v>2038</v>
      </c>
      <c r="AK80" s="228">
        <f t="shared" si="36"/>
        <v>2039</v>
      </c>
      <c r="AL80" s="228">
        <f t="shared" si="36"/>
        <v>2040</v>
      </c>
      <c r="AM80" s="228">
        <f t="shared" si="36"/>
        <v>2045</v>
      </c>
      <c r="AN80" s="228">
        <f t="shared" si="36"/>
        <v>2050</v>
      </c>
      <c r="AO80" s="228">
        <f t="shared" si="36"/>
        <v>2060</v>
      </c>
      <c r="AP80" s="228">
        <f t="shared" si="36"/>
        <v>2070</v>
      </c>
    </row>
    <row r="81" spans="1:54" s="199" customFormat="1">
      <c r="A81" s="199" t="s">
        <v>16</v>
      </c>
      <c r="B81" s="25"/>
      <c r="C81" s="199" t="s">
        <v>555</v>
      </c>
      <c r="D81" s="200" t="str">
        <f>D98</f>
        <v>RLEK</v>
      </c>
      <c r="J81" s="43">
        <f>J98</f>
        <v>10.048392993864358</v>
      </c>
      <c r="K81" s="13">
        <f>K98</f>
        <v>10.416076928818626</v>
      </c>
      <c r="L81" s="13">
        <f>L98</f>
        <v>10.783760863772892</v>
      </c>
      <c r="M81" s="13">
        <f>M98</f>
        <v>11.151444798727161</v>
      </c>
      <c r="N81" s="24">
        <f t="shared" ref="N81:AP84" ca="1" si="37">OFFSET(N$33,$BB81,$J$93)/OFFSET(M$33,$BB81,$J$93)*M81</f>
        <v>11.268152815448666</v>
      </c>
      <c r="O81" s="24">
        <f t="shared" ca="1" si="37"/>
        <v>11.341791321871025</v>
      </c>
      <c r="P81" s="24">
        <f t="shared" ca="1" si="37"/>
        <v>11.380800257023543</v>
      </c>
      <c r="Q81" s="24">
        <f t="shared" ca="1" si="37"/>
        <v>11.467861009631603</v>
      </c>
      <c r="R81" s="24">
        <f t="shared" ca="1" si="37"/>
        <v>11.966476619469416</v>
      </c>
      <c r="S81" s="24">
        <f t="shared" ca="1" si="37"/>
        <v>12.346795421872145</v>
      </c>
      <c r="T81" s="24">
        <f t="shared" ca="1" si="37"/>
        <v>12.196203737560467</v>
      </c>
      <c r="U81" s="24">
        <f t="shared" ca="1" si="37"/>
        <v>12.058226377674305</v>
      </c>
      <c r="V81" s="24">
        <f t="shared" ca="1" si="37"/>
        <v>11.873653565877587</v>
      </c>
      <c r="W81" s="24">
        <f t="shared" ca="1" si="37"/>
        <v>11.664312388954869</v>
      </c>
      <c r="X81" s="24">
        <f t="shared" ca="1" si="37"/>
        <v>11.435086342864913</v>
      </c>
      <c r="Y81" s="24">
        <f t="shared" ca="1" si="37"/>
        <v>11.18290324290645</v>
      </c>
      <c r="Z81" s="24">
        <f t="shared" ca="1" si="37"/>
        <v>10.924181549863972</v>
      </c>
      <c r="AA81" s="24">
        <f t="shared" ca="1" si="37"/>
        <v>10.638465110117362</v>
      </c>
      <c r="AB81" s="24">
        <f t="shared" ca="1" si="37"/>
        <v>10.346838194806075</v>
      </c>
      <c r="AC81" s="24">
        <f t="shared" ca="1" si="37"/>
        <v>10.066355128818696</v>
      </c>
      <c r="AD81" s="24">
        <f t="shared" ca="1" si="37"/>
        <v>9.7898366864035591</v>
      </c>
      <c r="AE81" s="24">
        <f t="shared" ca="1" si="37"/>
        <v>9.5214919796400999</v>
      </c>
      <c r="AF81" s="24">
        <f t="shared" ca="1" si="37"/>
        <v>9.2594795684872047</v>
      </c>
      <c r="AG81" s="24">
        <f t="shared" ca="1" si="37"/>
        <v>9.0166974881552573</v>
      </c>
      <c r="AH81" s="24">
        <f t="shared" ca="1" si="37"/>
        <v>8.7850589238470924</v>
      </c>
      <c r="AI81" s="24">
        <f t="shared" ca="1" si="37"/>
        <v>8.5270212877391955</v>
      </c>
      <c r="AJ81" s="24">
        <f t="shared" ca="1" si="37"/>
        <v>8.2730023289484134</v>
      </c>
      <c r="AK81" s="24">
        <f t="shared" ca="1" si="37"/>
        <v>8.0322922699066588</v>
      </c>
      <c r="AL81" s="24">
        <f t="shared" ca="1" si="37"/>
        <v>7.7957770413300462</v>
      </c>
      <c r="AM81" s="24">
        <f t="shared" ca="1" si="37"/>
        <v>6.7122570946390718</v>
      </c>
      <c r="AN81" s="24">
        <f t="shared" ca="1" si="37"/>
        <v>5.8255398909879634</v>
      </c>
      <c r="AO81" s="24">
        <f t="shared" ca="1" si="37"/>
        <v>5.8255398909879634</v>
      </c>
      <c r="AP81" s="24">
        <f t="shared" ca="1" si="37"/>
        <v>5.8255398909879634</v>
      </c>
      <c r="BB81" s="199">
        <v>1</v>
      </c>
    </row>
    <row r="82" spans="1:54" s="199" customFormat="1">
      <c r="A82" s="199" t="s">
        <v>16</v>
      </c>
      <c r="B82" s="25"/>
      <c r="D82" s="200" t="str">
        <f>D108</f>
        <v>RMNL</v>
      </c>
      <c r="J82" s="43">
        <f>J108</f>
        <v>3.3422499241462768E-2</v>
      </c>
      <c r="K82" s="13">
        <f>K108</f>
        <v>4.0659252524006942E-2</v>
      </c>
      <c r="L82" s="13">
        <f>L108</f>
        <v>4.7896005806551116E-2</v>
      </c>
      <c r="M82" s="13">
        <f>M108</f>
        <v>5.513275908909529E-2</v>
      </c>
      <c r="N82" s="24">
        <f t="shared" ca="1" si="37"/>
        <v>5.6798975894271929E-2</v>
      </c>
      <c r="O82" s="24">
        <f t="shared" ca="1" si="37"/>
        <v>5.8164132916242429E-2</v>
      </c>
      <c r="P82" s="24">
        <f t="shared" ca="1" si="37"/>
        <v>5.9824435881239896E-2</v>
      </c>
      <c r="Q82" s="24">
        <f t="shared" ca="1" si="37"/>
        <v>6.1679152984915102E-2</v>
      </c>
      <c r="R82" s="24">
        <f t="shared" ca="1" si="37"/>
        <v>6.5256876820925874E-2</v>
      </c>
      <c r="S82" s="24">
        <f t="shared" ca="1" si="37"/>
        <v>6.304958591819497E-2</v>
      </c>
      <c r="T82" s="24">
        <f t="shared" ca="1" si="37"/>
        <v>6.4839052604952221E-2</v>
      </c>
      <c r="U82" s="24">
        <f t="shared" ca="1" si="37"/>
        <v>6.6377342376944426E-2</v>
      </c>
      <c r="V82" s="24">
        <f t="shared" ca="1" si="37"/>
        <v>6.7945013195598578E-2</v>
      </c>
      <c r="W82" s="24">
        <f t="shared" ca="1" si="37"/>
        <v>6.9661961376385459E-2</v>
      </c>
      <c r="X82" s="24">
        <f t="shared" ca="1" si="37"/>
        <v>7.1336724511265784E-2</v>
      </c>
      <c r="Y82" s="24">
        <f t="shared" ca="1" si="37"/>
        <v>7.3167434018174479E-2</v>
      </c>
      <c r="Z82" s="24">
        <f t="shared" ca="1" si="37"/>
        <v>7.4978683904514523E-2</v>
      </c>
      <c r="AA82" s="24">
        <f t="shared" ca="1" si="37"/>
        <v>7.6749369686711047E-2</v>
      </c>
      <c r="AB82" s="24">
        <f t="shared" ca="1" si="37"/>
        <v>7.8692924328787259E-2</v>
      </c>
      <c r="AC82" s="24">
        <f t="shared" ca="1" si="37"/>
        <v>8.0151366239301275E-2</v>
      </c>
      <c r="AD82" s="24">
        <f t="shared" ca="1" si="37"/>
        <v>8.1651219760626781E-2</v>
      </c>
      <c r="AE82" s="24">
        <f t="shared" ca="1" si="37"/>
        <v>8.3115983707706453E-2</v>
      </c>
      <c r="AF82" s="24">
        <f t="shared" ca="1" si="37"/>
        <v>8.4567112814758816E-2</v>
      </c>
      <c r="AG82" s="24">
        <f t="shared" ca="1" si="37"/>
        <v>8.6072461185761784E-2</v>
      </c>
      <c r="AH82" s="24">
        <f t="shared" ca="1" si="37"/>
        <v>8.7463877436317894E-2</v>
      </c>
      <c r="AI82" s="24">
        <f t="shared" ca="1" si="37"/>
        <v>8.8783562040808048E-2</v>
      </c>
      <c r="AJ82" s="24">
        <f t="shared" ca="1" si="37"/>
        <v>9.0244896090188612E-2</v>
      </c>
      <c r="AK82" s="24">
        <f t="shared" ca="1" si="37"/>
        <v>9.162103564614546E-2</v>
      </c>
      <c r="AL82" s="24">
        <f t="shared" ca="1" si="37"/>
        <v>9.3007227560909705E-2</v>
      </c>
      <c r="AM82" s="24">
        <f t="shared" ca="1" si="37"/>
        <v>0.10224003633640935</v>
      </c>
      <c r="AN82" s="24">
        <f t="shared" ca="1" si="37"/>
        <v>0.11152895352436454</v>
      </c>
      <c r="AO82" s="24">
        <f t="shared" ca="1" si="37"/>
        <v>0.11152895352436454</v>
      </c>
      <c r="AP82" s="24">
        <f t="shared" ca="1" si="37"/>
        <v>0.11152895352436454</v>
      </c>
      <c r="BB82" s="199">
        <v>2</v>
      </c>
    </row>
    <row r="83" spans="1:54" s="199" customFormat="1">
      <c r="A83" s="199" t="s">
        <v>16</v>
      </c>
      <c r="B83" s="25"/>
      <c r="D83" s="200" t="str">
        <f>D118</f>
        <v>RHEL</v>
      </c>
      <c r="J83" s="43">
        <f>J118</f>
        <v>29.108468118847501</v>
      </c>
      <c r="K83" s="13">
        <f>K118</f>
        <v>30.422708376481943</v>
      </c>
      <c r="L83" s="13">
        <f>L118</f>
        <v>31.736948634116384</v>
      </c>
      <c r="M83" s="13">
        <f>M118</f>
        <v>33.051188891750826</v>
      </c>
      <c r="N83" s="24">
        <f ca="1">OFFSET(N$33,$BB83,$J$93)/OFFSET(M$33,$BB83,$J$93)*M83</f>
        <v>34.771660731869375</v>
      </c>
      <c r="O83" s="24">
        <f t="shared" ca="1" si="37"/>
        <v>37.067903028540435</v>
      </c>
      <c r="P83" s="24">
        <f t="shared" ca="1" si="37"/>
        <v>39.364620621212879</v>
      </c>
      <c r="Q83" s="24">
        <f t="shared" ca="1" si="37"/>
        <v>41.277195988374004</v>
      </c>
      <c r="R83" s="24">
        <f t="shared" ca="1" si="37"/>
        <v>39.655468748375419</v>
      </c>
      <c r="S83" s="24">
        <f t="shared" ca="1" si="37"/>
        <v>41.666787811297318</v>
      </c>
      <c r="T83" s="24">
        <f t="shared" ca="1" si="37"/>
        <v>43.654103844471599</v>
      </c>
      <c r="U83" s="24">
        <f t="shared" ca="1" si="37"/>
        <v>45.774760571551965</v>
      </c>
      <c r="V83" s="24">
        <f t="shared" ca="1" si="37"/>
        <v>48.14304576571876</v>
      </c>
      <c r="W83" s="24">
        <f t="shared" ca="1" si="37"/>
        <v>50.54994589288998</v>
      </c>
      <c r="X83" s="24">
        <f t="shared" ca="1" si="37"/>
        <v>52.833912713153552</v>
      </c>
      <c r="Y83" s="24">
        <f t="shared" ca="1" si="37"/>
        <v>55.134508557249859</v>
      </c>
      <c r="Z83" s="24">
        <f t="shared" ca="1" si="37"/>
        <v>57.490509519498403</v>
      </c>
      <c r="AA83" s="24">
        <f t="shared" ca="1" si="37"/>
        <v>60.02420143619883</v>
      </c>
      <c r="AB83" s="24">
        <f t="shared" ca="1" si="37"/>
        <v>62.471129178687683</v>
      </c>
      <c r="AC83" s="24">
        <f t="shared" ca="1" si="37"/>
        <v>64.684667086584511</v>
      </c>
      <c r="AD83" s="24">
        <f t="shared" ca="1" si="37"/>
        <v>66.840208976427022</v>
      </c>
      <c r="AE83" s="24">
        <f t="shared" ca="1" si="37"/>
        <v>68.971212249123553</v>
      </c>
      <c r="AF83" s="24">
        <f t="shared" ca="1" si="37"/>
        <v>71.073048955500539</v>
      </c>
      <c r="AG83" s="24">
        <f t="shared" ca="1" si="37"/>
        <v>73.032967873996682</v>
      </c>
      <c r="AH83" s="24">
        <f t="shared" ca="1" si="37"/>
        <v>74.794959576793289</v>
      </c>
      <c r="AI83" s="24">
        <f t="shared" ca="1" si="37"/>
        <v>76.734057596838767</v>
      </c>
      <c r="AJ83" s="24">
        <f t="shared" ca="1" si="37"/>
        <v>78.544860938913715</v>
      </c>
      <c r="AK83" s="24">
        <f t="shared" ca="1" si="37"/>
        <v>80.342859335203016</v>
      </c>
      <c r="AL83" s="24">
        <f t="shared" ca="1" si="37"/>
        <v>82.106978604647452</v>
      </c>
      <c r="AM83" s="24">
        <f t="shared" ca="1" si="37"/>
        <v>89.53829028566625</v>
      </c>
      <c r="AN83" s="24">
        <f t="shared" ca="1" si="37"/>
        <v>95.010873734232078</v>
      </c>
      <c r="AO83" s="24">
        <f t="shared" ca="1" si="37"/>
        <v>95.010873734232078</v>
      </c>
      <c r="AP83" s="24">
        <f t="shared" ca="1" si="37"/>
        <v>95.010873734232078</v>
      </c>
      <c r="BB83" s="199">
        <v>3</v>
      </c>
    </row>
    <row r="84" spans="1:54" s="199" customFormat="1">
      <c r="A84" s="199" t="s">
        <v>16</v>
      </c>
      <c r="B84" s="25"/>
      <c r="D84" s="200">
        <f>D127</f>
        <v>0</v>
      </c>
      <c r="J84" s="43">
        <f>J127</f>
        <v>0</v>
      </c>
      <c r="K84" s="13">
        <f>K127</f>
        <v>0</v>
      </c>
      <c r="L84" s="13">
        <f>L127</f>
        <v>0</v>
      </c>
      <c r="M84" s="13">
        <f>M127</f>
        <v>0</v>
      </c>
      <c r="N84" s="24">
        <f ca="1">OFFSET(N$33,$BB84,$J$93)/OFFSET(M$33,$BB84,$J$93)*M84</f>
        <v>0</v>
      </c>
      <c r="O84" s="24">
        <f t="shared" ca="1" si="37"/>
        <v>0</v>
      </c>
      <c r="P84" s="24">
        <f t="shared" ca="1" si="37"/>
        <v>0</v>
      </c>
      <c r="Q84" s="24">
        <f t="shared" ca="1" si="37"/>
        <v>0</v>
      </c>
      <c r="R84" s="24">
        <f t="shared" ca="1" si="37"/>
        <v>0</v>
      </c>
      <c r="S84" s="24">
        <f t="shared" ca="1" si="37"/>
        <v>0</v>
      </c>
      <c r="T84" s="24">
        <f t="shared" ca="1" si="37"/>
        <v>0</v>
      </c>
      <c r="U84" s="24">
        <f t="shared" ca="1" si="37"/>
        <v>0</v>
      </c>
      <c r="V84" s="24">
        <f t="shared" ca="1" si="37"/>
        <v>0</v>
      </c>
      <c r="W84" s="24">
        <f t="shared" ca="1" si="37"/>
        <v>0</v>
      </c>
      <c r="X84" s="24">
        <f t="shared" ca="1" si="37"/>
        <v>0</v>
      </c>
      <c r="Y84" s="24">
        <f t="shared" ca="1" si="37"/>
        <v>0</v>
      </c>
      <c r="Z84" s="24">
        <f t="shared" ca="1" si="37"/>
        <v>0</v>
      </c>
      <c r="AA84" s="24">
        <f t="shared" ca="1" si="37"/>
        <v>0</v>
      </c>
      <c r="AB84" s="24">
        <f t="shared" ca="1" si="37"/>
        <v>0</v>
      </c>
      <c r="AC84" s="24">
        <f t="shared" ca="1" si="37"/>
        <v>0</v>
      </c>
      <c r="AD84" s="24">
        <f t="shared" ca="1" si="37"/>
        <v>0</v>
      </c>
      <c r="AE84" s="24">
        <f t="shared" ca="1" si="37"/>
        <v>0</v>
      </c>
      <c r="AF84" s="24">
        <f t="shared" ca="1" si="37"/>
        <v>0</v>
      </c>
      <c r="AG84" s="24">
        <f t="shared" ca="1" si="37"/>
        <v>0</v>
      </c>
      <c r="AH84" s="24">
        <f t="shared" ca="1" si="37"/>
        <v>0</v>
      </c>
      <c r="AI84" s="24">
        <f t="shared" ca="1" si="37"/>
        <v>0</v>
      </c>
      <c r="AJ84" s="24">
        <f t="shared" ca="1" si="37"/>
        <v>0</v>
      </c>
      <c r="AK84" s="24">
        <f t="shared" ca="1" si="37"/>
        <v>0</v>
      </c>
      <c r="AL84" s="24">
        <f t="shared" ca="1" si="37"/>
        <v>0</v>
      </c>
      <c r="AM84" s="24">
        <f t="shared" ca="1" si="37"/>
        <v>0</v>
      </c>
      <c r="AN84" s="24">
        <f t="shared" ca="1" si="37"/>
        <v>0</v>
      </c>
      <c r="AO84" s="24">
        <f t="shared" ca="1" si="37"/>
        <v>0</v>
      </c>
      <c r="AP84" s="24">
        <f t="shared" ca="1" si="37"/>
        <v>0</v>
      </c>
      <c r="BB84" s="199">
        <v>4</v>
      </c>
    </row>
    <row r="85" spans="1:54" s="199" customFormat="1">
      <c r="A85" s="199" t="s">
        <v>16</v>
      </c>
      <c r="B85" s="25"/>
      <c r="D85" s="200">
        <f>D134</f>
        <v>0</v>
      </c>
      <c r="J85" s="43">
        <f>J134</f>
        <v>0</v>
      </c>
      <c r="K85" s="13">
        <f>K134</f>
        <v>0</v>
      </c>
      <c r="L85" s="13">
        <f>L134</f>
        <v>0</v>
      </c>
      <c r="M85" s="13">
        <f>M134</f>
        <v>0</v>
      </c>
      <c r="N85" s="24">
        <f ca="1">OFFSET(N$33,$BB85,$J$93)/(OFFSET(M$33,$BB85,$J$93)+0.000001)*M85</f>
        <v>0</v>
      </c>
      <c r="O85" s="24">
        <f t="shared" ref="O85:AM85" ca="1" si="38">OFFSET(O$33,$BB85,$J$93)/(OFFSET(N$33,$BB85,$J$93)+0.000001)*N85</f>
        <v>0</v>
      </c>
      <c r="P85" s="24">
        <f t="shared" ca="1" si="38"/>
        <v>0</v>
      </c>
      <c r="Q85" s="24">
        <f t="shared" ca="1" si="38"/>
        <v>0</v>
      </c>
      <c r="R85" s="24">
        <f t="shared" ca="1" si="38"/>
        <v>0</v>
      </c>
      <c r="S85" s="24">
        <f t="shared" ca="1" si="38"/>
        <v>0</v>
      </c>
      <c r="T85" s="24">
        <f t="shared" ca="1" si="38"/>
        <v>0</v>
      </c>
      <c r="U85" s="24">
        <f t="shared" ca="1" si="38"/>
        <v>0</v>
      </c>
      <c r="V85" s="24">
        <f t="shared" ca="1" si="38"/>
        <v>0</v>
      </c>
      <c r="W85" s="24">
        <f t="shared" ca="1" si="38"/>
        <v>0</v>
      </c>
      <c r="X85" s="24">
        <f t="shared" ca="1" si="38"/>
        <v>0</v>
      </c>
      <c r="Y85" s="24">
        <f t="shared" ca="1" si="38"/>
        <v>0</v>
      </c>
      <c r="Z85" s="24">
        <f t="shared" ca="1" si="38"/>
        <v>0</v>
      </c>
      <c r="AA85" s="24">
        <f t="shared" ca="1" si="38"/>
        <v>0</v>
      </c>
      <c r="AB85" s="24">
        <f t="shared" ca="1" si="38"/>
        <v>0</v>
      </c>
      <c r="AC85" s="24">
        <f t="shared" ca="1" si="38"/>
        <v>0</v>
      </c>
      <c r="AD85" s="24">
        <f t="shared" ca="1" si="38"/>
        <v>0</v>
      </c>
      <c r="AE85" s="24">
        <f t="shared" ca="1" si="38"/>
        <v>0</v>
      </c>
      <c r="AF85" s="24">
        <f t="shared" ca="1" si="38"/>
        <v>0</v>
      </c>
      <c r="AG85" s="24">
        <f t="shared" ca="1" si="38"/>
        <v>0</v>
      </c>
      <c r="AH85" s="24">
        <f t="shared" ca="1" si="38"/>
        <v>0</v>
      </c>
      <c r="AI85" s="24">
        <f t="shared" ca="1" si="38"/>
        <v>0</v>
      </c>
      <c r="AJ85" s="24">
        <f t="shared" ca="1" si="38"/>
        <v>0</v>
      </c>
      <c r="AK85" s="24">
        <f t="shared" ca="1" si="38"/>
        <v>0</v>
      </c>
      <c r="AL85" s="24">
        <f t="shared" ca="1" si="38"/>
        <v>0</v>
      </c>
      <c r="AM85" s="24">
        <f t="shared" ca="1" si="38"/>
        <v>0</v>
      </c>
      <c r="AN85" s="24">
        <f ca="1">OFFSET(AN$33,$BB85,$J$93)/(OFFSET(AM$33,$BB85,$J$93)+0.000001)*AM85</f>
        <v>0</v>
      </c>
      <c r="AO85" s="24">
        <f ca="1">OFFSET(AO$33,$BB85,$J$93)/(OFFSET(AN$33,$BB85,$J$93)+0.000001)*AN85</f>
        <v>0</v>
      </c>
      <c r="AP85" s="24">
        <f ca="1">OFFSET(AP$33,$BB85,$J$93)/(OFFSET(AO$33,$BB85,$J$93)+0.000001)*AO85</f>
        <v>0</v>
      </c>
      <c r="BB85" s="199">
        <v>5</v>
      </c>
    </row>
    <row r="86" spans="1:54" s="199" customFormat="1">
      <c r="A86" s="199" t="s">
        <v>16</v>
      </c>
      <c r="B86" s="25"/>
    </row>
    <row r="87" spans="1:54" s="199" customFormat="1">
      <c r="A87" s="199" t="s">
        <v>16</v>
      </c>
      <c r="B87" s="25"/>
      <c r="C87" s="199" t="s">
        <v>556</v>
      </c>
      <c r="D87" s="200" t="str">
        <f>D81</f>
        <v>RLEK</v>
      </c>
      <c r="J87" s="43">
        <f>J81</f>
        <v>10.048392993864358</v>
      </c>
      <c r="K87" s="13">
        <f>K81</f>
        <v>10.416076928818626</v>
      </c>
      <c r="L87" s="13">
        <f>L81</f>
        <v>10.783760863772892</v>
      </c>
      <c r="M87" s="13">
        <f>M81</f>
        <v>11.151444798727161</v>
      </c>
      <c r="N87" s="200">
        <f ca="1">(($M$81*(1-N$75))+((N81-$M$81)*(1-N$76)))</f>
        <v>11.177385150169229</v>
      </c>
      <c r="O87" s="200">
        <f t="shared" ref="O87:AP87" ca="1" si="39">(($M$81*(1-O$75))+((O81-$M$81)*(1-O$76)))</f>
        <v>11.158292297807552</v>
      </c>
      <c r="P87" s="200">
        <f t="shared" ca="1" si="39"/>
        <v>11.103991363522235</v>
      </c>
      <c r="Q87" s="200">
        <f t="shared" ca="1" si="39"/>
        <v>11.094139244824097</v>
      </c>
      <c r="R87" s="200">
        <f t="shared" ca="1" si="39"/>
        <v>11.466083372804178</v>
      </c>
      <c r="S87" s="200">
        <f t="shared" ca="1" si="39"/>
        <v>11.715898021681642</v>
      </c>
      <c r="T87" s="200">
        <f t="shared" ca="1" si="39"/>
        <v>11.474211994540637</v>
      </c>
      <c r="U87" s="200">
        <f t="shared" ca="1" si="39"/>
        <v>11.247810542134737</v>
      </c>
      <c r="V87" s="200">
        <f t="shared" ca="1" si="39"/>
        <v>10.984084488311179</v>
      </c>
      <c r="W87" s="200">
        <f t="shared" ca="1" si="39"/>
        <v>10.703814459693001</v>
      </c>
      <c r="X87" s="200">
        <f t="shared" ca="1" si="39"/>
        <v>10.412158440770053</v>
      </c>
      <c r="Y87" s="200">
        <f t="shared" ca="1" si="39"/>
        <v>10.107331191159957</v>
      </c>
      <c r="Z87" s="200">
        <f t="shared" ca="1" si="39"/>
        <v>9.8038235872659669</v>
      </c>
      <c r="AA87" s="200">
        <f t="shared" ca="1" si="39"/>
        <v>9.4852595012004155</v>
      </c>
      <c r="AB87" s="200">
        <f t="shared" ca="1" si="39"/>
        <v>9.1695861397430338</v>
      </c>
      <c r="AC87" s="200">
        <f t="shared" ca="1" si="39"/>
        <v>8.9451996869531296</v>
      </c>
      <c r="AD87" s="200">
        <f t="shared" ca="1" si="39"/>
        <v>8.7239849330210202</v>
      </c>
      <c r="AE87" s="200">
        <f t="shared" ca="1" si="39"/>
        <v>8.5093091676102528</v>
      </c>
      <c r="AF87" s="200">
        <f t="shared" ca="1" si="39"/>
        <v>8.2996992386879374</v>
      </c>
      <c r="AG87" s="200">
        <f t="shared" ca="1" si="39"/>
        <v>8.1054735744223798</v>
      </c>
      <c r="AH87" s="200">
        <f t="shared" ca="1" si="39"/>
        <v>7.9201627229758476</v>
      </c>
      <c r="AI87" s="200">
        <f t="shared" ca="1" si="39"/>
        <v>7.7137326140895297</v>
      </c>
      <c r="AJ87" s="200">
        <f t="shared" ca="1" si="39"/>
        <v>7.5105174470569036</v>
      </c>
      <c r="AK87" s="200">
        <f t="shared" ca="1" si="39"/>
        <v>7.317949399823501</v>
      </c>
      <c r="AL87" s="200">
        <f t="shared" ca="1" si="39"/>
        <v>7.128737216962211</v>
      </c>
      <c r="AM87" s="200">
        <f t="shared" ca="1" si="39"/>
        <v>6.2619212596094309</v>
      </c>
      <c r="AN87" s="200">
        <f t="shared" ca="1" si="39"/>
        <v>5.5525474966885442</v>
      </c>
      <c r="AO87" s="200">
        <f t="shared" ca="1" si="39"/>
        <v>5.5525474966885442</v>
      </c>
      <c r="AP87" s="200">
        <f t="shared" ca="1" si="39"/>
        <v>5.5525474966885442</v>
      </c>
    </row>
    <row r="88" spans="1:54" s="199" customFormat="1">
      <c r="A88" s="199" t="s">
        <v>16</v>
      </c>
      <c r="B88" s="25"/>
      <c r="D88" s="200" t="str">
        <f>D82</f>
        <v>RMNL</v>
      </c>
      <c r="J88" s="43">
        <f t="shared" ref="J88:M91" si="40">J82</f>
        <v>3.3422499241462768E-2</v>
      </c>
      <c r="K88" s="13">
        <f t="shared" si="40"/>
        <v>4.0659252524006942E-2</v>
      </c>
      <c r="L88" s="13">
        <f t="shared" si="40"/>
        <v>4.7896005806551116E-2</v>
      </c>
      <c r="M88" s="13">
        <f t="shared" si="40"/>
        <v>5.513275908909529E-2</v>
      </c>
      <c r="N88" s="200">
        <f ca="1">(($M$82*(1-N$75))+((N82-$M$82)*(1-N$76)))</f>
        <v>5.6335697597490145E-2</v>
      </c>
      <c r="O88" s="200">
        <f t="shared" ref="O88:AP88" ca="1" si="41">(($M$82*(1-O$75))+((O82-$M$82)*(1-O$76)))</f>
        <v>5.7201172135426318E-2</v>
      </c>
      <c r="P88" s="200">
        <f t="shared" ca="1" si="41"/>
        <v>5.8313582591415822E-2</v>
      </c>
      <c r="Q88" s="200">
        <f t="shared" ca="1" si="41"/>
        <v>5.9565763686287E-2</v>
      </c>
      <c r="R88" s="200">
        <f t="shared" ca="1" si="41"/>
        <v>6.2376625275240023E-2</v>
      </c>
      <c r="S88" s="200">
        <f t="shared" ca="1" si="41"/>
        <v>5.9769867335590421E-2</v>
      </c>
      <c r="T88" s="200">
        <f t="shared" ca="1" si="41"/>
        <v>6.084569736781624E-2</v>
      </c>
      <c r="U88" s="200">
        <f t="shared" ca="1" si="41"/>
        <v>6.1649423577871745E-2</v>
      </c>
      <c r="V88" s="200">
        <f t="shared" ca="1" si="41"/>
        <v>6.2437984048403318E-2</v>
      </c>
      <c r="W88" s="200">
        <f t="shared" ca="1" si="41"/>
        <v>6.3314113677619147E-2</v>
      </c>
      <c r="X88" s="200">
        <f t="shared" ca="1" si="41"/>
        <v>6.4108460116173729E-2</v>
      </c>
      <c r="Y88" s="200">
        <f t="shared" ca="1" si="41"/>
        <v>6.4989141156968661E-2</v>
      </c>
      <c r="Z88" s="200">
        <f t="shared" ca="1" si="41"/>
        <v>6.5804916657909274E-2</v>
      </c>
      <c r="AA88" s="200">
        <f t="shared" ca="1" si="41"/>
        <v>6.6539400023844092E-2</v>
      </c>
      <c r="AB88" s="200">
        <f t="shared" ca="1" si="41"/>
        <v>6.7364960190157433E-2</v>
      </c>
      <c r="AC88" s="200">
        <f t="shared" ca="1" si="41"/>
        <v>6.8531713718568643E-2</v>
      </c>
      <c r="AD88" s="200">
        <f t="shared" ca="1" si="41"/>
        <v>6.9731596535629048E-2</v>
      </c>
      <c r="AE88" s="200">
        <f t="shared" ca="1" si="41"/>
        <v>7.0903407693292786E-2</v>
      </c>
      <c r="AF88" s="200">
        <f t="shared" ca="1" si="41"/>
        <v>7.2064310978934676E-2</v>
      </c>
      <c r="AG88" s="200">
        <f t="shared" ca="1" si="41"/>
        <v>7.3268589675737059E-2</v>
      </c>
      <c r="AH88" s="200">
        <f t="shared" ca="1" si="41"/>
        <v>7.4381722676181941E-2</v>
      </c>
      <c r="AI88" s="200">
        <f t="shared" ca="1" si="41"/>
        <v>7.5437470359774064E-2</v>
      </c>
      <c r="AJ88" s="200">
        <f t="shared" ca="1" si="41"/>
        <v>7.6606537599278518E-2</v>
      </c>
      <c r="AK88" s="200">
        <f t="shared" ca="1" si="41"/>
        <v>7.7707449244043991E-2</v>
      </c>
      <c r="AL88" s="200">
        <f t="shared" ca="1" si="41"/>
        <v>7.8816402775855388E-2</v>
      </c>
      <c r="AM88" s="200">
        <f t="shared" ca="1" si="41"/>
        <v>8.620264979625511E-2</v>
      </c>
      <c r="AN88" s="200">
        <f t="shared" ca="1" si="41"/>
        <v>9.3633783546619262E-2</v>
      </c>
      <c r="AO88" s="200">
        <f t="shared" ca="1" si="41"/>
        <v>9.3633783546619262E-2</v>
      </c>
      <c r="AP88" s="200">
        <f t="shared" ca="1" si="41"/>
        <v>9.3633783546619262E-2</v>
      </c>
    </row>
    <row r="89" spans="1:54" s="199" customFormat="1">
      <c r="A89" s="199" t="s">
        <v>16</v>
      </c>
      <c r="B89" s="25"/>
      <c r="D89" s="200" t="str">
        <f>D83</f>
        <v>RHEL</v>
      </c>
      <c r="J89" s="43">
        <f t="shared" si="40"/>
        <v>29.108468118847501</v>
      </c>
      <c r="K89" s="13">
        <f t="shared" si="40"/>
        <v>30.422708376481943</v>
      </c>
      <c r="L89" s="13">
        <f t="shared" si="40"/>
        <v>31.736948634116384</v>
      </c>
      <c r="M89" s="13">
        <f t="shared" si="40"/>
        <v>33.051188891750826</v>
      </c>
      <c r="N89" s="200">
        <f ca="1">(($M$83*(1-N$75))+((N83-$M$83)*(1-N$76)))</f>
        <v>34.484311596200456</v>
      </c>
      <c r="O89" s="200">
        <f t="shared" ref="O89:AP89" ca="1" si="42">(($M$83*(1-O$75))+((O83-$M$83)*(1-O$76)))</f>
        <v>36.431971629291361</v>
      </c>
      <c r="P89" s="200">
        <f t="shared" ca="1" si="42"/>
        <v>38.318854818632374</v>
      </c>
      <c r="Q89" s="200">
        <f t="shared" ca="1" si="42"/>
        <v>39.780837565351405</v>
      </c>
      <c r="R89" s="200">
        <f t="shared" ca="1" si="42"/>
        <v>37.893135868930415</v>
      </c>
      <c r="S89" s="200">
        <f t="shared" ca="1" si="42"/>
        <v>39.391082830929562</v>
      </c>
      <c r="T89" s="200">
        <f t="shared" ca="1" si="42"/>
        <v>40.813631870946281</v>
      </c>
      <c r="U89" s="200">
        <f t="shared" ca="1" si="42"/>
        <v>42.302303503301118</v>
      </c>
      <c r="V89" s="200">
        <f t="shared" ca="1" si="42"/>
        <v>43.952337340636547</v>
      </c>
      <c r="W89" s="200">
        <f t="shared" ca="1" si="42"/>
        <v>45.572683181398027</v>
      </c>
      <c r="X89" s="200">
        <f t="shared" ca="1" si="42"/>
        <v>47.023941930207073</v>
      </c>
      <c r="Y89" s="200">
        <f t="shared" ca="1" si="42"/>
        <v>48.428263277161932</v>
      </c>
      <c r="Z89" s="200">
        <f t="shared" ca="1" si="42"/>
        <v>49.817036965946741</v>
      </c>
      <c r="AA89" s="200">
        <f t="shared" ca="1" si="42"/>
        <v>51.287505938692448</v>
      </c>
      <c r="AB89" s="200">
        <f t="shared" ca="1" si="42"/>
        <v>52.620998454290216</v>
      </c>
      <c r="AC89" s="200">
        <f t="shared" ca="1" si="42"/>
        <v>54.391828780607675</v>
      </c>
      <c r="AD89" s="200">
        <f t="shared" ca="1" si="42"/>
        <v>56.116262292481679</v>
      </c>
      <c r="AE89" s="200">
        <f t="shared" ca="1" si="42"/>
        <v>57.82106491063891</v>
      </c>
      <c r="AF89" s="200">
        <f t="shared" ca="1" si="42"/>
        <v>59.502534275740501</v>
      </c>
      <c r="AG89" s="200">
        <f t="shared" ca="1" si="42"/>
        <v>61.070469410537413</v>
      </c>
      <c r="AH89" s="200">
        <f t="shared" ca="1" si="42"/>
        <v>62.480062772774701</v>
      </c>
      <c r="AI89" s="200">
        <f t="shared" ca="1" si="42"/>
        <v>64.031341188811083</v>
      </c>
      <c r="AJ89" s="200">
        <f t="shared" ca="1" si="42"/>
        <v>65.479983862471045</v>
      </c>
      <c r="AK89" s="200">
        <f t="shared" ca="1" si="42"/>
        <v>66.918382579502477</v>
      </c>
      <c r="AL89" s="200">
        <f t="shared" ca="1" si="42"/>
        <v>68.329677995058034</v>
      </c>
      <c r="AM89" s="200">
        <f t="shared" ca="1" si="42"/>
        <v>74.274727339873067</v>
      </c>
      <c r="AN89" s="200">
        <f t="shared" ca="1" si="42"/>
        <v>78.652794098725735</v>
      </c>
      <c r="AO89" s="200">
        <f t="shared" ca="1" si="42"/>
        <v>78.652794098725735</v>
      </c>
      <c r="AP89" s="200">
        <f t="shared" ca="1" si="42"/>
        <v>78.652794098725735</v>
      </c>
    </row>
    <row r="90" spans="1:54" s="199" customFormat="1">
      <c r="A90" s="199" t="s">
        <v>16</v>
      </c>
      <c r="B90" s="25"/>
      <c r="D90" s="200">
        <f>D84</f>
        <v>0</v>
      </c>
      <c r="J90" s="43">
        <f t="shared" si="40"/>
        <v>0</v>
      </c>
      <c r="K90" s="13">
        <f t="shared" si="40"/>
        <v>0</v>
      </c>
      <c r="L90" s="13">
        <f t="shared" si="40"/>
        <v>0</v>
      </c>
      <c r="M90" s="13">
        <f t="shared" si="40"/>
        <v>0</v>
      </c>
      <c r="N90" s="200">
        <f ca="1">(($M$84*(1-N$75))+((N84-$M$84)*(1-N$76)))</f>
        <v>0</v>
      </c>
      <c r="O90" s="200">
        <f t="shared" ref="O90:AP90" ca="1" si="43">(($M$84*(1-O$75))+((O84-$M$84)*(1-O$76)))</f>
        <v>0</v>
      </c>
      <c r="P90" s="200">
        <f t="shared" ca="1" si="43"/>
        <v>0</v>
      </c>
      <c r="Q90" s="200">
        <f t="shared" ca="1" si="43"/>
        <v>0</v>
      </c>
      <c r="R90" s="200">
        <f t="shared" ca="1" si="43"/>
        <v>0</v>
      </c>
      <c r="S90" s="200">
        <f t="shared" ca="1" si="43"/>
        <v>0</v>
      </c>
      <c r="T90" s="200">
        <f t="shared" ca="1" si="43"/>
        <v>0</v>
      </c>
      <c r="U90" s="200">
        <f t="shared" ca="1" si="43"/>
        <v>0</v>
      </c>
      <c r="V90" s="200">
        <f t="shared" ca="1" si="43"/>
        <v>0</v>
      </c>
      <c r="W90" s="200">
        <f t="shared" ca="1" si="43"/>
        <v>0</v>
      </c>
      <c r="X90" s="200">
        <f t="shared" ca="1" si="43"/>
        <v>0</v>
      </c>
      <c r="Y90" s="200">
        <f t="shared" ca="1" si="43"/>
        <v>0</v>
      </c>
      <c r="Z90" s="200">
        <f t="shared" ca="1" si="43"/>
        <v>0</v>
      </c>
      <c r="AA90" s="200">
        <f t="shared" ca="1" si="43"/>
        <v>0</v>
      </c>
      <c r="AB90" s="200">
        <f t="shared" ca="1" si="43"/>
        <v>0</v>
      </c>
      <c r="AC90" s="200">
        <f t="shared" ca="1" si="43"/>
        <v>0</v>
      </c>
      <c r="AD90" s="200">
        <f t="shared" ca="1" si="43"/>
        <v>0</v>
      </c>
      <c r="AE90" s="200">
        <f t="shared" ca="1" si="43"/>
        <v>0</v>
      </c>
      <c r="AF90" s="200">
        <f t="shared" ca="1" si="43"/>
        <v>0</v>
      </c>
      <c r="AG90" s="200">
        <f t="shared" ca="1" si="43"/>
        <v>0</v>
      </c>
      <c r="AH90" s="200">
        <f t="shared" ca="1" si="43"/>
        <v>0</v>
      </c>
      <c r="AI90" s="200">
        <f t="shared" ca="1" si="43"/>
        <v>0</v>
      </c>
      <c r="AJ90" s="200">
        <f t="shared" ca="1" si="43"/>
        <v>0</v>
      </c>
      <c r="AK90" s="200">
        <f t="shared" ca="1" si="43"/>
        <v>0</v>
      </c>
      <c r="AL90" s="200">
        <f t="shared" ca="1" si="43"/>
        <v>0</v>
      </c>
      <c r="AM90" s="200">
        <f t="shared" ca="1" si="43"/>
        <v>0</v>
      </c>
      <c r="AN90" s="200">
        <f t="shared" ca="1" si="43"/>
        <v>0</v>
      </c>
      <c r="AO90" s="200">
        <f t="shared" ca="1" si="43"/>
        <v>0</v>
      </c>
      <c r="AP90" s="200">
        <f t="shared" ca="1" si="43"/>
        <v>0</v>
      </c>
    </row>
    <row r="91" spans="1:54" s="199" customFormat="1">
      <c r="A91" s="199" t="s">
        <v>16</v>
      </c>
      <c r="B91" s="25"/>
      <c r="D91" s="200">
        <f>D85</f>
        <v>0</v>
      </c>
      <c r="J91" s="43">
        <f t="shared" si="40"/>
        <v>0</v>
      </c>
      <c r="K91" s="13">
        <f t="shared" si="40"/>
        <v>0</v>
      </c>
      <c r="L91" s="13">
        <f t="shared" si="40"/>
        <v>0</v>
      </c>
      <c r="M91" s="13">
        <f t="shared" si="40"/>
        <v>0</v>
      </c>
      <c r="N91" s="200">
        <f ca="1">(($M$85*(1-N$75))+((N85-$M$85)*(1-N$76)))</f>
        <v>0</v>
      </c>
      <c r="O91" s="200">
        <f t="shared" ref="O91:AP91" ca="1" si="44">(($M$85*(1-O$75))+((O85-$M$85)*(1-O$76)))</f>
        <v>0</v>
      </c>
      <c r="P91" s="200">
        <f t="shared" ca="1" si="44"/>
        <v>0</v>
      </c>
      <c r="Q91" s="200">
        <f t="shared" ca="1" si="44"/>
        <v>0</v>
      </c>
      <c r="R91" s="200">
        <f t="shared" ca="1" si="44"/>
        <v>0</v>
      </c>
      <c r="S91" s="200">
        <f t="shared" ca="1" si="44"/>
        <v>0</v>
      </c>
      <c r="T91" s="200">
        <f t="shared" ca="1" si="44"/>
        <v>0</v>
      </c>
      <c r="U91" s="200">
        <f t="shared" ca="1" si="44"/>
        <v>0</v>
      </c>
      <c r="V91" s="200">
        <f t="shared" ca="1" si="44"/>
        <v>0</v>
      </c>
      <c r="W91" s="200">
        <f t="shared" ca="1" si="44"/>
        <v>0</v>
      </c>
      <c r="X91" s="200">
        <f t="shared" ca="1" si="44"/>
        <v>0</v>
      </c>
      <c r="Y91" s="200">
        <f t="shared" ca="1" si="44"/>
        <v>0</v>
      </c>
      <c r="Z91" s="200">
        <f t="shared" ca="1" si="44"/>
        <v>0</v>
      </c>
      <c r="AA91" s="200">
        <f t="shared" ca="1" si="44"/>
        <v>0</v>
      </c>
      <c r="AB91" s="200">
        <f t="shared" ca="1" si="44"/>
        <v>0</v>
      </c>
      <c r="AC91" s="200">
        <f t="shared" ca="1" si="44"/>
        <v>0</v>
      </c>
      <c r="AD91" s="200">
        <f t="shared" ca="1" si="44"/>
        <v>0</v>
      </c>
      <c r="AE91" s="200">
        <f t="shared" ca="1" si="44"/>
        <v>0</v>
      </c>
      <c r="AF91" s="200">
        <f t="shared" ca="1" si="44"/>
        <v>0</v>
      </c>
      <c r="AG91" s="200">
        <f t="shared" ca="1" si="44"/>
        <v>0</v>
      </c>
      <c r="AH91" s="200">
        <f t="shared" ca="1" si="44"/>
        <v>0</v>
      </c>
      <c r="AI91" s="200">
        <f t="shared" ca="1" si="44"/>
        <v>0</v>
      </c>
      <c r="AJ91" s="200">
        <f t="shared" ca="1" si="44"/>
        <v>0</v>
      </c>
      <c r="AK91" s="200">
        <f t="shared" ca="1" si="44"/>
        <v>0</v>
      </c>
      <c r="AL91" s="200">
        <f t="shared" ca="1" si="44"/>
        <v>0</v>
      </c>
      <c r="AM91" s="200">
        <f t="shared" ca="1" si="44"/>
        <v>0</v>
      </c>
      <c r="AN91" s="200">
        <f t="shared" ca="1" si="44"/>
        <v>0</v>
      </c>
      <c r="AO91" s="200">
        <f t="shared" ca="1" si="44"/>
        <v>0</v>
      </c>
      <c r="AP91" s="200">
        <f t="shared" ca="1" si="44"/>
        <v>0</v>
      </c>
    </row>
    <row r="92" spans="1:54">
      <c r="A92" s="4" t="s">
        <v>16</v>
      </c>
      <c r="B92" s="25"/>
      <c r="D92" s="6"/>
    </row>
    <row r="93" spans="1:54" ht="18" thickBot="1">
      <c r="A93" s="4" t="s">
        <v>16</v>
      </c>
      <c r="B93" s="25"/>
      <c r="C93" s="38" t="s">
        <v>154</v>
      </c>
      <c r="D93" s="14"/>
      <c r="E93" s="9"/>
      <c r="F93" s="9"/>
      <c r="G93" s="15"/>
      <c r="H93" s="15"/>
      <c r="I93" s="147" t="s">
        <v>445</v>
      </c>
      <c r="J93" s="41">
        <f>J94-J3</f>
        <v>0</v>
      </c>
    </row>
    <row r="94" spans="1:54" ht="24" thickTop="1">
      <c r="A94" s="4" t="s">
        <v>16</v>
      </c>
      <c r="B94" s="16" t="s">
        <v>18</v>
      </c>
      <c r="C94" s="16" t="s">
        <v>19</v>
      </c>
      <c r="D94" s="16" t="s">
        <v>20</v>
      </c>
      <c r="E94" s="16" t="s">
        <v>21</v>
      </c>
      <c r="F94" s="16" t="s">
        <v>22</v>
      </c>
      <c r="G94" s="16" t="s">
        <v>23</v>
      </c>
      <c r="H94" s="16" t="s">
        <v>24</v>
      </c>
      <c r="I94" s="17" t="s">
        <v>25</v>
      </c>
      <c r="J94" s="18">
        <f>'[5]TS BYDem'!J7</f>
        <v>2012</v>
      </c>
      <c r="K94" s="18">
        <v>2013</v>
      </c>
      <c r="L94" s="18">
        <f>1+K94</f>
        <v>2014</v>
      </c>
      <c r="M94" s="18">
        <f t="shared" ref="M94:AL94" si="45">1+L94</f>
        <v>2015</v>
      </c>
      <c r="N94" s="18">
        <f t="shared" si="45"/>
        <v>2016</v>
      </c>
      <c r="O94" s="18">
        <f t="shared" si="45"/>
        <v>2017</v>
      </c>
      <c r="P94" s="18">
        <f t="shared" si="45"/>
        <v>2018</v>
      </c>
      <c r="Q94" s="18">
        <f t="shared" si="45"/>
        <v>2019</v>
      </c>
      <c r="R94" s="18">
        <f t="shared" si="45"/>
        <v>2020</v>
      </c>
      <c r="S94" s="18">
        <f t="shared" si="45"/>
        <v>2021</v>
      </c>
      <c r="T94" s="18">
        <f t="shared" si="45"/>
        <v>2022</v>
      </c>
      <c r="U94" s="18">
        <f t="shared" si="45"/>
        <v>2023</v>
      </c>
      <c r="V94" s="18">
        <f t="shared" si="45"/>
        <v>2024</v>
      </c>
      <c r="W94" s="18">
        <f t="shared" si="45"/>
        <v>2025</v>
      </c>
      <c r="X94" s="18">
        <f t="shared" si="45"/>
        <v>2026</v>
      </c>
      <c r="Y94" s="18">
        <f t="shared" si="45"/>
        <v>2027</v>
      </c>
      <c r="Z94" s="18">
        <f t="shared" si="45"/>
        <v>2028</v>
      </c>
      <c r="AA94" s="18">
        <f t="shared" si="45"/>
        <v>2029</v>
      </c>
      <c r="AB94" s="18">
        <f t="shared" si="45"/>
        <v>2030</v>
      </c>
      <c r="AC94" s="18">
        <f t="shared" si="45"/>
        <v>2031</v>
      </c>
      <c r="AD94" s="18">
        <f t="shared" si="45"/>
        <v>2032</v>
      </c>
      <c r="AE94" s="18">
        <f t="shared" si="45"/>
        <v>2033</v>
      </c>
      <c r="AF94" s="18">
        <f>1+AE94</f>
        <v>2034</v>
      </c>
      <c r="AG94" s="18">
        <f t="shared" si="45"/>
        <v>2035</v>
      </c>
      <c r="AH94" s="18">
        <f t="shared" si="45"/>
        <v>2036</v>
      </c>
      <c r="AI94" s="18">
        <f t="shared" si="45"/>
        <v>2037</v>
      </c>
      <c r="AJ94" s="18">
        <f t="shared" si="45"/>
        <v>2038</v>
      </c>
      <c r="AK94" s="18">
        <f t="shared" si="45"/>
        <v>2039</v>
      </c>
      <c r="AL94" s="18">
        <f t="shared" si="45"/>
        <v>2040</v>
      </c>
      <c r="AM94" s="18">
        <f>5+AL94</f>
        <v>2045</v>
      </c>
      <c r="AN94" s="18">
        <f>5+AM94</f>
        <v>2050</v>
      </c>
      <c r="AO94" s="18">
        <f>10+AN94</f>
        <v>2060</v>
      </c>
      <c r="AP94" s="18">
        <f>10+AO94</f>
        <v>2070</v>
      </c>
      <c r="AQ94" s="18"/>
      <c r="AR94" s="18"/>
      <c r="AS94" s="18"/>
      <c r="AT94" s="18"/>
      <c r="AU94" s="18"/>
      <c r="AV94" s="18"/>
    </row>
    <row r="95" spans="1:54">
      <c r="A95" s="4" t="s">
        <v>16</v>
      </c>
      <c r="B95" s="16"/>
      <c r="C95" s="5" t="str">
        <f>C34</f>
        <v>Low Income Electrified</v>
      </c>
      <c r="D95" s="16"/>
      <c r="E95" s="16"/>
      <c r="F95" s="16"/>
      <c r="G95" s="16"/>
      <c r="H95" s="16"/>
      <c r="I95" s="17"/>
      <c r="J95" s="6"/>
    </row>
    <row r="96" spans="1:54">
      <c r="A96" s="22" t="str">
        <f>'[5]TS BYDem'!A10</f>
        <v/>
      </c>
      <c r="B96" s="22" t="str">
        <f>'[5]TS BYDem'!B10</f>
        <v>COM_PROJ</v>
      </c>
      <c r="C96" s="22" t="str">
        <f>'[5]TS BYDem'!C10</f>
        <v>-</v>
      </c>
      <c r="D96" s="22" t="str">
        <f>'[5]TS BYDem'!D10</f>
        <v>RLEL</v>
      </c>
      <c r="E96" s="120" t="str">
        <f>'[5]TS BYDem'!E10</f>
        <v>-</v>
      </c>
      <c r="F96" s="120" t="str">
        <f>'[5]TS BYDem'!F10</f>
        <v>-</v>
      </c>
      <c r="G96" s="120" t="str">
        <f>'[5]TS BYDem'!G10</f>
        <v>-</v>
      </c>
      <c r="H96" s="120" t="str">
        <f>'[5]TS BYDem'!H10</f>
        <v>-</v>
      </c>
      <c r="I96" s="120">
        <f>'[5]TS BYDem'!I10</f>
        <v>0</v>
      </c>
      <c r="J96" s="24">
        <f>'[5]TS BYDem'!J10</f>
        <v>10.658785333292295</v>
      </c>
      <c r="K96" s="24">
        <f>($O96-$J96)*(K$94-$J$94)/($O$94-$J$94)+$J96</f>
        <v>12.189694821328063</v>
      </c>
      <c r="L96" s="24">
        <f t="shared" ref="L96:N111" si="46">($O96-$J96)*(L$94-$J$94)/($O$94-$J$94)+$J96</f>
        <v>13.720604309363832</v>
      </c>
      <c r="M96" s="24">
        <f t="shared" si="46"/>
        <v>15.2515137973996</v>
      </c>
      <c r="N96" s="24">
        <f t="shared" si="46"/>
        <v>16.782423285435367</v>
      </c>
      <c r="O96" s="24">
        <f>'[5]TS BYDem'!O10</f>
        <v>18.313332773471135</v>
      </c>
      <c r="P96" s="24">
        <f ca="1">OFFSET(P$21,$BB96,$J$93)/OFFSET(O$21,$BB96,$J$93)*O96</f>
        <v>18.110424314925734</v>
      </c>
      <c r="Q96" s="24">
        <f t="shared" ref="Q96:T96" ca="1" si="47">OFFSET(Q$21,$BB96,$J$93)/OFFSET(P$21,$BB96,$J$93)*P96</f>
        <v>17.988678939330427</v>
      </c>
      <c r="R96" s="24">
        <f t="shared" ca="1" si="47"/>
        <v>18.506851143562901</v>
      </c>
      <c r="S96" s="24">
        <f t="shared" ca="1" si="47"/>
        <v>18.976433551921762</v>
      </c>
      <c r="T96" s="24">
        <f t="shared" ca="1" si="47"/>
        <v>18.629271580229716</v>
      </c>
      <c r="U96" s="24">
        <f t="shared" ref="U96:AP96" ca="1" si="48">OFFSET(U$21,$BB96,$J$93)/OFFSET(T$21,$BB96,$J$93)*T96</f>
        <v>18.305518992636667</v>
      </c>
      <c r="V96" s="24">
        <f t="shared" ca="1" si="48"/>
        <v>17.915409658264227</v>
      </c>
      <c r="W96" s="24">
        <f t="shared" ca="1" si="48"/>
        <v>17.492883985841626</v>
      </c>
      <c r="X96" s="24">
        <f t="shared" ca="1" si="48"/>
        <v>17.045807437043916</v>
      </c>
      <c r="Y96" s="24">
        <f t="shared" ca="1" si="48"/>
        <v>16.570068890289409</v>
      </c>
      <c r="Z96" s="24">
        <f t="shared" ca="1" si="48"/>
        <v>16.090363122437221</v>
      </c>
      <c r="AA96" s="24">
        <f t="shared" ca="1" si="48"/>
        <v>15.576808718730131</v>
      </c>
      <c r="AB96" s="24">
        <f t="shared" ca="1" si="48"/>
        <v>15.06069293740995</v>
      </c>
      <c r="AC96" s="24">
        <f t="shared" ca="1" si="48"/>
        <v>14.566739549087789</v>
      </c>
      <c r="AD96" s="24">
        <f t="shared" ca="1" si="48"/>
        <v>14.084233544939226</v>
      </c>
      <c r="AE96" s="24">
        <f t="shared" ca="1" si="48"/>
        <v>13.618996888299661</v>
      </c>
      <c r="AF96" s="24">
        <f t="shared" ca="1" si="48"/>
        <v>13.16811307871286</v>
      </c>
      <c r="AG96" s="24">
        <f t="shared" ca="1" si="48"/>
        <v>12.749573837074918</v>
      </c>
      <c r="AH96" s="24">
        <f t="shared" ca="1" si="48"/>
        <v>12.351458082075704</v>
      </c>
      <c r="AI96" s="24">
        <f t="shared" ca="1" si="48"/>
        <v>11.920934416618618</v>
      </c>
      <c r="AJ96" s="24">
        <f t="shared" ca="1" si="48"/>
        <v>11.500834718538492</v>
      </c>
      <c r="AK96" s="24">
        <f t="shared" ca="1" si="48"/>
        <v>11.103827072044236</v>
      </c>
      <c r="AL96" s="24">
        <f t="shared" ca="1" si="48"/>
        <v>10.716997331812028</v>
      </c>
      <c r="AM96" s="24">
        <f t="shared" ca="1" si="48"/>
        <v>8.9780717547227056</v>
      </c>
      <c r="AN96" s="24">
        <f t="shared" ca="1" si="48"/>
        <v>7.5869775221531599</v>
      </c>
      <c r="AO96" s="24">
        <f t="shared" ca="1" si="48"/>
        <v>7.5869775221531599</v>
      </c>
      <c r="AP96" s="24">
        <f t="shared" ca="1" si="48"/>
        <v>7.5869775221531599</v>
      </c>
      <c r="AQ96" s="6"/>
      <c r="AR96" s="6"/>
      <c r="AS96" s="6"/>
      <c r="AT96" s="6"/>
      <c r="AU96" s="6"/>
      <c r="AV96" s="6"/>
      <c r="BB96" s="4">
        <f>MATCH(MID(D96,2,2),$B$34:$B$38,0)</f>
        <v>1</v>
      </c>
    </row>
    <row r="97" spans="1:54">
      <c r="A97" s="22" t="str">
        <f>'[5]TS BYDem'!A11</f>
        <v/>
      </c>
      <c r="B97" s="22" t="str">
        <f>'[5]TS BYDem'!B11</f>
        <v>COM_PROJ</v>
      </c>
      <c r="C97" s="22" t="str">
        <f>'[5]TS BYDem'!C11</f>
        <v>-</v>
      </c>
      <c r="D97" s="22" t="str">
        <f>'[5]TS BYDem'!D11</f>
        <v>RLNL</v>
      </c>
      <c r="E97" s="120" t="s">
        <v>137</v>
      </c>
      <c r="F97" s="120" t="s">
        <v>137</v>
      </c>
      <c r="G97" s="120" t="s">
        <v>137</v>
      </c>
      <c r="H97" s="120" t="s">
        <v>137</v>
      </c>
      <c r="I97" s="120">
        <v>0</v>
      </c>
      <c r="J97" s="6">
        <f>'[5]TS BYDem'!J11</f>
        <v>4.742986727829742E-2</v>
      </c>
      <c r="K97" s="24">
        <f t="shared" ref="K97:N136" si="49">($O97-$J97)*(K$94-$J$94)/($O$94-$J$94)+$J97</f>
        <v>4.5519745651797672E-2</v>
      </c>
      <c r="L97" s="24">
        <f t="shared" si="46"/>
        <v>4.3609624025297923E-2</v>
      </c>
      <c r="M97" s="24">
        <f t="shared" si="46"/>
        <v>4.1699502398798181E-2</v>
      </c>
      <c r="N97" s="24">
        <f t="shared" si="46"/>
        <v>3.9789380772298433E-2</v>
      </c>
      <c r="O97" s="24">
        <f>'[5]TS BYDem'!O11</f>
        <v>3.7879259145798684E-2</v>
      </c>
      <c r="P97" s="24">
        <f t="shared" ref="P97:S103" ca="1" si="50">OFFSET(P$21,$BB97,$J$93)/OFFSET(O$21,$BB97,$J$93)*O97</f>
        <v>3.7459563715196896E-2</v>
      </c>
      <c r="Q97" s="24">
        <f t="shared" ca="1" si="50"/>
        <v>3.7207745835348305E-2</v>
      </c>
      <c r="R97" s="24">
        <f t="shared" ca="1" si="50"/>
        <v>3.8279532137113374E-2</v>
      </c>
      <c r="S97" s="24">
        <f t="shared" ca="1" si="50"/>
        <v>3.9250815406879573E-2</v>
      </c>
      <c r="T97" s="24">
        <f t="shared" ref="T97:AP97" ca="1" si="51">OFFSET(T$21,$BB97,$J$93)/OFFSET(S$21,$BB97,$J$93)*S97</f>
        <v>3.8532746311868149E-2</v>
      </c>
      <c r="U97" s="24">
        <f t="shared" ca="1" si="51"/>
        <v>3.7863097137889018E-2</v>
      </c>
      <c r="V97" s="24">
        <f t="shared" ca="1" si="51"/>
        <v>3.7056195807875794E-2</v>
      </c>
      <c r="W97" s="24">
        <f t="shared" ca="1" si="51"/>
        <v>3.6182244592145495E-2</v>
      </c>
      <c r="X97" s="24">
        <f t="shared" ca="1" si="51"/>
        <v>3.5257512395150209E-2</v>
      </c>
      <c r="Y97" s="24">
        <f t="shared" ca="1" si="51"/>
        <v>3.4273495781622358E-2</v>
      </c>
      <c r="Z97" s="24">
        <f t="shared" ca="1" si="51"/>
        <v>3.328127337628662E-2</v>
      </c>
      <c r="AA97" s="24">
        <f t="shared" ca="1" si="51"/>
        <v>3.2219038523454868E-2</v>
      </c>
      <c r="AB97" s="24">
        <f t="shared" ca="1" si="51"/>
        <v>3.1151505722533786E-2</v>
      </c>
      <c r="AC97" s="24">
        <f t="shared" ca="1" si="51"/>
        <v>3.012981356886393E-2</v>
      </c>
      <c r="AD97" s="24">
        <f t="shared" ca="1" si="51"/>
        <v>2.9131799160638714E-2</v>
      </c>
      <c r="AE97" s="24">
        <f t="shared" ca="1" si="51"/>
        <v>2.8169504634625205E-2</v>
      </c>
      <c r="AF97" s="24">
        <f t="shared" ca="1" si="51"/>
        <v>2.7236897507389227E-2</v>
      </c>
      <c r="AG97" s="24">
        <f t="shared" ca="1" si="51"/>
        <v>2.6371191816743127E-2</v>
      </c>
      <c r="AH97" s="24">
        <f t="shared" ca="1" si="51"/>
        <v>2.5547730023077368E-2</v>
      </c>
      <c r="AI97" s="24">
        <f t="shared" ca="1" si="51"/>
        <v>2.4657235775308775E-2</v>
      </c>
      <c r="AJ97" s="24">
        <f t="shared" ca="1" si="51"/>
        <v>2.3788302439826516E-2</v>
      </c>
      <c r="AK97" s="24">
        <f t="shared" ca="1" si="51"/>
        <v>2.296713265547114E-2</v>
      </c>
      <c r="AL97" s="24">
        <f t="shared" ca="1" si="51"/>
        <v>2.2167014831107459E-2</v>
      </c>
      <c r="AM97" s="24">
        <f t="shared" ca="1" si="51"/>
        <v>1.8570224810164754E-2</v>
      </c>
      <c r="AN97" s="24">
        <f t="shared" ca="1" si="51"/>
        <v>1.5692888413588145E-2</v>
      </c>
      <c r="AO97" s="24">
        <f t="shared" ca="1" si="51"/>
        <v>1.5692888413588145E-2</v>
      </c>
      <c r="AP97" s="24">
        <f t="shared" ca="1" si="51"/>
        <v>1.5692888413588145E-2</v>
      </c>
      <c r="AQ97" s="6"/>
      <c r="AR97" s="6"/>
      <c r="AS97" s="6"/>
      <c r="AT97" s="6"/>
      <c r="AU97" s="6"/>
      <c r="AV97" s="6"/>
      <c r="BB97" s="229">
        <v>1</v>
      </c>
    </row>
    <row r="98" spans="1:54">
      <c r="A98" s="22" t="str">
        <f>'[5]TS BYDem'!A12</f>
        <v/>
      </c>
      <c r="B98" s="22" t="str">
        <f>'[5]TS BYDem'!B12</f>
        <v>COM_PROJ</v>
      </c>
      <c r="C98" s="22" t="str">
        <f>'[5]TS BYDem'!C12</f>
        <v>-</v>
      </c>
      <c r="D98" s="22" t="str">
        <f>'[5]TS BYDem'!D12</f>
        <v>RLEK</v>
      </c>
      <c r="E98" s="120" t="s">
        <v>137</v>
      </c>
      <c r="F98" s="120" t="s">
        <v>137</v>
      </c>
      <c r="G98" s="120" t="s">
        <v>137</v>
      </c>
      <c r="H98" s="120" t="s">
        <v>137</v>
      </c>
      <c r="I98" s="120">
        <v>0</v>
      </c>
      <c r="J98" s="6">
        <f>'[5]TS BYDem'!J12</f>
        <v>10.048392993864358</v>
      </c>
      <c r="K98" s="24">
        <f t="shared" si="49"/>
        <v>10.416076928818626</v>
      </c>
      <c r="L98" s="24">
        <f t="shared" si="46"/>
        <v>10.783760863772892</v>
      </c>
      <c r="M98" s="24">
        <f t="shared" si="46"/>
        <v>11.151444798727161</v>
      </c>
      <c r="N98" s="24">
        <f t="shared" si="46"/>
        <v>11.519128733681427</v>
      </c>
      <c r="O98" s="24">
        <f>'[5]TS BYDem'!O12</f>
        <v>11.886812668635695</v>
      </c>
      <c r="P98" s="24">
        <f t="shared" ca="1" si="50"/>
        <v>11.755108905839185</v>
      </c>
      <c r="Q98" s="24">
        <f t="shared" ca="1" si="50"/>
        <v>11.676086453133554</v>
      </c>
      <c r="R98" s="24">
        <f t="shared" ca="1" si="50"/>
        <v>12.012421515571127</v>
      </c>
      <c r="S98" s="24">
        <f t="shared" ca="1" si="50"/>
        <v>12.317217927545601</v>
      </c>
      <c r="T98" s="24">
        <f t="shared" ref="T98:AP98" ca="1" si="52">OFFSET(T$21,$BB98,$J$93)/OFFSET(S$21,$BB98,$J$93)*S98</f>
        <v>12.091882136719178</v>
      </c>
      <c r="U98" s="24">
        <f t="shared" ca="1" si="52"/>
        <v>11.88174090206202</v>
      </c>
      <c r="V98" s="24">
        <f t="shared" ca="1" si="52"/>
        <v>11.628528849655657</v>
      </c>
      <c r="W98" s="24">
        <f t="shared" ca="1" si="52"/>
        <v>11.354276010049508</v>
      </c>
      <c r="X98" s="24">
        <f t="shared" ca="1" si="52"/>
        <v>11.06408769480211</v>
      </c>
      <c r="Y98" s="24">
        <f t="shared" ca="1" si="52"/>
        <v>10.755295458322264</v>
      </c>
      <c r="Z98" s="24">
        <f t="shared" ca="1" si="52"/>
        <v>10.443928179135201</v>
      </c>
      <c r="AA98" s="24">
        <f t="shared" ca="1" si="52"/>
        <v>10.110590437309083</v>
      </c>
      <c r="AB98" s="24">
        <f t="shared" ca="1" si="52"/>
        <v>9.7755901572526476</v>
      </c>
      <c r="AC98" s="24">
        <f t="shared" ca="1" si="52"/>
        <v>9.4549750367471681</v>
      </c>
      <c r="AD98" s="24">
        <f t="shared" ca="1" si="52"/>
        <v>9.1417901810056534</v>
      </c>
      <c r="AE98" s="24">
        <f t="shared" ca="1" si="52"/>
        <v>8.8398145082833199</v>
      </c>
      <c r="AF98" s="24">
        <f t="shared" ca="1" si="52"/>
        <v>8.5471549773189164</v>
      </c>
      <c r="AG98" s="24">
        <f t="shared" ca="1" si="52"/>
        <v>8.2754896490379792</v>
      </c>
      <c r="AH98" s="24">
        <f t="shared" ca="1" si="52"/>
        <v>8.0170807914780156</v>
      </c>
      <c r="AI98" s="24">
        <f t="shared" ca="1" si="52"/>
        <v>7.7376366168974009</v>
      </c>
      <c r="AJ98" s="24">
        <f t="shared" ca="1" si="52"/>
        <v>7.4649584280063701</v>
      </c>
      <c r="AK98" s="24">
        <f t="shared" ca="1" si="52"/>
        <v>7.2072688211899978</v>
      </c>
      <c r="AL98" s="24">
        <f t="shared" ca="1" si="52"/>
        <v>6.9561854867868664</v>
      </c>
      <c r="AM98" s="24">
        <f t="shared" ca="1" si="52"/>
        <v>5.8274841829202559</v>
      </c>
      <c r="AN98" s="24">
        <f t="shared" ca="1" si="52"/>
        <v>4.9245531461988863</v>
      </c>
      <c r="AO98" s="24">
        <f t="shared" ca="1" si="52"/>
        <v>4.9245531461988863</v>
      </c>
      <c r="AP98" s="24">
        <f t="shared" ca="1" si="52"/>
        <v>4.9245531461988863</v>
      </c>
      <c r="AQ98" s="6"/>
      <c r="AR98" s="6"/>
      <c r="AS98" s="6"/>
      <c r="AT98" s="6"/>
      <c r="AU98" s="6"/>
      <c r="AV98" s="6"/>
      <c r="BB98" s="4">
        <f t="shared" ref="BB98:BB134" si="53">MATCH(MID(D98,2,2),$B$34:$B$38,0)</f>
        <v>1</v>
      </c>
    </row>
    <row r="99" spans="1:54">
      <c r="A99" s="22" t="str">
        <f>'[5]TS BYDem'!A13</f>
        <v/>
      </c>
      <c r="B99" s="22" t="str">
        <f>'[5]TS BYDem'!B13</f>
        <v>COM_PROJ</v>
      </c>
      <c r="C99" s="22" t="str">
        <f>'[5]TS BYDem'!C13</f>
        <v>-</v>
      </c>
      <c r="D99" s="22" t="str">
        <f>'[5]TS BYDem'!D13</f>
        <v>RLEH</v>
      </c>
      <c r="E99" s="120" t="s">
        <v>137</v>
      </c>
      <c r="F99" s="120" t="s">
        <v>137</v>
      </c>
      <c r="G99" s="120" t="s">
        <v>137</v>
      </c>
      <c r="H99" s="120" t="s">
        <v>137</v>
      </c>
      <c r="I99" s="120">
        <v>0</v>
      </c>
      <c r="J99" s="6">
        <f>'[5]TS BYDem'!J13</f>
        <v>14.59873427639161</v>
      </c>
      <c r="K99" s="24">
        <f t="shared" si="49"/>
        <v>13.810249302650501</v>
      </c>
      <c r="L99" s="24">
        <f t="shared" si="46"/>
        <v>13.021764328909391</v>
      </c>
      <c r="M99" s="24">
        <f t="shared" si="46"/>
        <v>12.233279355168282</v>
      </c>
      <c r="N99" s="24">
        <f t="shared" si="46"/>
        <v>11.444794381427172</v>
      </c>
      <c r="O99" s="24">
        <f>'[5]TS BYDem'!O13</f>
        <v>10.656309407686063</v>
      </c>
      <c r="P99" s="24">
        <f t="shared" ca="1" si="50"/>
        <v>10.538239401399238</v>
      </c>
      <c r="Q99" s="24">
        <f t="shared" ca="1" si="50"/>
        <v>10.467397222788367</v>
      </c>
      <c r="R99" s="24">
        <f t="shared" ca="1" si="50"/>
        <v>10.76891543375884</v>
      </c>
      <c r="S99" s="24">
        <f t="shared" ca="1" si="50"/>
        <v>11.042159823394311</v>
      </c>
      <c r="T99" s="24">
        <f t="shared" ref="T99:AP99" ca="1" si="54">OFFSET(T$21,$BB99,$J$93)/OFFSET(S$21,$BB99,$J$93)*S99</f>
        <v>10.840150422336963</v>
      </c>
      <c r="U99" s="24">
        <f t="shared" ca="1" si="54"/>
        <v>10.651762662031084</v>
      </c>
      <c r="V99" s="24">
        <f t="shared" ca="1" si="54"/>
        <v>10.424762704059413</v>
      </c>
      <c r="W99" s="24">
        <f t="shared" ca="1" si="54"/>
        <v>10.1789000665089</v>
      </c>
      <c r="X99" s="24">
        <f t="shared" ca="1" si="54"/>
        <v>9.9187515674978251</v>
      </c>
      <c r="Y99" s="24">
        <f t="shared" ca="1" si="54"/>
        <v>9.6419249945256542</v>
      </c>
      <c r="Z99" s="24">
        <f t="shared" ca="1" si="54"/>
        <v>9.3627899430242874</v>
      </c>
      <c r="AA99" s="24">
        <f t="shared" ca="1" si="54"/>
        <v>9.0639587749744113</v>
      </c>
      <c r="AB99" s="24">
        <f t="shared" ca="1" si="54"/>
        <v>8.763637171912368</v>
      </c>
      <c r="AC99" s="24">
        <f t="shared" ca="1" si="54"/>
        <v>8.4762116003877281</v>
      </c>
      <c r="AD99" s="24">
        <f t="shared" ca="1" si="54"/>
        <v>8.1954471248619125</v>
      </c>
      <c r="AE99" s="24">
        <f t="shared" ca="1" si="54"/>
        <v>7.924731476199077</v>
      </c>
      <c r="AF99" s="24">
        <f t="shared" ca="1" si="54"/>
        <v>7.6623675776500715</v>
      </c>
      <c r="AG99" s="24">
        <f t="shared" ca="1" si="54"/>
        <v>7.4188245965159592</v>
      </c>
      <c r="AH99" s="24">
        <f t="shared" ca="1" si="54"/>
        <v>7.1871657980971477</v>
      </c>
      <c r="AI99" s="24">
        <f t="shared" ca="1" si="54"/>
        <v>6.9366492240146984</v>
      </c>
      <c r="AJ99" s="24">
        <f t="shared" ca="1" si="54"/>
        <v>6.6921982319319078</v>
      </c>
      <c r="AK99" s="24">
        <f t="shared" ca="1" si="54"/>
        <v>6.461184228604858</v>
      </c>
      <c r="AL99" s="24">
        <f t="shared" ca="1" si="54"/>
        <v>6.2360926272563217</v>
      </c>
      <c r="AM99" s="24">
        <f t="shared" ca="1" si="54"/>
        <v>5.2242326225472739</v>
      </c>
      <c r="AN99" s="24">
        <f t="shared" ca="1" si="54"/>
        <v>4.4147715189417767</v>
      </c>
      <c r="AO99" s="24">
        <f t="shared" ca="1" si="54"/>
        <v>4.4147715189417767</v>
      </c>
      <c r="AP99" s="24">
        <f t="shared" ca="1" si="54"/>
        <v>4.4147715189417767</v>
      </c>
      <c r="AQ99" s="6"/>
      <c r="AR99" s="6"/>
      <c r="AS99" s="6"/>
      <c r="AT99" s="6"/>
      <c r="AU99" s="6"/>
      <c r="AV99" s="6"/>
      <c r="BB99" s="4">
        <f t="shared" si="53"/>
        <v>1</v>
      </c>
    </row>
    <row r="100" spans="1:54">
      <c r="A100" s="22" t="str">
        <f>'[5]TS BYDem'!A14</f>
        <v/>
      </c>
      <c r="B100" s="22" t="str">
        <f>'[5]TS BYDem'!B14</f>
        <v>COM_PROJ</v>
      </c>
      <c r="C100" s="22" t="str">
        <f>'[5]TS BYDem'!C14</f>
        <v>-</v>
      </c>
      <c r="D100" s="22" t="str">
        <f>'[5]TS BYDem'!D14</f>
        <v>RLEWG</v>
      </c>
      <c r="E100" s="120" t="s">
        <v>137</v>
      </c>
      <c r="F100" s="120" t="s">
        <v>137</v>
      </c>
      <c r="G100" s="120" t="s">
        <v>137</v>
      </c>
      <c r="H100" s="120" t="s">
        <v>137</v>
      </c>
      <c r="I100" s="120">
        <v>0</v>
      </c>
      <c r="J100" s="6">
        <f>'[5]TS BYDem'!J14</f>
        <v>0</v>
      </c>
      <c r="K100" s="24">
        <f t="shared" si="49"/>
        <v>0</v>
      </c>
      <c r="L100" s="24">
        <f t="shared" si="46"/>
        <v>0</v>
      </c>
      <c r="M100" s="24">
        <f t="shared" si="46"/>
        <v>0</v>
      </c>
      <c r="N100" s="24">
        <f t="shared" si="46"/>
        <v>0</v>
      </c>
      <c r="O100" s="24">
        <f>'[5]TS BYDem'!O14</f>
        <v>0</v>
      </c>
      <c r="P100" s="24">
        <f t="shared" ca="1" si="50"/>
        <v>0</v>
      </c>
      <c r="Q100" s="24">
        <f t="shared" ca="1" si="50"/>
        <v>0</v>
      </c>
      <c r="R100" s="24">
        <f t="shared" ca="1" si="50"/>
        <v>0</v>
      </c>
      <c r="S100" s="24">
        <f t="shared" ca="1" si="50"/>
        <v>0</v>
      </c>
      <c r="T100" s="24">
        <f t="shared" ref="T100:AP100" ca="1" si="55">OFFSET(T$21,$BB100,$J$93)/OFFSET(S$21,$BB100,$J$93)*S100</f>
        <v>0</v>
      </c>
      <c r="U100" s="24">
        <f t="shared" ca="1" si="55"/>
        <v>0</v>
      </c>
      <c r="V100" s="24">
        <f t="shared" ca="1" si="55"/>
        <v>0</v>
      </c>
      <c r="W100" s="24">
        <f t="shared" ca="1" si="55"/>
        <v>0</v>
      </c>
      <c r="X100" s="24">
        <f t="shared" ca="1" si="55"/>
        <v>0</v>
      </c>
      <c r="Y100" s="24">
        <f t="shared" ca="1" si="55"/>
        <v>0</v>
      </c>
      <c r="Z100" s="24">
        <f t="shared" ca="1" si="55"/>
        <v>0</v>
      </c>
      <c r="AA100" s="24">
        <f t="shared" ca="1" si="55"/>
        <v>0</v>
      </c>
      <c r="AB100" s="24">
        <f t="shared" ca="1" si="55"/>
        <v>0</v>
      </c>
      <c r="AC100" s="24">
        <f t="shared" ca="1" si="55"/>
        <v>0</v>
      </c>
      <c r="AD100" s="24">
        <f t="shared" ca="1" si="55"/>
        <v>0</v>
      </c>
      <c r="AE100" s="24">
        <f t="shared" ca="1" si="55"/>
        <v>0</v>
      </c>
      <c r="AF100" s="24">
        <f t="shared" ca="1" si="55"/>
        <v>0</v>
      </c>
      <c r="AG100" s="24">
        <f t="shared" ca="1" si="55"/>
        <v>0</v>
      </c>
      <c r="AH100" s="24">
        <f t="shared" ca="1" si="55"/>
        <v>0</v>
      </c>
      <c r="AI100" s="24">
        <f t="shared" ca="1" si="55"/>
        <v>0</v>
      </c>
      <c r="AJ100" s="24">
        <f t="shared" ca="1" si="55"/>
        <v>0</v>
      </c>
      <c r="AK100" s="24">
        <f t="shared" ca="1" si="55"/>
        <v>0</v>
      </c>
      <c r="AL100" s="24">
        <f t="shared" ca="1" si="55"/>
        <v>0</v>
      </c>
      <c r="AM100" s="24">
        <f t="shared" ca="1" si="55"/>
        <v>0</v>
      </c>
      <c r="AN100" s="24">
        <f t="shared" ca="1" si="55"/>
        <v>0</v>
      </c>
      <c r="AO100" s="24">
        <f t="shared" ca="1" si="55"/>
        <v>0</v>
      </c>
      <c r="AP100" s="24">
        <f t="shared" ca="1" si="55"/>
        <v>0</v>
      </c>
      <c r="AQ100" s="6"/>
      <c r="AR100" s="6"/>
      <c r="AS100" s="6"/>
      <c r="AT100" s="6"/>
      <c r="AU100" s="6"/>
      <c r="AV100" s="6"/>
      <c r="BB100" s="4">
        <f t="shared" si="53"/>
        <v>1</v>
      </c>
    </row>
    <row r="101" spans="1:54">
      <c r="A101" s="22" t="str">
        <f>'[5]TS BYDem'!A15</f>
        <v/>
      </c>
      <c r="B101" s="22" t="str">
        <f>'[5]TS BYDem'!B15</f>
        <v>COM_PROJ</v>
      </c>
      <c r="C101" s="22" t="str">
        <f>'[5]TS BYDem'!C15</f>
        <v>-</v>
      </c>
      <c r="D101" s="22" t="str">
        <f>'[5]TS BYDem'!D15</f>
        <v>RLEW</v>
      </c>
      <c r="E101" s="120" t="s">
        <v>137</v>
      </c>
      <c r="F101" s="120" t="s">
        <v>137</v>
      </c>
      <c r="G101" s="120" t="s">
        <v>137</v>
      </c>
      <c r="H101" s="120" t="s">
        <v>137</v>
      </c>
      <c r="I101" s="120">
        <v>0</v>
      </c>
      <c r="J101" s="6">
        <f>'[5]TS BYDem'!J15</f>
        <v>5.646504427564552</v>
      </c>
      <c r="K101" s="24">
        <f t="shared" si="49"/>
        <v>5.8958681759198246</v>
      </c>
      <c r="L101" s="24">
        <f t="shared" si="46"/>
        <v>6.1452319242750963</v>
      </c>
      <c r="M101" s="24">
        <f t="shared" si="46"/>
        <v>6.394595672630369</v>
      </c>
      <c r="N101" s="24">
        <f t="shared" si="46"/>
        <v>6.6439594209856407</v>
      </c>
      <c r="O101" s="24">
        <f>'[5]TS BYDem'!O15</f>
        <v>6.8933231693409134</v>
      </c>
      <c r="P101" s="24">
        <f t="shared" ca="1" si="50"/>
        <v>6.8169463789528493</v>
      </c>
      <c r="Q101" s="24">
        <f t="shared" ca="1" si="50"/>
        <v>6.7711201916207999</v>
      </c>
      <c r="R101" s="24">
        <f t="shared" ca="1" si="50"/>
        <v>6.9661654357239646</v>
      </c>
      <c r="S101" s="24">
        <f t="shared" ca="1" si="50"/>
        <v>7.1429209905700031</v>
      </c>
      <c r="T101" s="24">
        <f t="shared" ref="T101:AP101" ca="1" si="56">OFFSET(T$21,$BB101,$J$93)/OFFSET(S$21,$BB101,$J$93)*S101</f>
        <v>7.0122457228521844</v>
      </c>
      <c r="U101" s="24">
        <f t="shared" ca="1" si="56"/>
        <v>6.8903819834228361</v>
      </c>
      <c r="V101" s="24">
        <f t="shared" ca="1" si="56"/>
        <v>6.7435408952129814</v>
      </c>
      <c r="W101" s="24">
        <f t="shared" ca="1" si="56"/>
        <v>6.5844979704007756</v>
      </c>
      <c r="X101" s="24">
        <f t="shared" ca="1" si="56"/>
        <v>6.4162138480939603</v>
      </c>
      <c r="Y101" s="24">
        <f t="shared" ca="1" si="56"/>
        <v>6.2371410606632631</v>
      </c>
      <c r="Z101" s="24">
        <f t="shared" ca="1" si="56"/>
        <v>6.0565749711968948</v>
      </c>
      <c r="AA101" s="24">
        <f t="shared" ca="1" si="56"/>
        <v>5.8632679137879151</v>
      </c>
      <c r="AB101" s="24">
        <f t="shared" ca="1" si="56"/>
        <v>5.6689967280105948</v>
      </c>
      <c r="AC101" s="24">
        <f t="shared" ca="1" si="56"/>
        <v>5.4830676904938356</v>
      </c>
      <c r="AD101" s="24">
        <f t="shared" ca="1" si="56"/>
        <v>5.3014475638415437</v>
      </c>
      <c r="AE101" s="24">
        <f t="shared" ca="1" si="56"/>
        <v>5.1263277937751175</v>
      </c>
      <c r="AF101" s="24">
        <f t="shared" ca="1" si="56"/>
        <v>4.9566105801061893</v>
      </c>
      <c r="AG101" s="24">
        <f t="shared" ca="1" si="56"/>
        <v>4.7990681880495876</v>
      </c>
      <c r="AH101" s="24">
        <f t="shared" ca="1" si="56"/>
        <v>4.6492134023608127</v>
      </c>
      <c r="AI101" s="24">
        <f t="shared" ca="1" si="56"/>
        <v>4.487159952300428</v>
      </c>
      <c r="AJ101" s="24">
        <f t="shared" ca="1" si="56"/>
        <v>4.3290301886997877</v>
      </c>
      <c r="AK101" s="24">
        <f t="shared" ca="1" si="56"/>
        <v>4.179592506228972</v>
      </c>
      <c r="AL101" s="24">
        <f t="shared" ca="1" si="56"/>
        <v>4.0339858903324055</v>
      </c>
      <c r="AM101" s="24">
        <f t="shared" ca="1" si="56"/>
        <v>3.3794367638253076</v>
      </c>
      <c r="AN101" s="24">
        <f t="shared" ca="1" si="56"/>
        <v>2.8558148637198686</v>
      </c>
      <c r="AO101" s="24">
        <f t="shared" ca="1" si="56"/>
        <v>2.8558148637198686</v>
      </c>
      <c r="AP101" s="24">
        <f t="shared" ca="1" si="56"/>
        <v>2.8558148637198686</v>
      </c>
      <c r="AQ101" s="6"/>
      <c r="AR101" s="6"/>
      <c r="AS101" s="6"/>
      <c r="AT101" s="6"/>
      <c r="AU101" s="6"/>
      <c r="AV101" s="6"/>
      <c r="BB101" s="4">
        <f t="shared" si="53"/>
        <v>1</v>
      </c>
    </row>
    <row r="102" spans="1:54">
      <c r="A102" s="22" t="str">
        <f>'[5]TS BYDem'!A16</f>
        <v/>
      </c>
      <c r="B102" s="22" t="str">
        <f>'[5]TS BYDem'!B16</f>
        <v>COM_PROJ</v>
      </c>
      <c r="C102" s="22" t="str">
        <f>'[5]TS BYDem'!C16</f>
        <v>-</v>
      </c>
      <c r="D102" s="22" t="str">
        <f>'[5]TS BYDem'!D16</f>
        <v>RLER</v>
      </c>
      <c r="E102" s="120" t="s">
        <v>137</v>
      </c>
      <c r="F102" s="120" t="s">
        <v>137</v>
      </c>
      <c r="G102" s="120" t="s">
        <v>137</v>
      </c>
      <c r="H102" s="120" t="s">
        <v>137</v>
      </c>
      <c r="I102" s="120">
        <v>0</v>
      </c>
      <c r="J102" s="6">
        <f>'[5]TS BYDem'!J16</f>
        <v>1.4522685698054492</v>
      </c>
      <c r="K102" s="24">
        <f t="shared" si="49"/>
        <v>1.6534920531745438</v>
      </c>
      <c r="L102" s="24">
        <f t="shared" si="46"/>
        <v>1.8547155365436385</v>
      </c>
      <c r="M102" s="24">
        <f t="shared" si="46"/>
        <v>2.0559390199127332</v>
      </c>
      <c r="N102" s="24">
        <f t="shared" si="46"/>
        <v>2.2571625032818279</v>
      </c>
      <c r="O102" s="24">
        <f>'[5]TS BYDem'!O16</f>
        <v>2.4583859866509226</v>
      </c>
      <c r="P102" s="24">
        <f t="shared" ca="1" si="50"/>
        <v>2.4311475086943837</v>
      </c>
      <c r="Q102" s="24">
        <f t="shared" ca="1" si="50"/>
        <v>2.4148043815855584</v>
      </c>
      <c r="R102" s="24">
        <f t="shared" ca="1" si="50"/>
        <v>2.4843639369824042</v>
      </c>
      <c r="S102" s="24">
        <f t="shared" ca="1" si="50"/>
        <v>2.5474007870504325</v>
      </c>
      <c r="T102" s="24">
        <f t="shared" ref="T102:AP102" ca="1" si="57">OFFSET(T$21,$BB102,$J$93)/OFFSET(S$21,$BB102,$J$93)*S102</f>
        <v>2.5007976844441084</v>
      </c>
      <c r="U102" s="24">
        <f t="shared" ca="1" si="57"/>
        <v>2.4573370629217561</v>
      </c>
      <c r="V102" s="24">
        <f t="shared" ca="1" si="57"/>
        <v>2.4049686965110175</v>
      </c>
      <c r="W102" s="24">
        <f t="shared" ca="1" si="57"/>
        <v>2.3482487534546284</v>
      </c>
      <c r="X102" s="24">
        <f t="shared" ca="1" si="57"/>
        <v>2.2882330951296348</v>
      </c>
      <c r="Y102" s="24">
        <f t="shared" ca="1" si="57"/>
        <v>2.2243698436331529</v>
      </c>
      <c r="Z102" s="24">
        <f t="shared" ca="1" si="57"/>
        <v>2.159974031467724</v>
      </c>
      <c r="AA102" s="24">
        <f t="shared" ca="1" si="57"/>
        <v>2.091034370671232</v>
      </c>
      <c r="AB102" s="24">
        <f t="shared" ca="1" si="57"/>
        <v>2.0217508699572093</v>
      </c>
      <c r="AC102" s="24">
        <f t="shared" ca="1" si="57"/>
        <v>1.9554424539561071</v>
      </c>
      <c r="AD102" s="24">
        <f t="shared" ca="1" si="57"/>
        <v>1.8906707374287868</v>
      </c>
      <c r="AE102" s="24">
        <f t="shared" ca="1" si="57"/>
        <v>1.8282172620670627</v>
      </c>
      <c r="AF102" s="24">
        <f t="shared" ca="1" si="57"/>
        <v>1.7676905161815908</v>
      </c>
      <c r="AG102" s="24">
        <f t="shared" ca="1" si="57"/>
        <v>1.7115057125069291</v>
      </c>
      <c r="AH102" s="24">
        <f t="shared" ca="1" si="57"/>
        <v>1.6580625623571756</v>
      </c>
      <c r="AI102" s="24">
        <f t="shared" ca="1" si="57"/>
        <v>1.6002689668836916</v>
      </c>
      <c r="AJ102" s="24">
        <f t="shared" ca="1" si="57"/>
        <v>1.5438746871787687</v>
      </c>
      <c r="AK102" s="24">
        <f t="shared" ca="1" si="57"/>
        <v>1.4905802897685616</v>
      </c>
      <c r="AL102" s="24">
        <f t="shared" ca="1" si="57"/>
        <v>1.4386521768264828</v>
      </c>
      <c r="AM102" s="24">
        <f t="shared" ca="1" si="57"/>
        <v>1.2052184090123583</v>
      </c>
      <c r="AN102" s="24">
        <f t="shared" ca="1" si="57"/>
        <v>1.0184776005662892</v>
      </c>
      <c r="AO102" s="24">
        <f t="shared" ca="1" si="57"/>
        <v>1.0184776005662892</v>
      </c>
      <c r="AP102" s="24">
        <f t="shared" ca="1" si="57"/>
        <v>1.0184776005662892</v>
      </c>
      <c r="AQ102" s="6"/>
      <c r="AR102" s="6"/>
      <c r="AS102" s="6"/>
      <c r="AT102" s="6"/>
      <c r="AU102" s="6"/>
      <c r="AV102" s="6"/>
      <c r="BB102" s="4">
        <f t="shared" si="53"/>
        <v>1</v>
      </c>
    </row>
    <row r="103" spans="1:54">
      <c r="A103" s="22" t="str">
        <f>'[5]TS BYDem'!A17</f>
        <v/>
      </c>
      <c r="B103" s="22" t="str">
        <f>'[5]TS BYDem'!B17</f>
        <v>COM_PROJ</v>
      </c>
      <c r="C103" s="22" t="str">
        <f>'[5]TS BYDem'!C17</f>
        <v>-</v>
      </c>
      <c r="D103" s="22" t="str">
        <f>'[5]TS BYDem'!D17</f>
        <v>RLEO</v>
      </c>
      <c r="E103" s="120" t="s">
        <v>137</v>
      </c>
      <c r="F103" s="120" t="s">
        <v>137</v>
      </c>
      <c r="G103" s="120" t="s">
        <v>137</v>
      </c>
      <c r="H103" s="120" t="s">
        <v>137</v>
      </c>
      <c r="I103" s="120">
        <v>0</v>
      </c>
      <c r="J103" s="6">
        <f>'[5]TS BYDem'!J17</f>
        <v>2.0112975726561855</v>
      </c>
      <c r="K103" s="24">
        <f t="shared" si="49"/>
        <v>2.1151588924082221</v>
      </c>
      <c r="L103" s="24">
        <f t="shared" si="46"/>
        <v>2.2190202121602591</v>
      </c>
      <c r="M103" s="24">
        <f t="shared" si="46"/>
        <v>2.3228815319122957</v>
      </c>
      <c r="N103" s="24">
        <f t="shared" si="46"/>
        <v>2.4267428516643328</v>
      </c>
      <c r="O103" s="24">
        <f>'[5]TS BYDem'!O17</f>
        <v>2.5306041714163694</v>
      </c>
      <c r="P103" s="24">
        <f t="shared" ca="1" si="50"/>
        <v>2.5025655288622137</v>
      </c>
      <c r="Q103" s="24">
        <f t="shared" ca="1" si="50"/>
        <v>2.4857423018099296</v>
      </c>
      <c r="R103" s="24">
        <f t="shared" ca="1" si="50"/>
        <v>2.5573452567588104</v>
      </c>
      <c r="S103" s="24">
        <f t="shared" ca="1" si="50"/>
        <v>2.6222338936943057</v>
      </c>
      <c r="T103" s="24">
        <f t="shared" ref="T103:AP103" ca="1" si="58">OFFSET(T$21,$BB103,$J$93)/OFFSET(S$21,$BB103,$J$93)*S103</f>
        <v>2.5742617662509781</v>
      </c>
      <c r="U103" s="24">
        <f t="shared" ca="1" si="58"/>
        <v>2.5295244342315089</v>
      </c>
      <c r="V103" s="24">
        <f t="shared" ca="1" si="58"/>
        <v>2.4756176810979973</v>
      </c>
      <c r="W103" s="24">
        <f t="shared" ca="1" si="58"/>
        <v>2.4172315182739337</v>
      </c>
      <c r="X103" s="24">
        <f t="shared" ca="1" si="58"/>
        <v>2.3554528243942028</v>
      </c>
      <c r="Y103" s="24">
        <f t="shared" ca="1" si="58"/>
        <v>2.289713509447417</v>
      </c>
      <c r="Z103" s="24">
        <f t="shared" ca="1" si="58"/>
        <v>2.2234259891912584</v>
      </c>
      <c r="AA103" s="24">
        <f t="shared" ca="1" si="58"/>
        <v>2.152461139027392</v>
      </c>
      <c r="AB103" s="24">
        <f t="shared" ca="1" si="58"/>
        <v>2.0811423482153408</v>
      </c>
      <c r="AC103" s="24">
        <f t="shared" ca="1" si="58"/>
        <v>2.0128860389768568</v>
      </c>
      <c r="AD103" s="24">
        <f t="shared" ca="1" si="58"/>
        <v>1.9462115716947139</v>
      </c>
      <c r="AE103" s="24">
        <f t="shared" ca="1" si="58"/>
        <v>1.8819234468322978</v>
      </c>
      <c r="AF103" s="24">
        <f t="shared" ca="1" si="58"/>
        <v>1.8196186515512698</v>
      </c>
      <c r="AG103" s="24">
        <f t="shared" ca="1" si="58"/>
        <v>1.7617833485022951</v>
      </c>
      <c r="AH103" s="24">
        <f t="shared" ca="1" si="58"/>
        <v>1.706770238503714</v>
      </c>
      <c r="AI103" s="24">
        <f t="shared" ca="1" si="58"/>
        <v>1.6472788833705072</v>
      </c>
      <c r="AJ103" s="24">
        <f t="shared" ca="1" si="58"/>
        <v>1.5892279506690414</v>
      </c>
      <c r="AK103" s="24">
        <f t="shared" ca="1" si="58"/>
        <v>1.5343679632090892</v>
      </c>
      <c r="AL103" s="24">
        <f t="shared" ca="1" si="58"/>
        <v>1.4809143965443912</v>
      </c>
      <c r="AM103" s="24">
        <f t="shared" ca="1" si="58"/>
        <v>1.2406232177842089</v>
      </c>
      <c r="AN103" s="24">
        <f t="shared" ca="1" si="58"/>
        <v>1.0483966628846386</v>
      </c>
      <c r="AO103" s="24">
        <f t="shared" ca="1" si="58"/>
        <v>1.0483966628846386</v>
      </c>
      <c r="AP103" s="24">
        <f t="shared" ca="1" si="58"/>
        <v>1.0483966628846386</v>
      </c>
      <c r="AQ103" s="6"/>
      <c r="AR103" s="6"/>
      <c r="AS103" s="6"/>
      <c r="AT103" s="6"/>
      <c r="AU103" s="6"/>
      <c r="AV103" s="6"/>
      <c r="BB103" s="4">
        <f t="shared" si="53"/>
        <v>1</v>
      </c>
    </row>
    <row r="104" spans="1:54">
      <c r="A104" s="22" t="str">
        <f>'[5]TS BYDem'!A18</f>
        <v>*</v>
      </c>
      <c r="B104" s="22" t="str">
        <f>'[5]TS BYDem'!B18</f>
        <v>COM_PROJ</v>
      </c>
      <c r="C104" s="22" t="str">
        <f>'[5]TS BYDem'!C18</f>
        <v>-</v>
      </c>
      <c r="D104" s="22">
        <f>'[5]TS BYDem'!D18</f>
        <v>0</v>
      </c>
      <c r="E104" s="120" t="s">
        <v>137</v>
      </c>
      <c r="F104" s="120" t="s">
        <v>137</v>
      </c>
      <c r="G104" s="120" t="s">
        <v>137</v>
      </c>
      <c r="H104" s="120" t="s">
        <v>137</v>
      </c>
      <c r="I104" s="120">
        <v>0</v>
      </c>
      <c r="J104" s="6">
        <f>'[5]TS BYDem'!J18</f>
        <v>0</v>
      </c>
      <c r="K104" s="24">
        <f t="shared" si="49"/>
        <v>0</v>
      </c>
      <c r="L104" s="24">
        <f t="shared" si="46"/>
        <v>0</v>
      </c>
      <c r="M104" s="24">
        <f t="shared" si="46"/>
        <v>0</v>
      </c>
      <c r="N104" s="24">
        <f t="shared" si="46"/>
        <v>0</v>
      </c>
      <c r="O104" s="24">
        <f>'[5]TS BYDem'!O18</f>
        <v>0</v>
      </c>
      <c r="P104" s="24" t="e">
        <f t="shared" ref="P104:AP104" ca="1" si="59">OFFSET(P$33,$BB104,$J$93)/OFFSET(O$33,$BB104,$J$93)*O104</f>
        <v>#N/A</v>
      </c>
      <c r="Q104" s="24" t="e">
        <f t="shared" ca="1" si="59"/>
        <v>#N/A</v>
      </c>
      <c r="R104" s="24" t="e">
        <f t="shared" ca="1" si="59"/>
        <v>#N/A</v>
      </c>
      <c r="S104" s="24" t="e">
        <f t="shared" ca="1" si="59"/>
        <v>#N/A</v>
      </c>
      <c r="T104" s="24" t="e">
        <f t="shared" ca="1" si="59"/>
        <v>#N/A</v>
      </c>
      <c r="U104" s="24" t="e">
        <f t="shared" ca="1" si="59"/>
        <v>#N/A</v>
      </c>
      <c r="V104" s="24" t="e">
        <f t="shared" ca="1" si="59"/>
        <v>#N/A</v>
      </c>
      <c r="W104" s="24" t="e">
        <f t="shared" ca="1" si="59"/>
        <v>#N/A</v>
      </c>
      <c r="X104" s="24" t="e">
        <f t="shared" ca="1" si="59"/>
        <v>#N/A</v>
      </c>
      <c r="Y104" s="24" t="e">
        <f t="shared" ca="1" si="59"/>
        <v>#N/A</v>
      </c>
      <c r="Z104" s="24" t="e">
        <f t="shared" ca="1" si="59"/>
        <v>#N/A</v>
      </c>
      <c r="AA104" s="24" t="e">
        <f t="shared" ca="1" si="59"/>
        <v>#N/A</v>
      </c>
      <c r="AB104" s="24" t="e">
        <f t="shared" ca="1" si="59"/>
        <v>#N/A</v>
      </c>
      <c r="AC104" s="24" t="e">
        <f t="shared" ca="1" si="59"/>
        <v>#N/A</v>
      </c>
      <c r="AD104" s="24" t="e">
        <f t="shared" ca="1" si="59"/>
        <v>#N/A</v>
      </c>
      <c r="AE104" s="24" t="e">
        <f t="shared" ca="1" si="59"/>
        <v>#N/A</v>
      </c>
      <c r="AF104" s="24" t="e">
        <f t="shared" ca="1" si="59"/>
        <v>#N/A</v>
      </c>
      <c r="AG104" s="24" t="e">
        <f t="shared" ca="1" si="59"/>
        <v>#N/A</v>
      </c>
      <c r="AH104" s="24" t="e">
        <f t="shared" ca="1" si="59"/>
        <v>#N/A</v>
      </c>
      <c r="AI104" s="24" t="e">
        <f t="shared" ca="1" si="59"/>
        <v>#N/A</v>
      </c>
      <c r="AJ104" s="24" t="e">
        <f t="shared" ca="1" si="59"/>
        <v>#N/A</v>
      </c>
      <c r="AK104" s="24" t="e">
        <f t="shared" ca="1" si="59"/>
        <v>#N/A</v>
      </c>
      <c r="AL104" s="24" t="e">
        <f t="shared" ca="1" si="59"/>
        <v>#N/A</v>
      </c>
      <c r="AM104" s="24" t="e">
        <f t="shared" ca="1" si="59"/>
        <v>#N/A</v>
      </c>
      <c r="AN104" s="24" t="e">
        <f t="shared" ca="1" si="59"/>
        <v>#N/A</v>
      </c>
      <c r="AO104" s="24" t="e">
        <f t="shared" ca="1" si="59"/>
        <v>#N/A</v>
      </c>
      <c r="AP104" s="24" t="e">
        <f t="shared" ca="1" si="59"/>
        <v>#N/A</v>
      </c>
      <c r="AQ104" s="6"/>
      <c r="AR104" s="6"/>
      <c r="AS104" s="6"/>
      <c r="AT104" s="6"/>
      <c r="AU104" s="6"/>
      <c r="AV104" s="6"/>
      <c r="BB104" s="4" t="e">
        <f t="shared" si="53"/>
        <v>#N/A</v>
      </c>
    </row>
    <row r="105" spans="1:54">
      <c r="A105" s="22" t="str">
        <f>'[5]TS BYDem'!A19</f>
        <v>*</v>
      </c>
      <c r="B105" s="22" t="str">
        <f>'[5]TS BYDem'!B19</f>
        <v>COM_PROJ</v>
      </c>
      <c r="C105" s="22" t="str">
        <f>'[5]TS BYDem'!C19</f>
        <v>-</v>
      </c>
      <c r="D105" s="22">
        <f>'[5]TS BYDem'!D19</f>
        <v>0</v>
      </c>
      <c r="E105" s="120" t="s">
        <v>137</v>
      </c>
      <c r="F105" s="120" t="s">
        <v>137</v>
      </c>
      <c r="G105" s="120" t="s">
        <v>137</v>
      </c>
      <c r="H105" s="120" t="s">
        <v>137</v>
      </c>
      <c r="I105" s="120">
        <v>0</v>
      </c>
      <c r="J105" s="6">
        <f>'[5]TS BYDem'!J19</f>
        <v>0</v>
      </c>
      <c r="K105" s="24">
        <f t="shared" si="49"/>
        <v>0</v>
      </c>
      <c r="L105" s="24">
        <f t="shared" si="46"/>
        <v>0</v>
      </c>
      <c r="M105" s="24">
        <f t="shared" si="46"/>
        <v>0</v>
      </c>
      <c r="N105" s="24">
        <f t="shared" si="46"/>
        <v>0</v>
      </c>
      <c r="O105" s="24">
        <f>'[5]TS BYDem'!O19</f>
        <v>0</v>
      </c>
      <c r="P105" s="24" t="e">
        <f t="shared" ref="P105:AP105" ca="1" si="60">OFFSET(P$33,$BB105,$J$93)/OFFSET(O$33,$BB105,$J$93)*O105</f>
        <v>#N/A</v>
      </c>
      <c r="Q105" s="24" t="e">
        <f t="shared" ca="1" si="60"/>
        <v>#N/A</v>
      </c>
      <c r="R105" s="24" t="e">
        <f t="shared" ca="1" si="60"/>
        <v>#N/A</v>
      </c>
      <c r="S105" s="24" t="e">
        <f t="shared" ca="1" si="60"/>
        <v>#N/A</v>
      </c>
      <c r="T105" s="24" t="e">
        <f t="shared" ca="1" si="60"/>
        <v>#N/A</v>
      </c>
      <c r="U105" s="24" t="e">
        <f t="shared" ca="1" si="60"/>
        <v>#N/A</v>
      </c>
      <c r="V105" s="24" t="e">
        <f t="shared" ca="1" si="60"/>
        <v>#N/A</v>
      </c>
      <c r="W105" s="24" t="e">
        <f t="shared" ca="1" si="60"/>
        <v>#N/A</v>
      </c>
      <c r="X105" s="24" t="e">
        <f t="shared" ca="1" si="60"/>
        <v>#N/A</v>
      </c>
      <c r="Y105" s="24" t="e">
        <f t="shared" ca="1" si="60"/>
        <v>#N/A</v>
      </c>
      <c r="Z105" s="24" t="e">
        <f t="shared" ca="1" si="60"/>
        <v>#N/A</v>
      </c>
      <c r="AA105" s="24" t="e">
        <f t="shared" ca="1" si="60"/>
        <v>#N/A</v>
      </c>
      <c r="AB105" s="24" t="e">
        <f t="shared" ca="1" si="60"/>
        <v>#N/A</v>
      </c>
      <c r="AC105" s="24" t="e">
        <f t="shared" ca="1" si="60"/>
        <v>#N/A</v>
      </c>
      <c r="AD105" s="24" t="e">
        <f t="shared" ca="1" si="60"/>
        <v>#N/A</v>
      </c>
      <c r="AE105" s="24" t="e">
        <f t="shared" ca="1" si="60"/>
        <v>#N/A</v>
      </c>
      <c r="AF105" s="24" t="e">
        <f t="shared" ca="1" si="60"/>
        <v>#N/A</v>
      </c>
      <c r="AG105" s="24" t="e">
        <f t="shared" ca="1" si="60"/>
        <v>#N/A</v>
      </c>
      <c r="AH105" s="24" t="e">
        <f t="shared" ca="1" si="60"/>
        <v>#N/A</v>
      </c>
      <c r="AI105" s="24" t="e">
        <f t="shared" ca="1" si="60"/>
        <v>#N/A</v>
      </c>
      <c r="AJ105" s="24" t="e">
        <f t="shared" ca="1" si="60"/>
        <v>#N/A</v>
      </c>
      <c r="AK105" s="24" t="e">
        <f t="shared" ca="1" si="60"/>
        <v>#N/A</v>
      </c>
      <c r="AL105" s="24" t="e">
        <f t="shared" ca="1" si="60"/>
        <v>#N/A</v>
      </c>
      <c r="AM105" s="24" t="e">
        <f t="shared" ca="1" si="60"/>
        <v>#N/A</v>
      </c>
      <c r="AN105" s="24" t="e">
        <f t="shared" ca="1" si="60"/>
        <v>#N/A</v>
      </c>
      <c r="AO105" s="24" t="e">
        <f t="shared" ca="1" si="60"/>
        <v>#N/A</v>
      </c>
      <c r="AP105" s="24" t="e">
        <f t="shared" ca="1" si="60"/>
        <v>#N/A</v>
      </c>
      <c r="AQ105" s="6"/>
      <c r="AR105" s="6"/>
      <c r="AS105" s="6"/>
      <c r="AT105" s="6"/>
      <c r="AU105" s="6"/>
      <c r="AV105" s="6"/>
      <c r="BB105" s="4" t="e">
        <f t="shared" si="53"/>
        <v>#N/A</v>
      </c>
    </row>
    <row r="106" spans="1:54">
      <c r="A106" s="22" t="str">
        <f>'[5]TS BYDem'!A20</f>
        <v>*</v>
      </c>
      <c r="B106" s="22" t="str">
        <f>'[5]TS BYDem'!B20</f>
        <v>COM_PROJ</v>
      </c>
      <c r="C106" s="22" t="str">
        <f>'[5]TS BYDem'!C20</f>
        <v>-</v>
      </c>
      <c r="D106" s="22">
        <f>'[5]TS BYDem'!D20</f>
        <v>0</v>
      </c>
      <c r="E106" s="120" t="s">
        <v>137</v>
      </c>
      <c r="F106" s="120" t="s">
        <v>137</v>
      </c>
      <c r="G106" s="120" t="s">
        <v>137</v>
      </c>
      <c r="H106" s="120" t="s">
        <v>137</v>
      </c>
      <c r="I106" s="120">
        <v>0</v>
      </c>
      <c r="J106" s="6">
        <f>'[5]TS BYDem'!J20</f>
        <v>0</v>
      </c>
      <c r="K106" s="24">
        <f t="shared" si="49"/>
        <v>0</v>
      </c>
      <c r="L106" s="24">
        <f t="shared" si="46"/>
        <v>0</v>
      </c>
      <c r="M106" s="24">
        <f t="shared" si="46"/>
        <v>0</v>
      </c>
      <c r="N106" s="24">
        <f t="shared" si="46"/>
        <v>0</v>
      </c>
      <c r="O106" s="24">
        <f>'[5]TS BYDem'!O20</f>
        <v>0</v>
      </c>
      <c r="P106" s="24" t="e">
        <f t="shared" ref="P106:AP106" ca="1" si="61">OFFSET(P$33,$BB106,$J$93)/OFFSET(O$33,$BB106,$J$93)*O106</f>
        <v>#N/A</v>
      </c>
      <c r="Q106" s="24" t="e">
        <f t="shared" ca="1" si="61"/>
        <v>#N/A</v>
      </c>
      <c r="R106" s="24" t="e">
        <f t="shared" ca="1" si="61"/>
        <v>#N/A</v>
      </c>
      <c r="S106" s="24" t="e">
        <f t="shared" ca="1" si="61"/>
        <v>#N/A</v>
      </c>
      <c r="T106" s="24" t="e">
        <f t="shared" ca="1" si="61"/>
        <v>#N/A</v>
      </c>
      <c r="U106" s="24" t="e">
        <f t="shared" ca="1" si="61"/>
        <v>#N/A</v>
      </c>
      <c r="V106" s="24" t="e">
        <f t="shared" ca="1" si="61"/>
        <v>#N/A</v>
      </c>
      <c r="W106" s="24" t="e">
        <f t="shared" ca="1" si="61"/>
        <v>#N/A</v>
      </c>
      <c r="X106" s="24" t="e">
        <f t="shared" ca="1" si="61"/>
        <v>#N/A</v>
      </c>
      <c r="Y106" s="24" t="e">
        <f t="shared" ca="1" si="61"/>
        <v>#N/A</v>
      </c>
      <c r="Z106" s="24" t="e">
        <f t="shared" ca="1" si="61"/>
        <v>#N/A</v>
      </c>
      <c r="AA106" s="24" t="e">
        <f t="shared" ca="1" si="61"/>
        <v>#N/A</v>
      </c>
      <c r="AB106" s="24" t="e">
        <f t="shared" ca="1" si="61"/>
        <v>#N/A</v>
      </c>
      <c r="AC106" s="24" t="e">
        <f t="shared" ca="1" si="61"/>
        <v>#N/A</v>
      </c>
      <c r="AD106" s="24" t="e">
        <f t="shared" ca="1" si="61"/>
        <v>#N/A</v>
      </c>
      <c r="AE106" s="24" t="e">
        <f t="shared" ca="1" si="61"/>
        <v>#N/A</v>
      </c>
      <c r="AF106" s="24" t="e">
        <f t="shared" ca="1" si="61"/>
        <v>#N/A</v>
      </c>
      <c r="AG106" s="24" t="e">
        <f t="shared" ca="1" si="61"/>
        <v>#N/A</v>
      </c>
      <c r="AH106" s="24" t="e">
        <f t="shared" ca="1" si="61"/>
        <v>#N/A</v>
      </c>
      <c r="AI106" s="24" t="e">
        <f t="shared" ca="1" si="61"/>
        <v>#N/A</v>
      </c>
      <c r="AJ106" s="24" t="e">
        <f t="shared" ca="1" si="61"/>
        <v>#N/A</v>
      </c>
      <c r="AK106" s="24" t="e">
        <f t="shared" ca="1" si="61"/>
        <v>#N/A</v>
      </c>
      <c r="AL106" s="24" t="e">
        <f t="shared" ca="1" si="61"/>
        <v>#N/A</v>
      </c>
      <c r="AM106" s="24" t="e">
        <f t="shared" ca="1" si="61"/>
        <v>#N/A</v>
      </c>
      <c r="AN106" s="24" t="e">
        <f t="shared" ca="1" si="61"/>
        <v>#N/A</v>
      </c>
      <c r="AO106" s="24" t="e">
        <f t="shared" ca="1" si="61"/>
        <v>#N/A</v>
      </c>
      <c r="AP106" s="24" t="e">
        <f t="shared" ca="1" si="61"/>
        <v>#N/A</v>
      </c>
      <c r="AQ106" s="6"/>
      <c r="AR106" s="6"/>
      <c r="AS106" s="6"/>
      <c r="AT106" s="6"/>
      <c r="AU106" s="6"/>
      <c r="AV106" s="6"/>
      <c r="BB106" s="4" t="e">
        <f t="shared" si="53"/>
        <v>#N/A</v>
      </c>
    </row>
    <row r="107" spans="1:54">
      <c r="A107" s="22" t="str">
        <f>'[5]TS BYDem'!A21</f>
        <v/>
      </c>
      <c r="B107" s="22" t="str">
        <f>'[5]TS BYDem'!B21</f>
        <v>COM_PROJ</v>
      </c>
      <c r="C107" s="22" t="str">
        <f>'[5]TS BYDem'!C21</f>
        <v>-</v>
      </c>
      <c r="D107" s="22" t="str">
        <f>'[5]TS BYDem'!D21</f>
        <v>RMEL</v>
      </c>
      <c r="E107" s="120" t="s">
        <v>137</v>
      </c>
      <c r="F107" s="120" t="s">
        <v>137</v>
      </c>
      <c r="G107" s="120" t="s">
        <v>137</v>
      </c>
      <c r="H107" s="120" t="s">
        <v>137</v>
      </c>
      <c r="I107" s="120">
        <v>0</v>
      </c>
      <c r="J107" s="6">
        <f>'[5]TS BYDem'!J21</f>
        <v>16.022685217204927</v>
      </c>
      <c r="K107" s="24">
        <f t="shared" si="49"/>
        <v>17.249355448173041</v>
      </c>
      <c r="L107" s="24">
        <f t="shared" si="46"/>
        <v>18.476025679141156</v>
      </c>
      <c r="M107" s="24">
        <f t="shared" si="46"/>
        <v>19.702695910109274</v>
      </c>
      <c r="N107" s="24">
        <f t="shared" si="46"/>
        <v>20.929366141077388</v>
      </c>
      <c r="O107" s="24">
        <f>'[5]TS BYDem'!O21</f>
        <v>22.156036372045502</v>
      </c>
      <c r="P107" s="24">
        <f t="shared" ref="P107:AP107" ca="1" si="62">OFFSET(P$33,$BB107,$J$93)/OFFSET(O$33,$BB107,$J$93)*O107</f>
        <v>22.788483398017178</v>
      </c>
      <c r="Q107" s="24">
        <f t="shared" ca="1" si="62"/>
        <v>23.494987175320244</v>
      </c>
      <c r="R107" s="24">
        <f t="shared" ca="1" si="62"/>
        <v>24.857823264597748</v>
      </c>
      <c r="S107" s="24">
        <f t="shared" ca="1" si="62"/>
        <v>24.017016137033156</v>
      </c>
      <c r="T107" s="24">
        <f t="shared" ca="1" si="62"/>
        <v>24.698664551795062</v>
      </c>
      <c r="U107" s="24">
        <f t="shared" ca="1" si="62"/>
        <v>25.284633987427917</v>
      </c>
      <c r="V107" s="24">
        <f t="shared" ca="1" si="62"/>
        <v>25.881795329582069</v>
      </c>
      <c r="W107" s="24">
        <f t="shared" ca="1" si="62"/>
        <v>26.535819801969737</v>
      </c>
      <c r="X107" s="24">
        <f t="shared" ca="1" si="62"/>
        <v>27.173775034353291</v>
      </c>
      <c r="Y107" s="24">
        <f t="shared" ca="1" si="62"/>
        <v>27.871133773976002</v>
      </c>
      <c r="Z107" s="24">
        <f t="shared" ca="1" si="62"/>
        <v>28.5610799031206</v>
      </c>
      <c r="AA107" s="24">
        <f t="shared" ca="1" si="62"/>
        <v>29.23557424571321</v>
      </c>
      <c r="AB107" s="24">
        <f t="shared" ca="1" si="62"/>
        <v>29.975918254673299</v>
      </c>
      <c r="AC107" s="24">
        <f t="shared" ca="1" si="62"/>
        <v>30.531471830317521</v>
      </c>
      <c r="AD107" s="24">
        <f t="shared" ca="1" si="62"/>
        <v>31.102800027010172</v>
      </c>
      <c r="AE107" s="24">
        <f t="shared" ca="1" si="62"/>
        <v>31.660761809655359</v>
      </c>
      <c r="AF107" s="24">
        <f t="shared" ca="1" si="62"/>
        <v>32.213529772734674</v>
      </c>
      <c r="AG107" s="24">
        <f t="shared" ca="1" si="62"/>
        <v>32.786951082196467</v>
      </c>
      <c r="AH107" s="24">
        <f t="shared" ca="1" si="62"/>
        <v>33.31697306499418</v>
      </c>
      <c r="AI107" s="24">
        <f t="shared" ca="1" si="62"/>
        <v>33.819670838187449</v>
      </c>
      <c r="AJ107" s="24">
        <f t="shared" ca="1" si="62"/>
        <v>34.376326095069011</v>
      </c>
      <c r="AK107" s="24">
        <f t="shared" ca="1" si="62"/>
        <v>34.900528838685879</v>
      </c>
      <c r="AL107" s="24">
        <f t="shared" ca="1" si="62"/>
        <v>35.428560753583994</v>
      </c>
      <c r="AM107" s="24">
        <f t="shared" ca="1" si="62"/>
        <v>38.945546854635055</v>
      </c>
      <c r="AN107" s="24">
        <f t="shared" ca="1" si="62"/>
        <v>42.483905921546928</v>
      </c>
      <c r="AO107" s="24">
        <f t="shared" ca="1" si="62"/>
        <v>42.483905921546928</v>
      </c>
      <c r="AP107" s="24">
        <f t="shared" ca="1" si="62"/>
        <v>42.483905921546928</v>
      </c>
      <c r="AQ107" s="6"/>
      <c r="AR107" s="6"/>
      <c r="AS107" s="200"/>
      <c r="AT107" s="200"/>
      <c r="AU107" s="6"/>
      <c r="AV107" s="6"/>
      <c r="BB107" s="4">
        <f t="shared" si="53"/>
        <v>2</v>
      </c>
    </row>
    <row r="108" spans="1:54">
      <c r="A108" s="22" t="str">
        <f>'[5]TS BYDem'!A22</f>
        <v/>
      </c>
      <c r="B108" s="22" t="str">
        <f>'[5]TS BYDem'!B22</f>
        <v>COM_PROJ</v>
      </c>
      <c r="C108" s="22" t="str">
        <f>'[5]TS BYDem'!C22</f>
        <v>-</v>
      </c>
      <c r="D108" s="22" t="str">
        <f>'[5]TS BYDem'!D22</f>
        <v>RMNL</v>
      </c>
      <c r="E108" s="120" t="s">
        <v>137</v>
      </c>
      <c r="F108" s="120" t="s">
        <v>137</v>
      </c>
      <c r="G108" s="120" t="s">
        <v>137</v>
      </c>
      <c r="H108" s="120" t="s">
        <v>137</v>
      </c>
      <c r="I108" s="120">
        <v>0</v>
      </c>
      <c r="J108" s="6">
        <f>'[5]TS BYDem'!J22</f>
        <v>3.3422499241462768E-2</v>
      </c>
      <c r="K108" s="24">
        <f t="shared" si="49"/>
        <v>4.0659252524006942E-2</v>
      </c>
      <c r="L108" s="24">
        <f t="shared" si="46"/>
        <v>4.7896005806551116E-2</v>
      </c>
      <c r="M108" s="24">
        <f t="shared" si="46"/>
        <v>5.513275908909529E-2</v>
      </c>
      <c r="N108" s="24">
        <f t="shared" si="46"/>
        <v>6.2369512371639464E-2</v>
      </c>
      <c r="O108" s="24">
        <f>'[5]TS BYDem'!O22</f>
        <v>6.9606265654183638E-2</v>
      </c>
      <c r="P108" s="24">
        <f t="shared" ref="P108:AO108" ca="1" si="63">IF($E$78=1, P88, P82)</f>
        <v>5.9824435881239896E-2</v>
      </c>
      <c r="Q108" s="24">
        <f t="shared" ca="1" si="63"/>
        <v>6.1679152984915102E-2</v>
      </c>
      <c r="R108" s="24">
        <f t="shared" ca="1" si="63"/>
        <v>6.5256876820925874E-2</v>
      </c>
      <c r="S108" s="24">
        <f t="shared" ca="1" si="63"/>
        <v>6.304958591819497E-2</v>
      </c>
      <c r="T108" s="24">
        <f t="shared" ca="1" si="63"/>
        <v>6.4839052604952221E-2</v>
      </c>
      <c r="U108" s="24">
        <f t="shared" ca="1" si="63"/>
        <v>6.6377342376944426E-2</v>
      </c>
      <c r="V108" s="24">
        <f t="shared" ca="1" si="63"/>
        <v>6.7945013195598578E-2</v>
      </c>
      <c r="W108" s="24">
        <f t="shared" ca="1" si="63"/>
        <v>6.9661961376385459E-2</v>
      </c>
      <c r="X108" s="24">
        <f t="shared" ca="1" si="63"/>
        <v>7.1336724511265784E-2</v>
      </c>
      <c r="Y108" s="24">
        <f t="shared" ca="1" si="63"/>
        <v>7.3167434018174479E-2</v>
      </c>
      <c r="Z108" s="24">
        <f t="shared" ca="1" si="63"/>
        <v>7.4978683904514523E-2</v>
      </c>
      <c r="AA108" s="24">
        <f t="shared" ca="1" si="63"/>
        <v>7.6749369686711047E-2</v>
      </c>
      <c r="AB108" s="24">
        <f t="shared" ca="1" si="63"/>
        <v>7.8692924328787259E-2</v>
      </c>
      <c r="AC108" s="24">
        <f t="shared" ca="1" si="63"/>
        <v>8.0151366239301275E-2</v>
      </c>
      <c r="AD108" s="24">
        <f t="shared" ca="1" si="63"/>
        <v>8.1651219760626781E-2</v>
      </c>
      <c r="AE108" s="24">
        <f t="shared" ca="1" si="63"/>
        <v>8.3115983707706453E-2</v>
      </c>
      <c r="AF108" s="24">
        <f t="shared" ca="1" si="63"/>
        <v>8.4567112814758816E-2</v>
      </c>
      <c r="AG108" s="24">
        <f t="shared" ca="1" si="63"/>
        <v>8.6072461185761784E-2</v>
      </c>
      <c r="AH108" s="24">
        <f t="shared" ca="1" si="63"/>
        <v>8.7463877436317894E-2</v>
      </c>
      <c r="AI108" s="24">
        <f t="shared" ca="1" si="63"/>
        <v>8.8783562040808048E-2</v>
      </c>
      <c r="AJ108" s="24">
        <f t="shared" ca="1" si="63"/>
        <v>9.0244896090188612E-2</v>
      </c>
      <c r="AK108" s="24">
        <f t="shared" ca="1" si="63"/>
        <v>9.162103564614546E-2</v>
      </c>
      <c r="AL108" s="24">
        <f t="shared" ca="1" si="63"/>
        <v>9.3007227560909705E-2</v>
      </c>
      <c r="AM108" s="24">
        <f t="shared" ca="1" si="63"/>
        <v>0.10224003633640935</v>
      </c>
      <c r="AN108" s="24">
        <f t="shared" ca="1" si="63"/>
        <v>0.11152895352436454</v>
      </c>
      <c r="AO108" s="24">
        <f t="shared" ca="1" si="63"/>
        <v>0.11152895352436454</v>
      </c>
      <c r="AP108" s="24">
        <f ca="1">IF($E$78=1, AP88, AP82)</f>
        <v>0.11152895352436454</v>
      </c>
      <c r="AQ108" s="6"/>
      <c r="AR108" s="6"/>
      <c r="AS108" s="200"/>
      <c r="AT108" s="200"/>
      <c r="AU108" s="6"/>
      <c r="AV108" s="6"/>
      <c r="BB108" s="229">
        <v>2</v>
      </c>
    </row>
    <row r="109" spans="1:54">
      <c r="A109" s="22" t="str">
        <f>'[5]TS BYDem'!A23</f>
        <v/>
      </c>
      <c r="B109" s="22" t="str">
        <f>'[5]TS BYDem'!B23</f>
        <v>COM_PROJ</v>
      </c>
      <c r="C109" s="22" t="str">
        <f>'[5]TS BYDem'!C23</f>
        <v>-</v>
      </c>
      <c r="D109" s="22" t="str">
        <f>'[5]TS BYDem'!D23</f>
        <v>RMEK</v>
      </c>
      <c r="E109" s="120" t="s">
        <v>137</v>
      </c>
      <c r="F109" s="120" t="s">
        <v>137</v>
      </c>
      <c r="G109" s="120" t="s">
        <v>137</v>
      </c>
      <c r="H109" s="120" t="s">
        <v>137</v>
      </c>
      <c r="I109" s="120">
        <v>0</v>
      </c>
      <c r="J109" s="6">
        <f>'[5]TS BYDem'!J23</f>
        <v>9.0407206613711697</v>
      </c>
      <c r="K109" s="24">
        <f t="shared" si="49"/>
        <v>8.8932969332630538</v>
      </c>
      <c r="L109" s="24">
        <f t="shared" si="46"/>
        <v>8.7458732051549379</v>
      </c>
      <c r="M109" s="24">
        <f t="shared" si="46"/>
        <v>8.5984494770468238</v>
      </c>
      <c r="N109" s="24">
        <f t="shared" si="46"/>
        <v>8.4510257489387079</v>
      </c>
      <c r="O109" s="24">
        <f>'[5]TS BYDem'!O23</f>
        <v>8.3036020208305921</v>
      </c>
      <c r="P109" s="24">
        <f t="shared" ref="P109:AP109" ca="1" si="64">OFFSET(P$33,$BB109,$J$93)/OFFSET(O$33,$BB109,$J$93)*O109</f>
        <v>8.5406294527566686</v>
      </c>
      <c r="Q109" s="24">
        <f t="shared" ca="1" si="64"/>
        <v>8.8054117493022748</v>
      </c>
      <c r="R109" s="24">
        <f t="shared" ca="1" si="64"/>
        <v>9.3161731650608992</v>
      </c>
      <c r="S109" s="24">
        <f t="shared" ca="1" si="64"/>
        <v>9.0010568849493975</v>
      </c>
      <c r="T109" s="24">
        <f t="shared" ca="1" si="64"/>
        <v>9.2565239305557316</v>
      </c>
      <c r="U109" s="24">
        <f t="shared" ca="1" si="64"/>
        <v>9.4761325694007628</v>
      </c>
      <c r="V109" s="24">
        <f t="shared" ca="1" si="64"/>
        <v>9.6999356921348188</v>
      </c>
      <c r="W109" s="24">
        <f t="shared" ca="1" si="64"/>
        <v>9.9450498831118175</v>
      </c>
      <c r="X109" s="24">
        <f t="shared" ca="1" si="64"/>
        <v>10.184141671366111</v>
      </c>
      <c r="Y109" s="24">
        <f t="shared" ca="1" si="64"/>
        <v>10.445496606081829</v>
      </c>
      <c r="Z109" s="24">
        <f t="shared" ca="1" si="64"/>
        <v>10.704073455118676</v>
      </c>
      <c r="AA109" s="24">
        <f t="shared" ca="1" si="64"/>
        <v>10.956859309598375</v>
      </c>
      <c r="AB109" s="24">
        <f t="shared" ca="1" si="64"/>
        <v>11.23432419120812</v>
      </c>
      <c r="AC109" s="24">
        <f t="shared" ca="1" si="64"/>
        <v>11.442533625239355</v>
      </c>
      <c r="AD109" s="24">
        <f t="shared" ca="1" si="64"/>
        <v>11.656655045196954</v>
      </c>
      <c r="AE109" s="24">
        <f t="shared" ca="1" si="64"/>
        <v>11.865767022994772</v>
      </c>
      <c r="AF109" s="24">
        <f t="shared" ca="1" si="64"/>
        <v>12.072932469837378</v>
      </c>
      <c r="AG109" s="24">
        <f t="shared" ca="1" si="64"/>
        <v>12.287838343075689</v>
      </c>
      <c r="AH109" s="24">
        <f t="shared" ca="1" si="64"/>
        <v>12.48647908971197</v>
      </c>
      <c r="AI109" s="24">
        <f t="shared" ca="1" si="64"/>
        <v>12.674879315061903</v>
      </c>
      <c r="AJ109" s="24">
        <f t="shared" ca="1" si="64"/>
        <v>12.883501635333035</v>
      </c>
      <c r="AK109" s="24">
        <f t="shared" ca="1" si="64"/>
        <v>13.079961457303446</v>
      </c>
      <c r="AL109" s="24">
        <f t="shared" ca="1" si="64"/>
        <v>13.277856369641787</v>
      </c>
      <c r="AM109" s="24">
        <f t="shared" ca="1" si="64"/>
        <v>14.595946501176652</v>
      </c>
      <c r="AN109" s="24">
        <f t="shared" ca="1" si="64"/>
        <v>15.922046756884129</v>
      </c>
      <c r="AO109" s="24">
        <f t="shared" ca="1" si="64"/>
        <v>15.922046756884129</v>
      </c>
      <c r="AP109" s="24">
        <f t="shared" ca="1" si="64"/>
        <v>15.922046756884129</v>
      </c>
      <c r="AQ109" s="6"/>
      <c r="AR109" s="6"/>
      <c r="AS109" s="200"/>
      <c r="AT109" s="200"/>
      <c r="AU109" s="6"/>
      <c r="AV109" s="6"/>
      <c r="BB109" s="4">
        <f t="shared" si="53"/>
        <v>2</v>
      </c>
    </row>
    <row r="110" spans="1:54">
      <c r="A110" s="22" t="str">
        <f>'[5]TS BYDem'!A24</f>
        <v/>
      </c>
      <c r="B110" s="22" t="str">
        <f>'[5]TS BYDem'!B24</f>
        <v>COM_PROJ</v>
      </c>
      <c r="C110" s="22" t="str">
        <f>'[5]TS BYDem'!C24</f>
        <v>-</v>
      </c>
      <c r="D110" s="22" t="str">
        <f>'[5]TS BYDem'!D24</f>
        <v>RMEH</v>
      </c>
      <c r="E110" s="120" t="s">
        <v>137</v>
      </c>
      <c r="F110" s="120" t="s">
        <v>137</v>
      </c>
      <c r="G110" s="120" t="s">
        <v>137</v>
      </c>
      <c r="H110" s="120" t="s">
        <v>137</v>
      </c>
      <c r="I110" s="120">
        <v>0</v>
      </c>
      <c r="J110" s="6">
        <f>'[5]TS BYDem'!J24</f>
        <v>13.155695330373915</v>
      </c>
      <c r="K110" s="24">
        <f t="shared" si="49"/>
        <v>13.019773153070009</v>
      </c>
      <c r="L110" s="24">
        <f t="shared" si="46"/>
        <v>12.883850975766103</v>
      </c>
      <c r="M110" s="24">
        <f t="shared" si="46"/>
        <v>12.747928798462198</v>
      </c>
      <c r="N110" s="24">
        <f t="shared" si="46"/>
        <v>12.612006621158292</v>
      </c>
      <c r="O110" s="24">
        <f>'[5]TS BYDem'!O24</f>
        <v>12.476084443854386</v>
      </c>
      <c r="P110" s="24">
        <f t="shared" ref="P110:AP110" ca="1" si="65">OFFSET(P$33,$BB110,$J$93)/OFFSET(O$33,$BB110,$J$93)*O110</f>
        <v>12.832215945436623</v>
      </c>
      <c r="Q110" s="24">
        <f t="shared" ca="1" si="65"/>
        <v>13.230048871756258</v>
      </c>
      <c r="R110" s="24">
        <f t="shared" ca="1" si="65"/>
        <v>13.997463126158326</v>
      </c>
      <c r="S110" s="24">
        <f t="shared" ca="1" si="65"/>
        <v>13.524003859873414</v>
      </c>
      <c r="T110" s="24">
        <f t="shared" ca="1" si="65"/>
        <v>13.907840708702521</v>
      </c>
      <c r="U110" s="24">
        <f t="shared" ca="1" si="65"/>
        <v>14.237800636449212</v>
      </c>
      <c r="V110" s="24">
        <f t="shared" ca="1" si="65"/>
        <v>14.574062737044093</v>
      </c>
      <c r="W110" s="24">
        <f t="shared" ca="1" si="65"/>
        <v>14.942344518534169</v>
      </c>
      <c r="X110" s="24">
        <f t="shared" ca="1" si="65"/>
        <v>15.301577696209312</v>
      </c>
      <c r="Y110" s="24">
        <f t="shared" ca="1" si="65"/>
        <v>15.694261043406289</v>
      </c>
      <c r="Z110" s="24">
        <f t="shared" ca="1" si="65"/>
        <v>16.082770342830397</v>
      </c>
      <c r="AA110" s="24">
        <f t="shared" ca="1" si="65"/>
        <v>16.46257872704594</v>
      </c>
      <c r="AB110" s="24">
        <f t="shared" ca="1" si="65"/>
        <v>16.879467118912896</v>
      </c>
      <c r="AC110" s="24">
        <f t="shared" ca="1" si="65"/>
        <v>17.192299847945947</v>
      </c>
      <c r="AD110" s="24">
        <f t="shared" ca="1" si="65"/>
        <v>17.514015280589213</v>
      </c>
      <c r="AE110" s="24">
        <f t="shared" ca="1" si="65"/>
        <v>17.828204073197799</v>
      </c>
      <c r="AF110" s="24">
        <f t="shared" ca="1" si="65"/>
        <v>18.139468221235404</v>
      </c>
      <c r="AG110" s="24">
        <f t="shared" ca="1" si="65"/>
        <v>18.462362287602673</v>
      </c>
      <c r="AH110" s="24">
        <f t="shared" ca="1" si="65"/>
        <v>18.760818153238755</v>
      </c>
      <c r="AI110" s="24">
        <f t="shared" ca="1" si="65"/>
        <v>19.043887731333953</v>
      </c>
      <c r="AJ110" s="24">
        <f t="shared" ca="1" si="65"/>
        <v>19.357340818084264</v>
      </c>
      <c r="AK110" s="24">
        <f t="shared" ca="1" si="65"/>
        <v>19.65251986478938</v>
      </c>
      <c r="AL110" s="24">
        <f t="shared" ca="1" si="65"/>
        <v>19.949855121362205</v>
      </c>
      <c r="AM110" s="24">
        <f t="shared" ca="1" si="65"/>
        <v>21.930273227189872</v>
      </c>
      <c r="AN110" s="24">
        <f t="shared" ca="1" si="65"/>
        <v>23.922726469736826</v>
      </c>
      <c r="AO110" s="24">
        <f t="shared" ca="1" si="65"/>
        <v>23.922726469736826</v>
      </c>
      <c r="AP110" s="24">
        <f t="shared" ca="1" si="65"/>
        <v>23.922726469736826</v>
      </c>
      <c r="AQ110" s="6"/>
      <c r="AR110" s="6"/>
      <c r="AS110" s="200"/>
      <c r="AT110" s="200"/>
      <c r="AU110" s="6"/>
      <c r="AV110" s="6"/>
      <c r="BB110" s="4">
        <f t="shared" si="53"/>
        <v>2</v>
      </c>
    </row>
    <row r="111" spans="1:54">
      <c r="A111" s="22" t="str">
        <f>'[5]TS BYDem'!A25</f>
        <v/>
      </c>
      <c r="B111" s="22" t="str">
        <f>'[5]TS BYDem'!B25</f>
        <v>COM_PROJ</v>
      </c>
      <c r="C111" s="22" t="str">
        <f>'[5]TS BYDem'!C25</f>
        <v>-</v>
      </c>
      <c r="D111" s="22" t="str">
        <f>'[5]TS BYDem'!D25</f>
        <v>RMEWG</v>
      </c>
      <c r="E111" s="120" t="s">
        <v>137</v>
      </c>
      <c r="F111" s="120" t="s">
        <v>137</v>
      </c>
      <c r="G111" s="120" t="s">
        <v>137</v>
      </c>
      <c r="H111" s="120" t="s">
        <v>137</v>
      </c>
      <c r="I111" s="120">
        <v>0</v>
      </c>
      <c r="J111" s="6">
        <f>'[5]TS BYDem'!J25</f>
        <v>8.7049271722264585</v>
      </c>
      <c r="K111" s="24">
        <f t="shared" si="49"/>
        <v>9.1012815075888174</v>
      </c>
      <c r="L111" s="24">
        <f t="shared" si="46"/>
        <v>9.4976358429511762</v>
      </c>
      <c r="M111" s="24">
        <f t="shared" si="46"/>
        <v>9.8939901783135369</v>
      </c>
      <c r="N111" s="24">
        <f t="shared" si="46"/>
        <v>10.290344513675896</v>
      </c>
      <c r="O111" s="24">
        <f>'[5]TS BYDem'!O25</f>
        <v>10.686698849038255</v>
      </c>
      <c r="P111" s="24">
        <f t="shared" ref="P111:AP111" ca="1" si="66">OFFSET(P$33,$BB111,$J$93)/OFFSET(O$33,$BB111,$J$93)*O111</f>
        <v>10.991752099133871</v>
      </c>
      <c r="Q111" s="24">
        <f t="shared" ca="1" si="66"/>
        <v>11.332525736483193</v>
      </c>
      <c r="R111" s="24">
        <f t="shared" ca="1" si="66"/>
        <v>11.989873405630618</v>
      </c>
      <c r="S111" s="24">
        <f t="shared" ca="1" si="66"/>
        <v>11.584320155422709</v>
      </c>
      <c r="T111" s="24">
        <f t="shared" ca="1" si="66"/>
        <v>11.913105106266888</v>
      </c>
      <c r="U111" s="24">
        <f t="shared" ca="1" si="66"/>
        <v>12.195740447182384</v>
      </c>
      <c r="V111" s="24">
        <f t="shared" ca="1" si="66"/>
        <v>12.483774070197228</v>
      </c>
      <c r="W111" s="24">
        <f t="shared" ca="1" si="66"/>
        <v>12.799234943204581</v>
      </c>
      <c r="X111" s="24">
        <f t="shared" ca="1" si="66"/>
        <v>13.106945010708042</v>
      </c>
      <c r="Y111" s="24">
        <f t="shared" ca="1" si="66"/>
        <v>13.443307648634365</v>
      </c>
      <c r="Z111" s="24">
        <f t="shared" ca="1" si="66"/>
        <v>13.776094902654712</v>
      </c>
      <c r="AA111" s="24">
        <f t="shared" ca="1" si="66"/>
        <v>14.101429172450452</v>
      </c>
      <c r="AB111" s="24">
        <f t="shared" ca="1" si="66"/>
        <v>14.458525240338687</v>
      </c>
      <c r="AC111" s="24">
        <f t="shared" ca="1" si="66"/>
        <v>14.726489855386305</v>
      </c>
      <c r="AD111" s="24">
        <f t="shared" ca="1" si="66"/>
        <v>15.00206317001229</v>
      </c>
      <c r="AE111" s="24">
        <f t="shared" ca="1" si="66"/>
        <v>15.271189354871101</v>
      </c>
      <c r="AF111" s="24">
        <f t="shared" ca="1" si="66"/>
        <v>15.53781036305279</v>
      </c>
      <c r="AG111" s="24">
        <f t="shared" ca="1" si="66"/>
        <v>15.814393265560165</v>
      </c>
      <c r="AH111" s="24">
        <f t="shared" ca="1" si="66"/>
        <v>16.070043022511992</v>
      </c>
      <c r="AI111" s="24">
        <f t="shared" ca="1" si="66"/>
        <v>16.312513274139523</v>
      </c>
      <c r="AJ111" s="24">
        <f t="shared" ca="1" si="66"/>
        <v>16.581009271940509</v>
      </c>
      <c r="AK111" s="24">
        <f t="shared" ca="1" si="66"/>
        <v>16.833852188552669</v>
      </c>
      <c r="AL111" s="24">
        <f t="shared" ca="1" si="66"/>
        <v>17.088542060082077</v>
      </c>
      <c r="AM111" s="24">
        <f t="shared" ca="1" si="66"/>
        <v>18.784918193748624</v>
      </c>
      <c r="AN111" s="24">
        <f t="shared" ca="1" si="66"/>
        <v>20.491603321579554</v>
      </c>
      <c r="AO111" s="24">
        <f t="shared" ca="1" si="66"/>
        <v>20.491603321579554</v>
      </c>
      <c r="AP111" s="24">
        <f t="shared" ca="1" si="66"/>
        <v>20.491603321579554</v>
      </c>
      <c r="AQ111" s="6"/>
      <c r="AR111" s="6"/>
      <c r="AS111" s="200"/>
      <c r="AT111" s="200"/>
      <c r="AU111" s="6"/>
      <c r="AV111" s="6"/>
      <c r="BB111" s="4">
        <f t="shared" si="53"/>
        <v>2</v>
      </c>
    </row>
    <row r="112" spans="1:54">
      <c r="A112" s="22" t="str">
        <f>'[5]TS BYDem'!A26</f>
        <v/>
      </c>
      <c r="B112" s="22" t="str">
        <f>'[5]TS BYDem'!B26</f>
        <v>COM_PROJ</v>
      </c>
      <c r="C112" s="22" t="str">
        <f>'[5]TS BYDem'!C26</f>
        <v>-</v>
      </c>
      <c r="D112" s="22" t="str">
        <f>'[5]TS BYDem'!D26</f>
        <v>RMEW</v>
      </c>
      <c r="E112" s="120" t="s">
        <v>137</v>
      </c>
      <c r="F112" s="120" t="s">
        <v>137</v>
      </c>
      <c r="G112" s="120" t="s">
        <v>137</v>
      </c>
      <c r="H112" s="120" t="s">
        <v>137</v>
      </c>
      <c r="I112" s="120">
        <v>0</v>
      </c>
      <c r="J112" s="6">
        <f>'[5]TS BYDem'!J26</f>
        <v>6.0832370770317112</v>
      </c>
      <c r="K112" s="24">
        <f t="shared" si="49"/>
        <v>5.8572082705211033</v>
      </c>
      <c r="L112" s="24">
        <f t="shared" si="49"/>
        <v>5.6311794640104944</v>
      </c>
      <c r="M112" s="24">
        <f t="shared" si="49"/>
        <v>5.4051506574998864</v>
      </c>
      <c r="N112" s="24">
        <f t="shared" si="49"/>
        <v>5.1791218509892776</v>
      </c>
      <c r="O112" s="24">
        <f>'[5]TS BYDem'!O26</f>
        <v>4.9530930444786696</v>
      </c>
      <c r="P112" s="24">
        <f t="shared" ref="P112:AP112" ca="1" si="67">OFFSET(P$33,$BB112,$J$93)/OFFSET(O$33,$BB112,$J$93)*O112</f>
        <v>5.0944797488846039</v>
      </c>
      <c r="Q112" s="24">
        <f t="shared" ca="1" si="67"/>
        <v>5.2524222114485717</v>
      </c>
      <c r="R112" s="24">
        <f t="shared" ca="1" si="67"/>
        <v>5.5570910538901632</v>
      </c>
      <c r="S112" s="24">
        <f t="shared" ca="1" si="67"/>
        <v>5.3691244038379553</v>
      </c>
      <c r="T112" s="24">
        <f t="shared" ca="1" si="67"/>
        <v>5.5215103254550995</v>
      </c>
      <c r="U112" s="24">
        <f t="shared" ca="1" si="67"/>
        <v>5.6525067314536077</v>
      </c>
      <c r="V112" s="24">
        <f t="shared" ca="1" si="67"/>
        <v>5.7860051442828606</v>
      </c>
      <c r="W112" s="24">
        <f t="shared" ca="1" si="67"/>
        <v>5.9322155950469435</v>
      </c>
      <c r="X112" s="24">
        <f t="shared" ca="1" si="67"/>
        <v>6.0748336866201535</v>
      </c>
      <c r="Y112" s="24">
        <f t="shared" ca="1" si="67"/>
        <v>6.2307317301479079</v>
      </c>
      <c r="Z112" s="24">
        <f t="shared" ca="1" si="67"/>
        <v>6.3849726474287092</v>
      </c>
      <c r="AA112" s="24">
        <f t="shared" ca="1" si="67"/>
        <v>6.535759240334416</v>
      </c>
      <c r="AB112" s="24">
        <f t="shared" ca="1" si="67"/>
        <v>6.7012668563955797</v>
      </c>
      <c r="AC112" s="24">
        <f t="shared" ca="1" si="67"/>
        <v>6.8254636443567378</v>
      </c>
      <c r="AD112" s="24">
        <f t="shared" ca="1" si="67"/>
        <v>6.9531869279636984</v>
      </c>
      <c r="AE112" s="24">
        <f t="shared" ca="1" si="67"/>
        <v>7.0779220826771878</v>
      </c>
      <c r="AF112" s="24">
        <f t="shared" ca="1" si="67"/>
        <v>7.2014961329794911</v>
      </c>
      <c r="AG112" s="24">
        <f t="shared" ca="1" si="67"/>
        <v>7.3296873424430462</v>
      </c>
      <c r="AH112" s="24">
        <f t="shared" ca="1" si="67"/>
        <v>7.448176414781293</v>
      </c>
      <c r="AI112" s="24">
        <f t="shared" ca="1" si="67"/>
        <v>7.5605570230303405</v>
      </c>
      <c r="AJ112" s="24">
        <f t="shared" ca="1" si="67"/>
        <v>7.6850000973570873</v>
      </c>
      <c r="AK112" s="24">
        <f t="shared" ca="1" si="67"/>
        <v>7.8021882495927146</v>
      </c>
      <c r="AL112" s="24">
        <f t="shared" ca="1" si="67"/>
        <v>7.9202324322717281</v>
      </c>
      <c r="AM112" s="24">
        <f t="shared" ca="1" si="67"/>
        <v>8.7064723130034238</v>
      </c>
      <c r="AN112" s="24">
        <f t="shared" ca="1" si="67"/>
        <v>9.4974902274396786</v>
      </c>
      <c r="AO112" s="24">
        <f t="shared" ca="1" si="67"/>
        <v>9.4974902274396786</v>
      </c>
      <c r="AP112" s="24">
        <f t="shared" ca="1" si="67"/>
        <v>9.4974902274396786</v>
      </c>
      <c r="AQ112" s="6"/>
      <c r="AR112" s="6"/>
      <c r="AS112" s="200"/>
      <c r="AT112" s="200"/>
      <c r="AU112" s="6"/>
      <c r="AV112" s="6"/>
      <c r="BB112" s="4">
        <f t="shared" si="53"/>
        <v>2</v>
      </c>
    </row>
    <row r="113" spans="1:54">
      <c r="A113" s="22" t="str">
        <f>'[5]TS BYDem'!A27</f>
        <v/>
      </c>
      <c r="B113" s="22" t="str">
        <f>'[5]TS BYDem'!B27</f>
        <v>COM_PROJ</v>
      </c>
      <c r="C113" s="22" t="str">
        <f>'[5]TS BYDem'!C27</f>
        <v>-</v>
      </c>
      <c r="D113" s="22" t="str">
        <f>'[5]TS BYDem'!D27</f>
        <v>RMER</v>
      </c>
      <c r="E113" s="120" t="s">
        <v>137</v>
      </c>
      <c r="F113" s="120" t="s">
        <v>137</v>
      </c>
      <c r="G113" s="120" t="s">
        <v>137</v>
      </c>
      <c r="H113" s="120" t="s">
        <v>137</v>
      </c>
      <c r="I113" s="120">
        <v>0</v>
      </c>
      <c r="J113" s="6">
        <f>'[5]TS BYDem'!J27</f>
        <v>3.2942398359296465</v>
      </c>
      <c r="K113" s="24">
        <f t="shared" si="49"/>
        <v>3.5042075014274179</v>
      </c>
      <c r="L113" s="24">
        <f t="shared" si="49"/>
        <v>3.7141751669251892</v>
      </c>
      <c r="M113" s="24">
        <f t="shared" si="49"/>
        <v>3.9241428324229606</v>
      </c>
      <c r="N113" s="24">
        <f t="shared" si="49"/>
        <v>4.1341104979207319</v>
      </c>
      <c r="O113" s="24">
        <f>'[5]TS BYDem'!O27</f>
        <v>4.3440781634185033</v>
      </c>
      <c r="P113" s="24">
        <f t="shared" ref="P113:AP113" ca="1" si="68">OFFSET(P$33,$BB113,$J$93)/OFFSET(O$33,$BB113,$J$93)*O113</f>
        <v>4.4680804564689405</v>
      </c>
      <c r="Q113" s="24">
        <f t="shared" ca="1" si="68"/>
        <v>4.6066028699466175</v>
      </c>
      <c r="R113" s="24">
        <f t="shared" ca="1" si="68"/>
        <v>4.8738107042512553</v>
      </c>
      <c r="S113" s="24">
        <f t="shared" ca="1" si="68"/>
        <v>4.7089557716646482</v>
      </c>
      <c r="T113" s="24">
        <f t="shared" ca="1" si="68"/>
        <v>4.8426048569059112</v>
      </c>
      <c r="U113" s="24">
        <f t="shared" ca="1" si="68"/>
        <v>4.9574944060571768</v>
      </c>
      <c r="V113" s="24">
        <f t="shared" ca="1" si="68"/>
        <v>5.0745783240887681</v>
      </c>
      <c r="W113" s="24">
        <f t="shared" ca="1" si="68"/>
        <v>5.2028112526294192</v>
      </c>
      <c r="X113" s="24">
        <f t="shared" ca="1" si="68"/>
        <v>5.3278935258167204</v>
      </c>
      <c r="Y113" s="24">
        <f t="shared" ca="1" si="68"/>
        <v>5.4646228948245392</v>
      </c>
      <c r="Z113" s="24">
        <f t="shared" ca="1" si="68"/>
        <v>5.5998988919940391</v>
      </c>
      <c r="AA113" s="24">
        <f t="shared" ca="1" si="68"/>
        <v>5.7321452963510362</v>
      </c>
      <c r="AB113" s="24">
        <f t="shared" ca="1" si="68"/>
        <v>5.8773026786885669</v>
      </c>
      <c r="AC113" s="24">
        <f t="shared" ca="1" si="68"/>
        <v>5.9862286668951086</v>
      </c>
      <c r="AD113" s="24">
        <f t="shared" ca="1" si="68"/>
        <v>6.0982475452595279</v>
      </c>
      <c r="AE113" s="24">
        <f t="shared" ca="1" si="68"/>
        <v>6.2076457045381064</v>
      </c>
      <c r="AF113" s="24">
        <f t="shared" ca="1" si="68"/>
        <v>6.3160255247156849</v>
      </c>
      <c r="AG113" s="24">
        <f t="shared" ca="1" si="68"/>
        <v>6.4284547944209249</v>
      </c>
      <c r="AH113" s="24">
        <f t="shared" ca="1" si="68"/>
        <v>6.5323748676208568</v>
      </c>
      <c r="AI113" s="24">
        <f t="shared" ca="1" si="68"/>
        <v>6.6309375519682812</v>
      </c>
      <c r="AJ113" s="24">
        <f t="shared" ca="1" si="68"/>
        <v>6.7400795440360648</v>
      </c>
      <c r="AK113" s="24">
        <f t="shared" ca="1" si="68"/>
        <v>6.8428586536886948</v>
      </c>
      <c r="AL113" s="24">
        <f t="shared" ca="1" si="68"/>
        <v>6.9463885392954499</v>
      </c>
      <c r="AM113" s="24">
        <f t="shared" ca="1" si="68"/>
        <v>7.6359551326189194</v>
      </c>
      <c r="AN113" s="24">
        <f t="shared" ca="1" si="68"/>
        <v>8.3297122694459453</v>
      </c>
      <c r="AO113" s="24">
        <f t="shared" ca="1" si="68"/>
        <v>8.3297122694459453</v>
      </c>
      <c r="AP113" s="24">
        <f t="shared" ca="1" si="68"/>
        <v>8.3297122694459453</v>
      </c>
      <c r="AQ113" s="6"/>
      <c r="AR113" s="6"/>
      <c r="AS113" s="200"/>
      <c r="AT113" s="200"/>
      <c r="AU113" s="6"/>
      <c r="AV113" s="6"/>
      <c r="BB113" s="4">
        <f t="shared" si="53"/>
        <v>2</v>
      </c>
    </row>
    <row r="114" spans="1:54">
      <c r="A114" s="22" t="str">
        <f>'[5]TS BYDem'!A28</f>
        <v/>
      </c>
      <c r="B114" s="22" t="str">
        <f>'[5]TS BYDem'!B28</f>
        <v>COM_PROJ</v>
      </c>
      <c r="C114" s="22" t="str">
        <f>'[5]TS BYDem'!C28</f>
        <v>-</v>
      </c>
      <c r="D114" s="22" t="str">
        <f>'[5]TS BYDem'!D28</f>
        <v>RMEO</v>
      </c>
      <c r="E114" s="120" t="s">
        <v>137</v>
      </c>
      <c r="F114" s="120" t="s">
        <v>137</v>
      </c>
      <c r="G114" s="120" t="s">
        <v>137</v>
      </c>
      <c r="H114" s="120" t="s">
        <v>137</v>
      </c>
      <c r="I114" s="120">
        <v>0</v>
      </c>
      <c r="J114" s="6">
        <f>'[5]TS BYDem'!J28</f>
        <v>5.8869200094724006</v>
      </c>
      <c r="K114" s="24">
        <f t="shared" si="49"/>
        <v>6.3439784942756239</v>
      </c>
      <c r="L114" s="24">
        <f t="shared" si="49"/>
        <v>6.8010369790788472</v>
      </c>
      <c r="M114" s="24">
        <f t="shared" si="49"/>
        <v>7.2580954638820696</v>
      </c>
      <c r="N114" s="24">
        <f t="shared" si="49"/>
        <v>7.7151539486852929</v>
      </c>
      <c r="O114" s="24">
        <f>'[5]TS BYDem'!O28</f>
        <v>8.1722124334885162</v>
      </c>
      <c r="P114" s="24">
        <f t="shared" ref="P114:AP114" ca="1" si="69">OFFSET(P$33,$BB114,$J$93)/OFFSET(O$33,$BB114,$J$93)*O114</f>
        <v>8.4054893320446897</v>
      </c>
      <c r="Q114" s="24">
        <f t="shared" ca="1" si="69"/>
        <v>8.6660819243400979</v>
      </c>
      <c r="R114" s="24">
        <f t="shared" ca="1" si="69"/>
        <v>9.1687614581060117</v>
      </c>
      <c r="S114" s="24">
        <f t="shared" ca="1" si="69"/>
        <v>8.858631327126508</v>
      </c>
      <c r="T114" s="24">
        <f t="shared" ca="1" si="69"/>
        <v>9.1100560655970337</v>
      </c>
      <c r="U114" s="24">
        <f t="shared" ca="1" si="69"/>
        <v>9.3261897921856463</v>
      </c>
      <c r="V114" s="24">
        <f t="shared" ca="1" si="69"/>
        <v>9.5464516324897257</v>
      </c>
      <c r="W114" s="24">
        <f t="shared" ca="1" si="69"/>
        <v>9.7876873316599919</v>
      </c>
      <c r="X114" s="24">
        <f t="shared" ca="1" si="69"/>
        <v>10.022995921813413</v>
      </c>
      <c r="Y114" s="24">
        <f t="shared" ca="1" si="69"/>
        <v>10.280215384123785</v>
      </c>
      <c r="Z114" s="24">
        <f t="shared" ca="1" si="69"/>
        <v>10.534700718971257</v>
      </c>
      <c r="AA114" s="24">
        <f t="shared" ca="1" si="69"/>
        <v>10.783486691348864</v>
      </c>
      <c r="AB114" s="24">
        <f t="shared" ca="1" si="69"/>
        <v>11.056561189579787</v>
      </c>
      <c r="AC114" s="24">
        <f t="shared" ca="1" si="69"/>
        <v>11.26147608329593</v>
      </c>
      <c r="AD114" s="24">
        <f t="shared" ca="1" si="69"/>
        <v>11.472209416380055</v>
      </c>
      <c r="AE114" s="24">
        <f t="shared" ca="1" si="69"/>
        <v>11.678012572728793</v>
      </c>
      <c r="AF114" s="24">
        <f t="shared" ca="1" si="69"/>
        <v>11.881899998478396</v>
      </c>
      <c r="AG114" s="24">
        <f t="shared" ca="1" si="69"/>
        <v>12.093405372279074</v>
      </c>
      <c r="AH114" s="24">
        <f t="shared" ca="1" si="69"/>
        <v>12.288902985891349</v>
      </c>
      <c r="AI114" s="24">
        <f t="shared" ca="1" si="69"/>
        <v>12.474322116072969</v>
      </c>
      <c r="AJ114" s="24">
        <f t="shared" ca="1" si="69"/>
        <v>12.679643362845876</v>
      </c>
      <c r="AK114" s="24">
        <f t="shared" ca="1" si="69"/>
        <v>12.87299456100782</v>
      </c>
      <c r="AL114" s="24">
        <f t="shared" ca="1" si="69"/>
        <v>13.06775814181028</v>
      </c>
      <c r="AM114" s="24">
        <f t="shared" ca="1" si="69"/>
        <v>14.364991864520688</v>
      </c>
      <c r="AN114" s="24">
        <f t="shared" ca="1" si="69"/>
        <v>15.670108965576178</v>
      </c>
      <c r="AO114" s="24">
        <f t="shared" ca="1" si="69"/>
        <v>15.670108965576178</v>
      </c>
      <c r="AP114" s="24">
        <f t="shared" ca="1" si="69"/>
        <v>15.670108965576178</v>
      </c>
      <c r="AQ114" s="6"/>
      <c r="AR114" s="6"/>
      <c r="AS114" s="200"/>
      <c r="AT114" s="200"/>
      <c r="AU114" s="6"/>
      <c r="AV114" s="6"/>
      <c r="BB114" s="4">
        <f t="shared" si="53"/>
        <v>2</v>
      </c>
    </row>
    <row r="115" spans="1:54">
      <c r="A115" s="22" t="str">
        <f>'[5]TS BYDem'!A29</f>
        <v>*</v>
      </c>
      <c r="B115" s="22" t="str">
        <f>'[5]TS BYDem'!B29</f>
        <v>COM_PROJ</v>
      </c>
      <c r="C115" s="22" t="str">
        <f>'[5]TS BYDem'!C29</f>
        <v>-</v>
      </c>
      <c r="D115" s="22">
        <f>'[5]TS BYDem'!D29</f>
        <v>0</v>
      </c>
      <c r="E115" s="120" t="s">
        <v>137</v>
      </c>
      <c r="F115" s="120" t="s">
        <v>137</v>
      </c>
      <c r="G115" s="120" t="s">
        <v>137</v>
      </c>
      <c r="H115" s="120" t="s">
        <v>137</v>
      </c>
      <c r="I115" s="120">
        <v>0</v>
      </c>
      <c r="J115" s="6">
        <f>'[5]TS BYDem'!J29</f>
        <v>0</v>
      </c>
      <c r="K115" s="24">
        <f t="shared" si="49"/>
        <v>0</v>
      </c>
      <c r="L115" s="24">
        <f t="shared" si="49"/>
        <v>0</v>
      </c>
      <c r="M115" s="24">
        <f t="shared" si="49"/>
        <v>0</v>
      </c>
      <c r="N115" s="24">
        <f t="shared" si="49"/>
        <v>0</v>
      </c>
      <c r="O115" s="24">
        <f>'[5]TS BYDem'!O29</f>
        <v>0</v>
      </c>
      <c r="P115" s="24" t="e">
        <f t="shared" ref="P115:AP115" ca="1" si="70">OFFSET(P$33,$BB115,$J$93)/OFFSET(O$33,$BB115,$J$93)*O115</f>
        <v>#N/A</v>
      </c>
      <c r="Q115" s="24" t="e">
        <f t="shared" ca="1" si="70"/>
        <v>#N/A</v>
      </c>
      <c r="R115" s="24" t="e">
        <f t="shared" ca="1" si="70"/>
        <v>#N/A</v>
      </c>
      <c r="S115" s="24" t="e">
        <f t="shared" ca="1" si="70"/>
        <v>#N/A</v>
      </c>
      <c r="T115" s="24" t="e">
        <f t="shared" ca="1" si="70"/>
        <v>#N/A</v>
      </c>
      <c r="U115" s="24" t="e">
        <f t="shared" ca="1" si="70"/>
        <v>#N/A</v>
      </c>
      <c r="V115" s="24" t="e">
        <f t="shared" ca="1" si="70"/>
        <v>#N/A</v>
      </c>
      <c r="W115" s="24" t="e">
        <f t="shared" ca="1" si="70"/>
        <v>#N/A</v>
      </c>
      <c r="X115" s="24" t="e">
        <f t="shared" ca="1" si="70"/>
        <v>#N/A</v>
      </c>
      <c r="Y115" s="24" t="e">
        <f t="shared" ca="1" si="70"/>
        <v>#N/A</v>
      </c>
      <c r="Z115" s="24" t="e">
        <f t="shared" ca="1" si="70"/>
        <v>#N/A</v>
      </c>
      <c r="AA115" s="24" t="e">
        <f t="shared" ca="1" si="70"/>
        <v>#N/A</v>
      </c>
      <c r="AB115" s="24" t="e">
        <f t="shared" ca="1" si="70"/>
        <v>#N/A</v>
      </c>
      <c r="AC115" s="24" t="e">
        <f t="shared" ca="1" si="70"/>
        <v>#N/A</v>
      </c>
      <c r="AD115" s="24" t="e">
        <f t="shared" ca="1" si="70"/>
        <v>#N/A</v>
      </c>
      <c r="AE115" s="24" t="e">
        <f t="shared" ca="1" si="70"/>
        <v>#N/A</v>
      </c>
      <c r="AF115" s="24" t="e">
        <f t="shared" ca="1" si="70"/>
        <v>#N/A</v>
      </c>
      <c r="AG115" s="24" t="e">
        <f t="shared" ca="1" si="70"/>
        <v>#N/A</v>
      </c>
      <c r="AH115" s="24" t="e">
        <f t="shared" ca="1" si="70"/>
        <v>#N/A</v>
      </c>
      <c r="AI115" s="24" t="e">
        <f t="shared" ca="1" si="70"/>
        <v>#N/A</v>
      </c>
      <c r="AJ115" s="24" t="e">
        <f t="shared" ca="1" si="70"/>
        <v>#N/A</v>
      </c>
      <c r="AK115" s="24" t="e">
        <f t="shared" ca="1" si="70"/>
        <v>#N/A</v>
      </c>
      <c r="AL115" s="24" t="e">
        <f t="shared" ca="1" si="70"/>
        <v>#N/A</v>
      </c>
      <c r="AM115" s="24" t="e">
        <f t="shared" ca="1" si="70"/>
        <v>#N/A</v>
      </c>
      <c r="AN115" s="24" t="e">
        <f t="shared" ca="1" si="70"/>
        <v>#N/A</v>
      </c>
      <c r="AO115" s="24" t="e">
        <f t="shared" ca="1" si="70"/>
        <v>#N/A</v>
      </c>
      <c r="AP115" s="24" t="e">
        <f t="shared" ca="1" si="70"/>
        <v>#N/A</v>
      </c>
      <c r="AQ115" s="6"/>
      <c r="AR115" s="6"/>
      <c r="AS115" s="6"/>
      <c r="AT115" s="6"/>
      <c r="AU115" s="6"/>
      <c r="AV115" s="6"/>
      <c r="BB115" s="4" t="e">
        <f t="shared" si="53"/>
        <v>#N/A</v>
      </c>
    </row>
    <row r="116" spans="1:54">
      <c r="A116" s="22" t="str">
        <f>'[5]TS BYDem'!A30</f>
        <v>*</v>
      </c>
      <c r="B116" s="22" t="str">
        <f>'[5]TS BYDem'!B30</f>
        <v>COM_PROJ</v>
      </c>
      <c r="C116" s="22" t="str">
        <f>'[5]TS BYDem'!C30</f>
        <v>-</v>
      </c>
      <c r="D116" s="22">
        <f>'[5]TS BYDem'!D30</f>
        <v>0</v>
      </c>
      <c r="E116" s="120" t="s">
        <v>137</v>
      </c>
      <c r="F116" s="120" t="s">
        <v>137</v>
      </c>
      <c r="G116" s="120" t="s">
        <v>137</v>
      </c>
      <c r="H116" s="120" t="s">
        <v>137</v>
      </c>
      <c r="I116" s="120">
        <v>0</v>
      </c>
      <c r="J116" s="6">
        <f>'[5]TS BYDem'!J30</f>
        <v>0</v>
      </c>
      <c r="K116" s="24">
        <f t="shared" si="49"/>
        <v>0</v>
      </c>
      <c r="L116" s="24">
        <f t="shared" si="49"/>
        <v>0</v>
      </c>
      <c r="M116" s="24">
        <f t="shared" si="49"/>
        <v>0</v>
      </c>
      <c r="N116" s="24">
        <f t="shared" si="49"/>
        <v>0</v>
      </c>
      <c r="O116" s="24">
        <f>'[5]TS BYDem'!O30</f>
        <v>0</v>
      </c>
      <c r="P116" s="24" t="e">
        <f t="shared" ref="P116:AP116" ca="1" si="71">OFFSET(P$33,$BB116,$J$93)/OFFSET(O$33,$BB116,$J$93)*O116</f>
        <v>#N/A</v>
      </c>
      <c r="Q116" s="24" t="e">
        <f t="shared" ca="1" si="71"/>
        <v>#N/A</v>
      </c>
      <c r="R116" s="24" t="e">
        <f t="shared" ca="1" si="71"/>
        <v>#N/A</v>
      </c>
      <c r="S116" s="24" t="e">
        <f t="shared" ca="1" si="71"/>
        <v>#N/A</v>
      </c>
      <c r="T116" s="24" t="e">
        <f t="shared" ca="1" si="71"/>
        <v>#N/A</v>
      </c>
      <c r="U116" s="24" t="e">
        <f t="shared" ca="1" si="71"/>
        <v>#N/A</v>
      </c>
      <c r="V116" s="24" t="e">
        <f t="shared" ca="1" si="71"/>
        <v>#N/A</v>
      </c>
      <c r="W116" s="24" t="e">
        <f t="shared" ca="1" si="71"/>
        <v>#N/A</v>
      </c>
      <c r="X116" s="24" t="e">
        <f t="shared" ca="1" si="71"/>
        <v>#N/A</v>
      </c>
      <c r="Y116" s="24" t="e">
        <f t="shared" ca="1" si="71"/>
        <v>#N/A</v>
      </c>
      <c r="Z116" s="24" t="e">
        <f t="shared" ca="1" si="71"/>
        <v>#N/A</v>
      </c>
      <c r="AA116" s="24" t="e">
        <f t="shared" ca="1" si="71"/>
        <v>#N/A</v>
      </c>
      <c r="AB116" s="24" t="e">
        <f t="shared" ca="1" si="71"/>
        <v>#N/A</v>
      </c>
      <c r="AC116" s="24" t="e">
        <f t="shared" ca="1" si="71"/>
        <v>#N/A</v>
      </c>
      <c r="AD116" s="24" t="e">
        <f t="shared" ca="1" si="71"/>
        <v>#N/A</v>
      </c>
      <c r="AE116" s="24" t="e">
        <f t="shared" ca="1" si="71"/>
        <v>#N/A</v>
      </c>
      <c r="AF116" s="24" t="e">
        <f t="shared" ca="1" si="71"/>
        <v>#N/A</v>
      </c>
      <c r="AG116" s="24" t="e">
        <f t="shared" ca="1" si="71"/>
        <v>#N/A</v>
      </c>
      <c r="AH116" s="24" t="e">
        <f t="shared" ca="1" si="71"/>
        <v>#N/A</v>
      </c>
      <c r="AI116" s="24" t="e">
        <f t="shared" ca="1" si="71"/>
        <v>#N/A</v>
      </c>
      <c r="AJ116" s="24" t="e">
        <f t="shared" ca="1" si="71"/>
        <v>#N/A</v>
      </c>
      <c r="AK116" s="24" t="e">
        <f t="shared" ca="1" si="71"/>
        <v>#N/A</v>
      </c>
      <c r="AL116" s="24" t="e">
        <f t="shared" ca="1" si="71"/>
        <v>#N/A</v>
      </c>
      <c r="AM116" s="24" t="e">
        <f t="shared" ca="1" si="71"/>
        <v>#N/A</v>
      </c>
      <c r="AN116" s="24" t="e">
        <f t="shared" ca="1" si="71"/>
        <v>#N/A</v>
      </c>
      <c r="AO116" s="24" t="e">
        <f t="shared" ca="1" si="71"/>
        <v>#N/A</v>
      </c>
      <c r="AP116" s="24" t="e">
        <f t="shared" ca="1" si="71"/>
        <v>#N/A</v>
      </c>
      <c r="AQ116" s="6"/>
      <c r="AR116" s="6"/>
      <c r="AS116" s="6"/>
      <c r="AT116" s="6"/>
      <c r="AU116" s="6"/>
      <c r="AV116" s="6"/>
      <c r="BB116" s="4" t="e">
        <f t="shared" si="53"/>
        <v>#N/A</v>
      </c>
    </row>
    <row r="117" spans="1:54">
      <c r="A117" s="22" t="str">
        <f>'[5]TS BYDem'!A31</f>
        <v>*</v>
      </c>
      <c r="B117" s="22" t="str">
        <f>'[5]TS BYDem'!B31</f>
        <v>COM_PROJ</v>
      </c>
      <c r="C117" s="22" t="str">
        <f>'[5]TS BYDem'!C31</f>
        <v>-</v>
      </c>
      <c r="D117" s="22">
        <f>'[5]TS BYDem'!D31</f>
        <v>0</v>
      </c>
      <c r="E117" s="120" t="s">
        <v>137</v>
      </c>
      <c r="F117" s="120" t="s">
        <v>137</v>
      </c>
      <c r="G117" s="120" t="s">
        <v>137</v>
      </c>
      <c r="H117" s="120" t="s">
        <v>137</v>
      </c>
      <c r="I117" s="120">
        <v>0</v>
      </c>
      <c r="J117" s="6">
        <f>'[5]TS BYDem'!J31</f>
        <v>0</v>
      </c>
      <c r="K117" s="24">
        <f t="shared" si="49"/>
        <v>0</v>
      </c>
      <c r="L117" s="24">
        <f t="shared" si="49"/>
        <v>0</v>
      </c>
      <c r="M117" s="24">
        <f t="shared" si="49"/>
        <v>0</v>
      </c>
      <c r="N117" s="24">
        <f t="shared" si="49"/>
        <v>0</v>
      </c>
      <c r="O117" s="24">
        <f>'[5]TS BYDem'!O31</f>
        <v>0</v>
      </c>
      <c r="P117" s="24" t="e">
        <f t="shared" ref="P117:AP117" ca="1" si="72">OFFSET(P$33,$BB117,$J$93)/OFFSET(O$33,$BB117,$J$93)*O117</f>
        <v>#N/A</v>
      </c>
      <c r="Q117" s="24" t="e">
        <f t="shared" ca="1" si="72"/>
        <v>#N/A</v>
      </c>
      <c r="R117" s="24" t="e">
        <f t="shared" ca="1" si="72"/>
        <v>#N/A</v>
      </c>
      <c r="S117" s="24" t="e">
        <f t="shared" ca="1" si="72"/>
        <v>#N/A</v>
      </c>
      <c r="T117" s="24" t="e">
        <f t="shared" ca="1" si="72"/>
        <v>#N/A</v>
      </c>
      <c r="U117" s="24" t="e">
        <f t="shared" ca="1" si="72"/>
        <v>#N/A</v>
      </c>
      <c r="V117" s="24" t="e">
        <f t="shared" ca="1" si="72"/>
        <v>#N/A</v>
      </c>
      <c r="W117" s="24" t="e">
        <f t="shared" ca="1" si="72"/>
        <v>#N/A</v>
      </c>
      <c r="X117" s="24" t="e">
        <f t="shared" ca="1" si="72"/>
        <v>#N/A</v>
      </c>
      <c r="Y117" s="24" t="e">
        <f t="shared" ca="1" si="72"/>
        <v>#N/A</v>
      </c>
      <c r="Z117" s="24" t="e">
        <f t="shared" ca="1" si="72"/>
        <v>#N/A</v>
      </c>
      <c r="AA117" s="24" t="e">
        <f t="shared" ca="1" si="72"/>
        <v>#N/A</v>
      </c>
      <c r="AB117" s="24" t="e">
        <f t="shared" ca="1" si="72"/>
        <v>#N/A</v>
      </c>
      <c r="AC117" s="24" t="e">
        <f t="shared" ca="1" si="72"/>
        <v>#N/A</v>
      </c>
      <c r="AD117" s="24" t="e">
        <f t="shared" ca="1" si="72"/>
        <v>#N/A</v>
      </c>
      <c r="AE117" s="24" t="e">
        <f t="shared" ca="1" si="72"/>
        <v>#N/A</v>
      </c>
      <c r="AF117" s="24" t="e">
        <f t="shared" ca="1" si="72"/>
        <v>#N/A</v>
      </c>
      <c r="AG117" s="24" t="e">
        <f t="shared" ca="1" si="72"/>
        <v>#N/A</v>
      </c>
      <c r="AH117" s="24" t="e">
        <f t="shared" ca="1" si="72"/>
        <v>#N/A</v>
      </c>
      <c r="AI117" s="24" t="e">
        <f t="shared" ca="1" si="72"/>
        <v>#N/A</v>
      </c>
      <c r="AJ117" s="24" t="e">
        <f t="shared" ca="1" si="72"/>
        <v>#N/A</v>
      </c>
      <c r="AK117" s="24" t="e">
        <f t="shared" ca="1" si="72"/>
        <v>#N/A</v>
      </c>
      <c r="AL117" s="24" t="e">
        <f t="shared" ca="1" si="72"/>
        <v>#N/A</v>
      </c>
      <c r="AM117" s="24" t="e">
        <f t="shared" ca="1" si="72"/>
        <v>#N/A</v>
      </c>
      <c r="AN117" s="24" t="e">
        <f t="shared" ca="1" si="72"/>
        <v>#N/A</v>
      </c>
      <c r="AO117" s="24" t="e">
        <f t="shared" ca="1" si="72"/>
        <v>#N/A</v>
      </c>
      <c r="AP117" s="24" t="e">
        <f t="shared" ca="1" si="72"/>
        <v>#N/A</v>
      </c>
      <c r="AQ117" s="6"/>
      <c r="AR117" s="6"/>
      <c r="AS117" s="6"/>
      <c r="AT117" s="6"/>
      <c r="AU117" s="6"/>
      <c r="AV117" s="6"/>
      <c r="BB117" s="4" t="e">
        <f t="shared" si="53"/>
        <v>#N/A</v>
      </c>
    </row>
    <row r="118" spans="1:54">
      <c r="A118" s="22" t="str">
        <f>'[5]TS BYDem'!A32</f>
        <v/>
      </c>
      <c r="B118" s="22" t="str">
        <f>'[5]TS BYDem'!B32</f>
        <v>COM_PROJ</v>
      </c>
      <c r="C118" s="22" t="str">
        <f>'[5]TS BYDem'!C32</f>
        <v>-</v>
      </c>
      <c r="D118" s="22" t="str">
        <f>'[5]TS BYDem'!D32</f>
        <v>RHEL</v>
      </c>
      <c r="E118" s="120" t="s">
        <v>137</v>
      </c>
      <c r="F118" s="120" t="s">
        <v>137</v>
      </c>
      <c r="G118" s="120" t="s">
        <v>137</v>
      </c>
      <c r="H118" s="120" t="s">
        <v>137</v>
      </c>
      <c r="I118" s="120">
        <v>0</v>
      </c>
      <c r="J118" s="6">
        <f>'[5]TS BYDem'!J32</f>
        <v>29.108468118847501</v>
      </c>
      <c r="K118" s="24">
        <f t="shared" si="49"/>
        <v>30.422708376481943</v>
      </c>
      <c r="L118" s="24">
        <f t="shared" si="49"/>
        <v>31.736948634116384</v>
      </c>
      <c r="M118" s="24">
        <f t="shared" si="49"/>
        <v>33.051188891750826</v>
      </c>
      <c r="N118" s="24">
        <f t="shared" si="49"/>
        <v>34.365429149385264</v>
      </c>
      <c r="O118" s="24">
        <f>'[5]TS BYDem'!O32</f>
        <v>35.679669407019709</v>
      </c>
      <c r="P118" s="24">
        <f t="shared" ref="P118:AP118" ca="1" si="73">IF($E$78=1, P89, P83)</f>
        <v>39.364620621212879</v>
      </c>
      <c r="Q118" s="24">
        <f t="shared" ca="1" si="73"/>
        <v>41.277195988374004</v>
      </c>
      <c r="R118" s="24">
        <f t="shared" ca="1" si="73"/>
        <v>39.655468748375419</v>
      </c>
      <c r="S118" s="24">
        <f t="shared" ca="1" si="73"/>
        <v>41.666787811297318</v>
      </c>
      <c r="T118" s="24">
        <f t="shared" ca="1" si="73"/>
        <v>43.654103844471599</v>
      </c>
      <c r="U118" s="24">
        <f t="shared" ca="1" si="73"/>
        <v>45.774760571551965</v>
      </c>
      <c r="V118" s="24">
        <f t="shared" ca="1" si="73"/>
        <v>48.14304576571876</v>
      </c>
      <c r="W118" s="24">
        <f t="shared" ca="1" si="73"/>
        <v>50.54994589288998</v>
      </c>
      <c r="X118" s="24">
        <f t="shared" ca="1" si="73"/>
        <v>52.833912713153552</v>
      </c>
      <c r="Y118" s="24">
        <f t="shared" ca="1" si="73"/>
        <v>55.134508557249859</v>
      </c>
      <c r="Z118" s="24">
        <f t="shared" ca="1" si="73"/>
        <v>57.490509519498403</v>
      </c>
      <c r="AA118" s="24">
        <f t="shared" ca="1" si="73"/>
        <v>60.02420143619883</v>
      </c>
      <c r="AB118" s="24">
        <f t="shared" ca="1" si="73"/>
        <v>62.471129178687683</v>
      </c>
      <c r="AC118" s="24">
        <f t="shared" ca="1" si="73"/>
        <v>64.684667086584511</v>
      </c>
      <c r="AD118" s="24">
        <f t="shared" ca="1" si="73"/>
        <v>66.840208976427022</v>
      </c>
      <c r="AE118" s="24">
        <f t="shared" ca="1" si="73"/>
        <v>68.971212249123553</v>
      </c>
      <c r="AF118" s="24">
        <f t="shared" ca="1" si="73"/>
        <v>71.073048955500539</v>
      </c>
      <c r="AG118" s="24">
        <f t="shared" ca="1" si="73"/>
        <v>73.032967873996682</v>
      </c>
      <c r="AH118" s="24">
        <f t="shared" ca="1" si="73"/>
        <v>74.794959576793289</v>
      </c>
      <c r="AI118" s="24">
        <f t="shared" ca="1" si="73"/>
        <v>76.734057596838767</v>
      </c>
      <c r="AJ118" s="24">
        <f t="shared" ca="1" si="73"/>
        <v>78.544860938913715</v>
      </c>
      <c r="AK118" s="24">
        <f t="shared" ca="1" si="73"/>
        <v>80.342859335203016</v>
      </c>
      <c r="AL118" s="24">
        <f t="shared" ca="1" si="73"/>
        <v>82.106978604647452</v>
      </c>
      <c r="AM118" s="24">
        <f t="shared" ca="1" si="73"/>
        <v>89.53829028566625</v>
      </c>
      <c r="AN118" s="24">
        <f t="shared" ca="1" si="73"/>
        <v>95.010873734232078</v>
      </c>
      <c r="AO118" s="24">
        <f t="shared" ca="1" si="73"/>
        <v>95.010873734232078</v>
      </c>
      <c r="AP118" s="24">
        <f t="shared" ca="1" si="73"/>
        <v>95.010873734232078</v>
      </c>
      <c r="AQ118" s="6"/>
      <c r="AR118" s="200"/>
      <c r="AS118" s="200"/>
      <c r="AT118" s="199"/>
      <c r="AU118" s="6"/>
      <c r="AV118" s="6"/>
      <c r="BB118" s="4">
        <f t="shared" si="53"/>
        <v>3</v>
      </c>
    </row>
    <row r="119" spans="1:54">
      <c r="A119" s="22" t="str">
        <f>'[5]TS BYDem'!A33</f>
        <v/>
      </c>
      <c r="B119" s="22" t="str">
        <f>'[5]TS BYDem'!B33</f>
        <v>COM_PROJ</v>
      </c>
      <c r="C119" s="22" t="str">
        <f>'[5]TS BYDem'!C33</f>
        <v>-</v>
      </c>
      <c r="D119" s="22" t="str">
        <f>'[5]TS BYDem'!D33</f>
        <v>RHEK</v>
      </c>
      <c r="E119" s="120" t="s">
        <v>137</v>
      </c>
      <c r="F119" s="120" t="s">
        <v>137</v>
      </c>
      <c r="G119" s="120" t="s">
        <v>137</v>
      </c>
      <c r="H119" s="120" t="s">
        <v>137</v>
      </c>
      <c r="I119" s="120">
        <v>0</v>
      </c>
      <c r="J119" s="6">
        <f>'[5]TS BYDem'!J33</f>
        <v>3.8865695277538777</v>
      </c>
      <c r="K119" s="24">
        <f t="shared" si="49"/>
        <v>4.3087649762630136</v>
      </c>
      <c r="L119" s="24">
        <f t="shared" si="49"/>
        <v>4.7309604247721504</v>
      </c>
      <c r="M119" s="24">
        <f t="shared" si="49"/>
        <v>5.1531558732812863</v>
      </c>
      <c r="N119" s="24">
        <f t="shared" si="49"/>
        <v>5.5753513217904231</v>
      </c>
      <c r="O119" s="24">
        <f>'[5]TS BYDem'!O33</f>
        <v>5.9975467702995591</v>
      </c>
      <c r="P119" s="24">
        <f t="shared" ref="P119:AP119" ca="1" si="74">OFFSET(P$33,$BB119,$J$93)/OFFSET(O$33,$BB119,$J$93)*O119</f>
        <v>6.3691532021394446</v>
      </c>
      <c r="Q119" s="24">
        <f t="shared" ca="1" si="74"/>
        <v>6.6786058357950306</v>
      </c>
      <c r="R119" s="24">
        <f t="shared" ca="1" si="74"/>
        <v>6.4162121157329199</v>
      </c>
      <c r="S119" s="24">
        <f t="shared" ca="1" si="74"/>
        <v>6.7416413729687896</v>
      </c>
      <c r="T119" s="24">
        <f t="shared" ca="1" si="74"/>
        <v>7.0631869658541468</v>
      </c>
      <c r="U119" s="24">
        <f t="shared" ca="1" si="74"/>
        <v>7.4063069393423175</v>
      </c>
      <c r="V119" s="24">
        <f t="shared" ca="1" si="74"/>
        <v>7.7894929319917274</v>
      </c>
      <c r="W119" s="24">
        <f t="shared" ca="1" si="74"/>
        <v>8.1789267791946489</v>
      </c>
      <c r="X119" s="24">
        <f t="shared" ca="1" si="74"/>
        <v>8.54847014979741</v>
      </c>
      <c r="Y119" s="24">
        <f t="shared" ca="1" si="74"/>
        <v>8.9207040785389591</v>
      </c>
      <c r="Z119" s="24">
        <f t="shared" ca="1" si="74"/>
        <v>9.3019024956999417</v>
      </c>
      <c r="AA119" s="24">
        <f t="shared" ca="1" si="74"/>
        <v>9.7118511178337759</v>
      </c>
      <c r="AB119" s="24">
        <f t="shared" ca="1" si="74"/>
        <v>10.107761390066358</v>
      </c>
      <c r="AC119" s="24">
        <f t="shared" ca="1" si="74"/>
        <v>10.465909438533533</v>
      </c>
      <c r="AD119" s="24">
        <f t="shared" ca="1" si="74"/>
        <v>10.814673793768748</v>
      </c>
      <c r="AE119" s="24">
        <f t="shared" ca="1" si="74"/>
        <v>11.159467827189475</v>
      </c>
      <c r="AF119" s="24">
        <f t="shared" ca="1" si="74"/>
        <v>11.49954274160593</v>
      </c>
      <c r="AG119" s="24">
        <f t="shared" ca="1" si="74"/>
        <v>11.816655510856057</v>
      </c>
      <c r="AH119" s="24">
        <f t="shared" ca="1" si="74"/>
        <v>12.101743869867514</v>
      </c>
      <c r="AI119" s="24">
        <f t="shared" ca="1" si="74"/>
        <v>12.415487840182308</v>
      </c>
      <c r="AJ119" s="24">
        <f t="shared" ca="1" si="74"/>
        <v>12.708473869835707</v>
      </c>
      <c r="AK119" s="24">
        <f t="shared" ca="1" si="74"/>
        <v>12.999388073057991</v>
      </c>
      <c r="AL119" s="24">
        <f t="shared" ca="1" si="74"/>
        <v>13.28482067006067</v>
      </c>
      <c r="AM119" s="24">
        <f t="shared" ca="1" si="74"/>
        <v>14.487198893001073</v>
      </c>
      <c r="AN119" s="24">
        <f t="shared" ca="1" si="74"/>
        <v>15.372656998410203</v>
      </c>
      <c r="AO119" s="24">
        <f t="shared" ca="1" si="74"/>
        <v>15.372656998410203</v>
      </c>
      <c r="AP119" s="24">
        <f t="shared" ca="1" si="74"/>
        <v>15.372656998410203</v>
      </c>
      <c r="AQ119" s="6"/>
      <c r="AR119" s="200"/>
      <c r="AS119" s="200"/>
      <c r="AT119" s="199"/>
      <c r="AU119" s="6"/>
      <c r="AV119" s="6"/>
      <c r="BB119" s="4">
        <f t="shared" si="53"/>
        <v>3</v>
      </c>
    </row>
    <row r="120" spans="1:54">
      <c r="A120" s="22" t="str">
        <f>'[5]TS BYDem'!A34</f>
        <v/>
      </c>
      <c r="B120" s="22" t="str">
        <f>'[5]TS BYDem'!B34</f>
        <v>COM_PROJ</v>
      </c>
      <c r="C120" s="22" t="str">
        <f>'[5]TS BYDem'!C34</f>
        <v>-</v>
      </c>
      <c r="D120" s="22" t="str">
        <f>'[5]TS BYDem'!D34</f>
        <v>RHEH</v>
      </c>
      <c r="E120" s="120" t="s">
        <v>137</v>
      </c>
      <c r="F120" s="120" t="s">
        <v>137</v>
      </c>
      <c r="G120" s="120" t="s">
        <v>137</v>
      </c>
      <c r="H120" s="120" t="s">
        <v>137</v>
      </c>
      <c r="I120" s="120">
        <v>0</v>
      </c>
      <c r="J120" s="6">
        <f>'[5]TS BYDem'!J34</f>
        <v>7.0745539875426244</v>
      </c>
      <c r="K120" s="24">
        <f t="shared" si="49"/>
        <v>7.3628366061935591</v>
      </c>
      <c r="L120" s="24">
        <f t="shared" si="49"/>
        <v>7.6511192248444946</v>
      </c>
      <c r="M120" s="24">
        <f t="shared" si="49"/>
        <v>7.9394018434954292</v>
      </c>
      <c r="N120" s="24">
        <f t="shared" si="49"/>
        <v>8.2276844621463638</v>
      </c>
      <c r="O120" s="24">
        <f>'[5]TS BYDem'!O34</f>
        <v>8.5159670807972994</v>
      </c>
      <c r="P120" s="24">
        <f t="shared" ref="P120:AP120" ca="1" si="75">OFFSET(P$33,$BB120,$J$93)/OFFSET(O$33,$BB120,$J$93)*O120</f>
        <v>9.0436141774789558</v>
      </c>
      <c r="Q120" s="24">
        <f t="shared" ca="1" si="75"/>
        <v>9.4830085735889131</v>
      </c>
      <c r="R120" s="24">
        <f t="shared" ca="1" si="75"/>
        <v>9.1104335245167629</v>
      </c>
      <c r="S120" s="24">
        <f t="shared" ca="1" si="75"/>
        <v>9.5725132627645664</v>
      </c>
      <c r="T120" s="24">
        <f t="shared" ca="1" si="75"/>
        <v>10.029078553350935</v>
      </c>
      <c r="U120" s="24">
        <f t="shared" ca="1" si="75"/>
        <v>10.516277488332038</v>
      </c>
      <c r="V120" s="24">
        <f t="shared" ca="1" si="75"/>
        <v>11.060366500757034</v>
      </c>
      <c r="W120" s="24">
        <f t="shared" ca="1" si="75"/>
        <v>11.613326894388559</v>
      </c>
      <c r="X120" s="24">
        <f t="shared" ca="1" si="75"/>
        <v>12.138044633075374</v>
      </c>
      <c r="Y120" s="24">
        <f t="shared" ca="1" si="75"/>
        <v>12.666582717883099</v>
      </c>
      <c r="Z120" s="24">
        <f t="shared" ca="1" si="75"/>
        <v>13.20784955516244</v>
      </c>
      <c r="AA120" s="24">
        <f t="shared" ca="1" si="75"/>
        <v>13.789939050187016</v>
      </c>
      <c r="AB120" s="24">
        <f t="shared" ca="1" si="75"/>
        <v>14.352095374165756</v>
      </c>
      <c r="AC120" s="24">
        <f t="shared" ca="1" si="75"/>
        <v>14.86063279915126</v>
      </c>
      <c r="AD120" s="24">
        <f t="shared" ca="1" si="75"/>
        <v>15.355846239227565</v>
      </c>
      <c r="AE120" s="24">
        <f t="shared" ca="1" si="75"/>
        <v>15.845422185980805</v>
      </c>
      <c r="AF120" s="24">
        <f t="shared" ca="1" si="75"/>
        <v>16.328297415986029</v>
      </c>
      <c r="AG120" s="24">
        <f t="shared" ca="1" si="75"/>
        <v>16.778568503025781</v>
      </c>
      <c r="AH120" s="24">
        <f t="shared" ca="1" si="75"/>
        <v>17.183367860736972</v>
      </c>
      <c r="AI120" s="24">
        <f t="shared" ca="1" si="75"/>
        <v>17.628855561846802</v>
      </c>
      <c r="AJ120" s="24">
        <f t="shared" ca="1" si="75"/>
        <v>18.044868888498563</v>
      </c>
      <c r="AK120" s="24">
        <f t="shared" ca="1" si="75"/>
        <v>18.457940411382843</v>
      </c>
      <c r="AL120" s="24">
        <f t="shared" ca="1" si="75"/>
        <v>18.863228555511792</v>
      </c>
      <c r="AM120" s="24">
        <f t="shared" ca="1" si="75"/>
        <v>20.570495502713374</v>
      </c>
      <c r="AN120" s="24">
        <f t="shared" ca="1" si="75"/>
        <v>21.827764910670435</v>
      </c>
      <c r="AO120" s="24">
        <f t="shared" ca="1" si="75"/>
        <v>21.827764910670435</v>
      </c>
      <c r="AP120" s="24">
        <f t="shared" ca="1" si="75"/>
        <v>21.827764910670435</v>
      </c>
      <c r="AQ120" s="6"/>
      <c r="AR120" s="200"/>
      <c r="AS120" s="200"/>
      <c r="AT120" s="199"/>
      <c r="AU120" s="6"/>
      <c r="AV120" s="6"/>
      <c r="BB120" s="4">
        <f t="shared" si="53"/>
        <v>3</v>
      </c>
    </row>
    <row r="121" spans="1:54">
      <c r="A121" s="22" t="str">
        <f>'[5]TS BYDem'!A35</f>
        <v/>
      </c>
      <c r="B121" s="22" t="str">
        <f>'[5]TS BYDem'!B35</f>
        <v>COM_PROJ</v>
      </c>
      <c r="C121" s="22" t="str">
        <f>'[5]TS BYDem'!C35</f>
        <v>-</v>
      </c>
      <c r="D121" s="22" t="str">
        <f>'[5]TS BYDem'!D35</f>
        <v>RHEWG</v>
      </c>
      <c r="E121" s="120" t="s">
        <v>137</v>
      </c>
      <c r="F121" s="120" t="s">
        <v>137</v>
      </c>
      <c r="G121" s="120" t="s">
        <v>137</v>
      </c>
      <c r="H121" s="120" t="s">
        <v>137</v>
      </c>
      <c r="I121" s="120">
        <v>0</v>
      </c>
      <c r="J121" s="6">
        <f>'[5]TS BYDem'!J35</f>
        <v>31.69115874919234</v>
      </c>
      <c r="K121" s="24">
        <f t="shared" si="49"/>
        <v>32.726385767543825</v>
      </c>
      <c r="L121" s="24">
        <f t="shared" si="49"/>
        <v>33.761612785895309</v>
      </c>
      <c r="M121" s="24">
        <f t="shared" si="49"/>
        <v>34.796839804246794</v>
      </c>
      <c r="N121" s="24">
        <f t="shared" si="49"/>
        <v>35.832066822598279</v>
      </c>
      <c r="O121" s="24">
        <f>'[5]TS BYDem'!O35</f>
        <v>36.867293840949763</v>
      </c>
      <c r="P121" s="24">
        <f t="shared" ref="P121:AP121" ca="1" si="76">OFFSET(P$33,$BB121,$J$93)/OFFSET(O$33,$BB121,$J$93)*O121</f>
        <v>39.151581740741108</v>
      </c>
      <c r="Q121" s="24">
        <f t="shared" ca="1" si="76"/>
        <v>41.053806368872927</v>
      </c>
      <c r="R121" s="24">
        <f t="shared" ca="1" si="76"/>
        <v>39.440855815914325</v>
      </c>
      <c r="S121" s="24">
        <f t="shared" ca="1" si="76"/>
        <v>41.441289745061923</v>
      </c>
      <c r="T121" s="24">
        <f t="shared" ca="1" si="76"/>
        <v>43.417850547367223</v>
      </c>
      <c r="U121" s="24">
        <f t="shared" ca="1" si="76"/>
        <v>45.527030412029696</v>
      </c>
      <c r="V121" s="24">
        <f t="shared" ca="1" si="76"/>
        <v>47.882498593903705</v>
      </c>
      <c r="W121" s="24">
        <f t="shared" ca="1" si="76"/>
        <v>50.27637272716445</v>
      </c>
      <c r="X121" s="24">
        <f t="shared" ca="1" si="76"/>
        <v>52.547978860934798</v>
      </c>
      <c r="Y121" s="24">
        <f t="shared" ca="1" si="76"/>
        <v>54.83612402329431</v>
      </c>
      <c r="Z121" s="24">
        <f t="shared" ca="1" si="76"/>
        <v>57.179374454749798</v>
      </c>
      <c r="AA121" s="24">
        <f t="shared" ca="1" si="76"/>
        <v>59.699354188254354</v>
      </c>
      <c r="AB121" s="24">
        <f t="shared" ca="1" si="76"/>
        <v>62.13303930986617</v>
      </c>
      <c r="AC121" s="24">
        <f t="shared" ca="1" si="76"/>
        <v>64.334597688166667</v>
      </c>
      <c r="AD121" s="24">
        <f t="shared" ca="1" si="76"/>
        <v>66.478473919258377</v>
      </c>
      <c r="AE121" s="24">
        <f t="shared" ca="1" si="76"/>
        <v>68.597944334675134</v>
      </c>
      <c r="AF121" s="24">
        <f t="shared" ca="1" si="76"/>
        <v>70.688406031416704</v>
      </c>
      <c r="AG121" s="24">
        <f t="shared" ca="1" si="76"/>
        <v>72.6377179905259</v>
      </c>
      <c r="AH121" s="24">
        <f t="shared" ca="1" si="76"/>
        <v>74.390173903726648</v>
      </c>
      <c r="AI121" s="24">
        <f t="shared" ca="1" si="76"/>
        <v>76.318777645793674</v>
      </c>
      <c r="AJ121" s="24">
        <f t="shared" ca="1" si="76"/>
        <v>78.119781032714414</v>
      </c>
      <c r="AK121" s="24">
        <f t="shared" ca="1" si="76"/>
        <v>79.908048773420333</v>
      </c>
      <c r="AL121" s="24">
        <f t="shared" ca="1" si="76"/>
        <v>81.66262073901045</v>
      </c>
      <c r="AM121" s="24">
        <f t="shared" ca="1" si="76"/>
        <v>89.053714623033443</v>
      </c>
      <c r="AN121" s="24">
        <f t="shared" ca="1" si="76"/>
        <v>94.496680790071537</v>
      </c>
      <c r="AO121" s="24">
        <f t="shared" ca="1" si="76"/>
        <v>94.496680790071537</v>
      </c>
      <c r="AP121" s="24">
        <f t="shared" ca="1" si="76"/>
        <v>94.496680790071537</v>
      </c>
      <c r="AQ121" s="6"/>
      <c r="AR121" s="200"/>
      <c r="AS121" s="200"/>
      <c r="AT121" s="199"/>
      <c r="AU121" s="6"/>
      <c r="AV121" s="6"/>
      <c r="BB121" s="4">
        <f t="shared" si="53"/>
        <v>3</v>
      </c>
    </row>
    <row r="122" spans="1:54">
      <c r="A122" s="22" t="str">
        <f>'[5]TS BYDem'!A36</f>
        <v/>
      </c>
      <c r="B122" s="22" t="str">
        <f>'[5]TS BYDem'!B36</f>
        <v>COM_PROJ</v>
      </c>
      <c r="C122" s="22" t="str">
        <f>'[5]TS BYDem'!C36</f>
        <v>-</v>
      </c>
      <c r="D122" s="22" t="str">
        <f>'[5]TS BYDem'!D36</f>
        <v>RHEW</v>
      </c>
      <c r="E122" s="120" t="s">
        <v>137</v>
      </c>
      <c r="F122" s="120" t="s">
        <v>137</v>
      </c>
      <c r="G122" s="120" t="s">
        <v>137</v>
      </c>
      <c r="H122" s="120" t="s">
        <v>137</v>
      </c>
      <c r="I122" s="120">
        <v>0</v>
      </c>
      <c r="J122" s="6">
        <f>'[5]TS BYDem'!J36</f>
        <v>0.56043977372187515</v>
      </c>
      <c r="K122" s="24">
        <f t="shared" si="49"/>
        <v>1.915909412357097</v>
      </c>
      <c r="L122" s="24">
        <f t="shared" si="49"/>
        <v>3.2713790509923188</v>
      </c>
      <c r="M122" s="24">
        <f t="shared" si="49"/>
        <v>4.6268486896275416</v>
      </c>
      <c r="N122" s="24">
        <f t="shared" si="49"/>
        <v>5.9823183282627621</v>
      </c>
      <c r="O122" s="24">
        <f>'[5]TS BYDem'!O36</f>
        <v>7.3377879668979844</v>
      </c>
      <c r="P122" s="24">
        <f t="shared" ref="P122:AP122" ca="1" si="77">OFFSET(P$33,$BB122,$J$93)/OFFSET(O$33,$BB122,$J$93)*O122</f>
        <v>7.7924353933223749</v>
      </c>
      <c r="Q122" s="24">
        <f t="shared" ca="1" si="77"/>
        <v>8.171039829190649</v>
      </c>
      <c r="R122" s="24">
        <f t="shared" ca="1" si="77"/>
        <v>7.850010322393624</v>
      </c>
      <c r="S122" s="24">
        <f t="shared" ca="1" si="77"/>
        <v>8.2481615964524071</v>
      </c>
      <c r="T122" s="24">
        <f t="shared" ca="1" si="77"/>
        <v>8.6415613434902117</v>
      </c>
      <c r="U122" s="24">
        <f t="shared" ca="1" si="77"/>
        <v>9.0613565879611606</v>
      </c>
      <c r="V122" s="24">
        <f t="shared" ca="1" si="77"/>
        <v>9.5301712006075689</v>
      </c>
      <c r="W122" s="24">
        <f t="shared" ca="1" si="77"/>
        <v>10.006629844008136</v>
      </c>
      <c r="X122" s="24">
        <f t="shared" ca="1" si="77"/>
        <v>10.458753187419834</v>
      </c>
      <c r="Y122" s="24">
        <f t="shared" ca="1" si="77"/>
        <v>10.914168334279035</v>
      </c>
      <c r="Z122" s="24">
        <f t="shared" ca="1" si="77"/>
        <v>11.380551218076823</v>
      </c>
      <c r="AA122" s="24">
        <f t="shared" ca="1" si="77"/>
        <v>11.882108968561829</v>
      </c>
      <c r="AB122" s="24">
        <f t="shared" ca="1" si="77"/>
        <v>12.366491290671581</v>
      </c>
      <c r="AC122" s="24">
        <f t="shared" ca="1" si="77"/>
        <v>12.804672857412273</v>
      </c>
      <c r="AD122" s="24">
        <f t="shared" ca="1" si="77"/>
        <v>13.231373804839826</v>
      </c>
      <c r="AE122" s="24">
        <f t="shared" ca="1" si="77"/>
        <v>13.6532172028808</v>
      </c>
      <c r="AF122" s="24">
        <f t="shared" ca="1" si="77"/>
        <v>14.069286924455358</v>
      </c>
      <c r="AG122" s="24">
        <f t="shared" ca="1" si="77"/>
        <v>14.457263267362151</v>
      </c>
      <c r="AH122" s="24">
        <f t="shared" ca="1" si="77"/>
        <v>14.806058868359603</v>
      </c>
      <c r="AI122" s="24">
        <f t="shared" ca="1" si="77"/>
        <v>15.189913604009744</v>
      </c>
      <c r="AJ122" s="24">
        <f t="shared" ca="1" si="77"/>
        <v>15.548371727839022</v>
      </c>
      <c r="AK122" s="24">
        <f t="shared" ca="1" si="77"/>
        <v>15.904295044748407</v>
      </c>
      <c r="AL122" s="24">
        <f t="shared" ca="1" si="77"/>
        <v>16.253511808845786</v>
      </c>
      <c r="AM122" s="24">
        <f t="shared" ca="1" si="77"/>
        <v>17.724579362606875</v>
      </c>
      <c r="AN122" s="24">
        <f t="shared" ca="1" si="77"/>
        <v>18.807906276077343</v>
      </c>
      <c r="AO122" s="24">
        <f t="shared" ca="1" si="77"/>
        <v>18.807906276077343</v>
      </c>
      <c r="AP122" s="24">
        <f t="shared" ca="1" si="77"/>
        <v>18.807906276077343</v>
      </c>
      <c r="AQ122" s="6"/>
      <c r="AR122" s="200"/>
      <c r="AS122" s="200"/>
      <c r="AT122" s="199"/>
      <c r="AU122" s="6"/>
      <c r="AV122" s="6"/>
      <c r="BB122" s="4">
        <f t="shared" si="53"/>
        <v>3</v>
      </c>
    </row>
    <row r="123" spans="1:54">
      <c r="A123" s="22" t="str">
        <f>'[5]TS BYDem'!A37</f>
        <v/>
      </c>
      <c r="B123" s="22" t="str">
        <f>'[5]TS BYDem'!B37</f>
        <v>COM_PROJ</v>
      </c>
      <c r="C123" s="22" t="str">
        <f>'[5]TS BYDem'!C37</f>
        <v>-</v>
      </c>
      <c r="D123" s="22" t="str">
        <f>'[5]TS BYDem'!D37</f>
        <v>RHER</v>
      </c>
      <c r="E123" s="120" t="s">
        <v>137</v>
      </c>
      <c r="F123" s="120" t="s">
        <v>137</v>
      </c>
      <c r="G123" s="120" t="s">
        <v>137</v>
      </c>
      <c r="H123" s="120" t="s">
        <v>137</v>
      </c>
      <c r="I123" s="120">
        <v>0</v>
      </c>
      <c r="J123" s="6">
        <f>'[5]TS BYDem'!J37</f>
        <v>5.2146900261774487</v>
      </c>
      <c r="K123" s="24">
        <f t="shared" si="49"/>
        <v>5.4517281230293149</v>
      </c>
      <c r="L123" s="24">
        <f t="shared" si="49"/>
        <v>5.688766219881181</v>
      </c>
      <c r="M123" s="24">
        <f t="shared" si="49"/>
        <v>5.9258043167330481</v>
      </c>
      <c r="N123" s="24">
        <f t="shared" si="49"/>
        <v>6.1628424135849142</v>
      </c>
      <c r="O123" s="24">
        <f>'[5]TS BYDem'!O37</f>
        <v>6.3998805104367804</v>
      </c>
      <c r="P123" s="24">
        <f t="shared" ref="P123:AP123" ca="1" si="78">OFFSET(P$33,$BB123,$J$93)/OFFSET(O$33,$BB123,$J$93)*O123</f>
        <v>6.7964154357602977</v>
      </c>
      <c r="Q123" s="24">
        <f t="shared" ca="1" si="78"/>
        <v>7.1266270964418199</v>
      </c>
      <c r="R123" s="24">
        <f t="shared" ca="1" si="78"/>
        <v>6.846631204887875</v>
      </c>
      <c r="S123" s="24">
        <f t="shared" ca="1" si="78"/>
        <v>7.1938912498155005</v>
      </c>
      <c r="T123" s="24">
        <f t="shared" ca="1" si="78"/>
        <v>7.5370071023361556</v>
      </c>
      <c r="U123" s="24">
        <f t="shared" ca="1" si="78"/>
        <v>7.9031446107492576</v>
      </c>
      <c r="V123" s="24">
        <f t="shared" ca="1" si="78"/>
        <v>8.3120358891588868</v>
      </c>
      <c r="W123" s="24">
        <f t="shared" ca="1" si="78"/>
        <v>8.7275941472721303</v>
      </c>
      <c r="X123" s="24">
        <f t="shared" ca="1" si="78"/>
        <v>9.1219276149148687</v>
      </c>
      <c r="Y123" s="24">
        <f t="shared" ca="1" si="78"/>
        <v>9.5191321315471527</v>
      </c>
      <c r="Z123" s="24">
        <f t="shared" ca="1" si="78"/>
        <v>9.925902501839083</v>
      </c>
      <c r="AA123" s="24">
        <f t="shared" ca="1" si="78"/>
        <v>10.363351728590791</v>
      </c>
      <c r="AB123" s="24">
        <f t="shared" ca="1" si="78"/>
        <v>10.78582087008887</v>
      </c>
      <c r="AC123" s="24">
        <f t="shared" ca="1" si="78"/>
        <v>11.167994582611925</v>
      </c>
      <c r="AD123" s="24">
        <f t="shared" ca="1" si="78"/>
        <v>11.540155115124691</v>
      </c>
      <c r="AE123" s="24">
        <f t="shared" ca="1" si="78"/>
        <v>11.908078984519374</v>
      </c>
      <c r="AF123" s="24">
        <f t="shared" ca="1" si="78"/>
        <v>12.270967162005588</v>
      </c>
      <c r="AG123" s="24">
        <f t="shared" ca="1" si="78"/>
        <v>12.609352823553861</v>
      </c>
      <c r="AH123" s="24">
        <f t="shared" ca="1" si="78"/>
        <v>12.913565779695377</v>
      </c>
      <c r="AI123" s="24">
        <f t="shared" ca="1" si="78"/>
        <v>13.248356652995131</v>
      </c>
      <c r="AJ123" s="24">
        <f t="shared" ca="1" si="78"/>
        <v>13.560997079626667</v>
      </c>
      <c r="AK123" s="24">
        <f t="shared" ca="1" si="78"/>
        <v>13.87142669538747</v>
      </c>
      <c r="AL123" s="24">
        <f t="shared" ca="1" si="78"/>
        <v>14.176006982055172</v>
      </c>
      <c r="AM123" s="24">
        <f t="shared" ca="1" si="78"/>
        <v>15.459044405502485</v>
      </c>
      <c r="AN123" s="24">
        <f t="shared" ca="1" si="78"/>
        <v>16.4039017427856</v>
      </c>
      <c r="AO123" s="24">
        <f t="shared" ca="1" si="78"/>
        <v>16.4039017427856</v>
      </c>
      <c r="AP123" s="24">
        <f t="shared" ca="1" si="78"/>
        <v>16.4039017427856</v>
      </c>
      <c r="AQ123" s="6"/>
      <c r="AR123" s="200"/>
      <c r="AS123" s="200"/>
      <c r="AT123" s="199"/>
      <c r="AU123" s="6"/>
      <c r="AV123" s="6"/>
      <c r="BB123" s="4">
        <f t="shared" si="53"/>
        <v>3</v>
      </c>
    </row>
    <row r="124" spans="1:54">
      <c r="A124" s="22" t="str">
        <f>'[5]TS BYDem'!A38</f>
        <v/>
      </c>
      <c r="B124" s="22" t="str">
        <f>'[5]TS BYDem'!B38</f>
        <v>COM_PROJ</v>
      </c>
      <c r="C124" s="22" t="str">
        <f>'[5]TS BYDem'!C38</f>
        <v>-</v>
      </c>
      <c r="D124" s="22" t="str">
        <f>'[5]TS BYDem'!D38</f>
        <v>RHEO</v>
      </c>
      <c r="E124" s="120" t="s">
        <v>137</v>
      </c>
      <c r="F124" s="120" t="s">
        <v>137</v>
      </c>
      <c r="G124" s="120" t="s">
        <v>137</v>
      </c>
      <c r="H124" s="120" t="s">
        <v>137</v>
      </c>
      <c r="I124" s="120">
        <v>0</v>
      </c>
      <c r="J124" s="6">
        <f>'[5]TS BYDem'!J38</f>
        <v>11.67171257782252</v>
      </c>
      <c r="K124" s="24">
        <f t="shared" si="49"/>
        <v>12.202260035592907</v>
      </c>
      <c r="L124" s="24">
        <f t="shared" si="49"/>
        <v>12.732807493363294</v>
      </c>
      <c r="M124" s="24">
        <f t="shared" si="49"/>
        <v>13.263354951133682</v>
      </c>
      <c r="N124" s="24">
        <f t="shared" si="49"/>
        <v>13.793902408904069</v>
      </c>
      <c r="O124" s="24">
        <f>'[5]TS BYDem'!O38</f>
        <v>14.324449866674456</v>
      </c>
      <c r="P124" s="24">
        <f t="shared" ref="P124:AP124" ca="1" si="79">OFFSET(P$33,$BB124,$J$93)/OFFSET(O$33,$BB124,$J$93)*O124</f>
        <v>15.21198904008858</v>
      </c>
      <c r="Q124" s="24">
        <f t="shared" ca="1" si="79"/>
        <v>15.951081023307649</v>
      </c>
      <c r="R124" s="24">
        <f t="shared" ca="1" si="79"/>
        <v>15.324383836555709</v>
      </c>
      <c r="S124" s="24">
        <f t="shared" ca="1" si="79"/>
        <v>16.101634145550214</v>
      </c>
      <c r="T124" s="24">
        <f t="shared" ca="1" si="79"/>
        <v>16.869608769432364</v>
      </c>
      <c r="U124" s="24">
        <f t="shared" ca="1" si="79"/>
        <v>17.689111317178313</v>
      </c>
      <c r="V124" s="24">
        <f t="shared" ca="1" si="79"/>
        <v>18.604306938244591</v>
      </c>
      <c r="W124" s="24">
        <f t="shared" ca="1" si="79"/>
        <v>19.534424840495777</v>
      </c>
      <c r="X124" s="24">
        <f t="shared" ca="1" si="79"/>
        <v>20.417036629698508</v>
      </c>
      <c r="Y124" s="24">
        <f t="shared" ca="1" si="79"/>
        <v>21.306074507208429</v>
      </c>
      <c r="Z124" s="24">
        <f t="shared" ca="1" si="79"/>
        <v>22.216523033082186</v>
      </c>
      <c r="AA124" s="24">
        <f t="shared" ca="1" si="79"/>
        <v>23.19563811305931</v>
      </c>
      <c r="AB124" s="24">
        <f t="shared" ca="1" si="79"/>
        <v>24.141224210758686</v>
      </c>
      <c r="AC124" s="24">
        <f t="shared" ca="1" si="79"/>
        <v>24.996619585167597</v>
      </c>
      <c r="AD124" s="24">
        <f t="shared" ca="1" si="79"/>
        <v>25.829603088787753</v>
      </c>
      <c r="AE124" s="24">
        <f t="shared" ca="1" si="79"/>
        <v>26.65310393592112</v>
      </c>
      <c r="AF124" s="24">
        <f t="shared" ca="1" si="79"/>
        <v>27.465333710700985</v>
      </c>
      <c r="AG124" s="24">
        <f t="shared" ca="1" si="79"/>
        <v>28.222721045752788</v>
      </c>
      <c r="AH124" s="24">
        <f t="shared" ca="1" si="79"/>
        <v>28.903621764435826</v>
      </c>
      <c r="AI124" s="24">
        <f t="shared" ca="1" si="79"/>
        <v>29.652963111134685</v>
      </c>
      <c r="AJ124" s="24">
        <f t="shared" ca="1" si="79"/>
        <v>30.352726506759939</v>
      </c>
      <c r="AK124" s="24">
        <f t="shared" ca="1" si="79"/>
        <v>31.047541583517233</v>
      </c>
      <c r="AL124" s="24">
        <f t="shared" ca="1" si="79"/>
        <v>31.729264475004637</v>
      </c>
      <c r="AM124" s="24">
        <f t="shared" ca="1" si="79"/>
        <v>34.601006411321492</v>
      </c>
      <c r="AN124" s="24">
        <f t="shared" ca="1" si="79"/>
        <v>36.715821139033928</v>
      </c>
      <c r="AO124" s="24">
        <f t="shared" ca="1" si="79"/>
        <v>36.715821139033928</v>
      </c>
      <c r="AP124" s="24">
        <f t="shared" ca="1" si="79"/>
        <v>36.715821139033928</v>
      </c>
      <c r="AQ124" s="6"/>
      <c r="AR124" s="200"/>
      <c r="AS124" s="200"/>
      <c r="AT124" s="199"/>
      <c r="AU124" s="6"/>
      <c r="AV124" s="6"/>
      <c r="BB124" s="4">
        <f t="shared" si="53"/>
        <v>3</v>
      </c>
    </row>
    <row r="125" spans="1:54">
      <c r="A125" s="22" t="str">
        <f>'[5]TS BYDem'!A39</f>
        <v>*</v>
      </c>
      <c r="B125" s="22" t="str">
        <f>'[5]TS BYDem'!B39</f>
        <v>COM_PROJ</v>
      </c>
      <c r="C125" s="22" t="str">
        <f>'[5]TS BYDem'!C39</f>
        <v>-</v>
      </c>
      <c r="D125" s="22">
        <f>'[5]TS BYDem'!D39</f>
        <v>0</v>
      </c>
      <c r="E125" s="120" t="s">
        <v>137</v>
      </c>
      <c r="F125" s="120" t="s">
        <v>137</v>
      </c>
      <c r="G125" s="120" t="s">
        <v>137</v>
      </c>
      <c r="H125" s="120" t="s">
        <v>137</v>
      </c>
      <c r="I125" s="120">
        <v>0</v>
      </c>
      <c r="J125" s="6">
        <f>'[5]TS BYDem'!J39</f>
        <v>0</v>
      </c>
      <c r="K125" s="24">
        <f t="shared" si="49"/>
        <v>0</v>
      </c>
      <c r="L125" s="24">
        <f t="shared" si="49"/>
        <v>0</v>
      </c>
      <c r="M125" s="24">
        <f t="shared" si="49"/>
        <v>0</v>
      </c>
      <c r="N125" s="24">
        <f t="shared" si="49"/>
        <v>0</v>
      </c>
      <c r="O125" s="24">
        <f>'[5]TS BYDem'!O39</f>
        <v>0</v>
      </c>
      <c r="P125" s="24" t="e">
        <f t="shared" ref="P125:AP125" ca="1" si="80">OFFSET(P$33,$BB125,$J$93)/OFFSET(O$33,$BB125,$J$93)*O125</f>
        <v>#N/A</v>
      </c>
      <c r="Q125" s="24" t="e">
        <f t="shared" ca="1" si="80"/>
        <v>#N/A</v>
      </c>
      <c r="R125" s="24" t="e">
        <f t="shared" ca="1" si="80"/>
        <v>#N/A</v>
      </c>
      <c r="S125" s="24" t="e">
        <f t="shared" ca="1" si="80"/>
        <v>#N/A</v>
      </c>
      <c r="T125" s="24" t="e">
        <f t="shared" ca="1" si="80"/>
        <v>#N/A</v>
      </c>
      <c r="U125" s="24" t="e">
        <f t="shared" ca="1" si="80"/>
        <v>#N/A</v>
      </c>
      <c r="V125" s="24" t="e">
        <f t="shared" ca="1" si="80"/>
        <v>#N/A</v>
      </c>
      <c r="W125" s="24" t="e">
        <f t="shared" ca="1" si="80"/>
        <v>#N/A</v>
      </c>
      <c r="X125" s="24" t="e">
        <f t="shared" ca="1" si="80"/>
        <v>#N/A</v>
      </c>
      <c r="Y125" s="24" t="e">
        <f t="shared" ca="1" si="80"/>
        <v>#N/A</v>
      </c>
      <c r="Z125" s="24" t="e">
        <f t="shared" ca="1" si="80"/>
        <v>#N/A</v>
      </c>
      <c r="AA125" s="24" t="e">
        <f t="shared" ca="1" si="80"/>
        <v>#N/A</v>
      </c>
      <c r="AB125" s="24" t="e">
        <f t="shared" ca="1" si="80"/>
        <v>#N/A</v>
      </c>
      <c r="AC125" s="24" t="e">
        <f t="shared" ca="1" si="80"/>
        <v>#N/A</v>
      </c>
      <c r="AD125" s="24" t="e">
        <f t="shared" ca="1" si="80"/>
        <v>#N/A</v>
      </c>
      <c r="AE125" s="24" t="e">
        <f t="shared" ca="1" si="80"/>
        <v>#N/A</v>
      </c>
      <c r="AF125" s="24" t="e">
        <f t="shared" ca="1" si="80"/>
        <v>#N/A</v>
      </c>
      <c r="AG125" s="24" t="e">
        <f t="shared" ca="1" si="80"/>
        <v>#N/A</v>
      </c>
      <c r="AH125" s="24" t="e">
        <f t="shared" ca="1" si="80"/>
        <v>#N/A</v>
      </c>
      <c r="AI125" s="24" t="e">
        <f t="shared" ca="1" si="80"/>
        <v>#N/A</v>
      </c>
      <c r="AJ125" s="24" t="e">
        <f t="shared" ca="1" si="80"/>
        <v>#N/A</v>
      </c>
      <c r="AK125" s="24" t="e">
        <f t="shared" ca="1" si="80"/>
        <v>#N/A</v>
      </c>
      <c r="AL125" s="24" t="e">
        <f t="shared" ca="1" si="80"/>
        <v>#N/A</v>
      </c>
      <c r="AM125" s="24" t="e">
        <f t="shared" ca="1" si="80"/>
        <v>#N/A</v>
      </c>
      <c r="AN125" s="24" t="e">
        <f t="shared" ca="1" si="80"/>
        <v>#N/A</v>
      </c>
      <c r="AO125" s="24" t="e">
        <f t="shared" ca="1" si="80"/>
        <v>#N/A</v>
      </c>
      <c r="AP125" s="24" t="e">
        <f t="shared" ca="1" si="80"/>
        <v>#N/A</v>
      </c>
      <c r="AQ125" s="6"/>
      <c r="AR125" s="6"/>
      <c r="AS125" s="6"/>
      <c r="AT125" s="6"/>
      <c r="AU125" s="6"/>
      <c r="AV125" s="6"/>
      <c r="BB125" s="4" t="e">
        <f t="shared" si="53"/>
        <v>#N/A</v>
      </c>
    </row>
    <row r="126" spans="1:54">
      <c r="A126" s="22" t="str">
        <f>'[5]TS BYDem'!A40</f>
        <v>*</v>
      </c>
      <c r="B126" s="22" t="str">
        <f>'[5]TS BYDem'!B40</f>
        <v>COM_PROJ</v>
      </c>
      <c r="C126" s="22" t="str">
        <f>'[5]TS BYDem'!C40</f>
        <v>-</v>
      </c>
      <c r="D126" s="22">
        <f>'[5]TS BYDem'!D40</f>
        <v>0</v>
      </c>
      <c r="E126" s="120" t="s">
        <v>137</v>
      </c>
      <c r="F126" s="120" t="s">
        <v>137</v>
      </c>
      <c r="G126" s="120" t="s">
        <v>137</v>
      </c>
      <c r="H126" s="120" t="s">
        <v>137</v>
      </c>
      <c r="I126" s="120">
        <v>0</v>
      </c>
      <c r="J126" s="6">
        <f>'[5]TS BYDem'!J40</f>
        <v>0</v>
      </c>
      <c r="K126" s="24">
        <f t="shared" si="49"/>
        <v>0</v>
      </c>
      <c r="L126" s="24">
        <f t="shared" si="49"/>
        <v>0</v>
      </c>
      <c r="M126" s="24">
        <f t="shared" si="49"/>
        <v>0</v>
      </c>
      <c r="N126" s="24">
        <f t="shared" si="49"/>
        <v>0</v>
      </c>
      <c r="O126" s="24">
        <f>'[5]TS BYDem'!O40</f>
        <v>0</v>
      </c>
      <c r="P126" s="24" t="e">
        <f t="shared" ref="P126:AP126" ca="1" si="81">OFFSET(P$33,$BB126,$J$93)/OFFSET(O$33,$BB126,$J$93)*O126</f>
        <v>#N/A</v>
      </c>
      <c r="Q126" s="24" t="e">
        <f t="shared" ca="1" si="81"/>
        <v>#N/A</v>
      </c>
      <c r="R126" s="24" t="e">
        <f t="shared" ca="1" si="81"/>
        <v>#N/A</v>
      </c>
      <c r="S126" s="24" t="e">
        <f t="shared" ca="1" si="81"/>
        <v>#N/A</v>
      </c>
      <c r="T126" s="24" t="e">
        <f t="shared" ca="1" si="81"/>
        <v>#N/A</v>
      </c>
      <c r="U126" s="24" t="e">
        <f t="shared" ca="1" si="81"/>
        <v>#N/A</v>
      </c>
      <c r="V126" s="24" t="e">
        <f t="shared" ca="1" si="81"/>
        <v>#N/A</v>
      </c>
      <c r="W126" s="24" t="e">
        <f t="shared" ca="1" si="81"/>
        <v>#N/A</v>
      </c>
      <c r="X126" s="24" t="e">
        <f t="shared" ca="1" si="81"/>
        <v>#N/A</v>
      </c>
      <c r="Y126" s="24" t="e">
        <f t="shared" ca="1" si="81"/>
        <v>#N/A</v>
      </c>
      <c r="Z126" s="24" t="e">
        <f t="shared" ca="1" si="81"/>
        <v>#N/A</v>
      </c>
      <c r="AA126" s="24" t="e">
        <f t="shared" ca="1" si="81"/>
        <v>#N/A</v>
      </c>
      <c r="AB126" s="24" t="e">
        <f t="shared" ca="1" si="81"/>
        <v>#N/A</v>
      </c>
      <c r="AC126" s="24" t="e">
        <f t="shared" ca="1" si="81"/>
        <v>#N/A</v>
      </c>
      <c r="AD126" s="24" t="e">
        <f t="shared" ca="1" si="81"/>
        <v>#N/A</v>
      </c>
      <c r="AE126" s="24" t="e">
        <f t="shared" ca="1" si="81"/>
        <v>#N/A</v>
      </c>
      <c r="AF126" s="24" t="e">
        <f t="shared" ca="1" si="81"/>
        <v>#N/A</v>
      </c>
      <c r="AG126" s="24" t="e">
        <f t="shared" ca="1" si="81"/>
        <v>#N/A</v>
      </c>
      <c r="AH126" s="24" t="e">
        <f t="shared" ca="1" si="81"/>
        <v>#N/A</v>
      </c>
      <c r="AI126" s="24" t="e">
        <f t="shared" ca="1" si="81"/>
        <v>#N/A</v>
      </c>
      <c r="AJ126" s="24" t="e">
        <f t="shared" ca="1" si="81"/>
        <v>#N/A</v>
      </c>
      <c r="AK126" s="24" t="e">
        <f t="shared" ca="1" si="81"/>
        <v>#N/A</v>
      </c>
      <c r="AL126" s="24" t="e">
        <f t="shared" ca="1" si="81"/>
        <v>#N/A</v>
      </c>
      <c r="AM126" s="24" t="e">
        <f t="shared" ca="1" si="81"/>
        <v>#N/A</v>
      </c>
      <c r="AN126" s="24" t="e">
        <f t="shared" ca="1" si="81"/>
        <v>#N/A</v>
      </c>
      <c r="AO126" s="24" t="e">
        <f t="shared" ca="1" si="81"/>
        <v>#N/A</v>
      </c>
      <c r="AP126" s="24" t="e">
        <f t="shared" ca="1" si="81"/>
        <v>#N/A</v>
      </c>
      <c r="AQ126" s="6"/>
      <c r="AR126" s="6"/>
      <c r="AS126" s="6"/>
      <c r="AT126" s="6"/>
      <c r="AU126" s="6"/>
      <c r="AV126" s="6"/>
      <c r="BB126" s="4" t="e">
        <f t="shared" si="53"/>
        <v>#N/A</v>
      </c>
    </row>
    <row r="127" spans="1:54">
      <c r="A127" s="22" t="str">
        <f>'[5]TS BYDem'!A41</f>
        <v>*</v>
      </c>
      <c r="B127" s="22" t="str">
        <f>'[5]TS BYDem'!B41</f>
        <v>COM_PROJ</v>
      </c>
      <c r="C127" s="22" t="str">
        <f>'[5]TS BYDem'!C41</f>
        <v>-</v>
      </c>
      <c r="D127" s="22">
        <f>'[5]TS BYDem'!D41</f>
        <v>0</v>
      </c>
      <c r="E127" s="120" t="s">
        <v>137</v>
      </c>
      <c r="F127" s="120" t="s">
        <v>137</v>
      </c>
      <c r="G127" s="120" t="s">
        <v>137</v>
      </c>
      <c r="H127" s="120" t="s">
        <v>137</v>
      </c>
      <c r="I127" s="120">
        <v>0</v>
      </c>
      <c r="J127" s="6">
        <f>'[5]TS BYDem'!J41</f>
        <v>0</v>
      </c>
      <c r="K127" s="24">
        <f t="shared" si="49"/>
        <v>0</v>
      </c>
      <c r="L127" s="24">
        <f t="shared" si="49"/>
        <v>0</v>
      </c>
      <c r="M127" s="24">
        <f t="shared" si="49"/>
        <v>0</v>
      </c>
      <c r="N127" s="24">
        <f t="shared" si="49"/>
        <v>0</v>
      </c>
      <c r="O127" s="24">
        <f>'[5]TS BYDem'!O41</f>
        <v>0</v>
      </c>
      <c r="P127" s="24">
        <f t="shared" ref="P127:AP127" ca="1" si="82">IF($E$78=1, P90, P84)</f>
        <v>0</v>
      </c>
      <c r="Q127" s="24">
        <f t="shared" ca="1" si="82"/>
        <v>0</v>
      </c>
      <c r="R127" s="24">
        <f t="shared" ca="1" si="82"/>
        <v>0</v>
      </c>
      <c r="S127" s="24">
        <f t="shared" ca="1" si="82"/>
        <v>0</v>
      </c>
      <c r="T127" s="24">
        <f t="shared" ca="1" si="82"/>
        <v>0</v>
      </c>
      <c r="U127" s="24">
        <f t="shared" ca="1" si="82"/>
        <v>0</v>
      </c>
      <c r="V127" s="24">
        <f t="shared" ca="1" si="82"/>
        <v>0</v>
      </c>
      <c r="W127" s="24">
        <f t="shared" ca="1" si="82"/>
        <v>0</v>
      </c>
      <c r="X127" s="24">
        <f t="shared" ca="1" si="82"/>
        <v>0</v>
      </c>
      <c r="Y127" s="24">
        <f t="shared" ca="1" si="82"/>
        <v>0</v>
      </c>
      <c r="Z127" s="24">
        <f t="shared" ca="1" si="82"/>
        <v>0</v>
      </c>
      <c r="AA127" s="24">
        <f t="shared" ca="1" si="82"/>
        <v>0</v>
      </c>
      <c r="AB127" s="24">
        <f t="shared" ca="1" si="82"/>
        <v>0</v>
      </c>
      <c r="AC127" s="24">
        <f t="shared" ca="1" si="82"/>
        <v>0</v>
      </c>
      <c r="AD127" s="24">
        <f t="shared" ca="1" si="82"/>
        <v>0</v>
      </c>
      <c r="AE127" s="24">
        <f t="shared" ca="1" si="82"/>
        <v>0</v>
      </c>
      <c r="AF127" s="24">
        <f t="shared" ca="1" si="82"/>
        <v>0</v>
      </c>
      <c r="AG127" s="24">
        <f t="shared" ca="1" si="82"/>
        <v>0</v>
      </c>
      <c r="AH127" s="24">
        <f t="shared" ca="1" si="82"/>
        <v>0</v>
      </c>
      <c r="AI127" s="24">
        <f t="shared" ca="1" si="82"/>
        <v>0</v>
      </c>
      <c r="AJ127" s="24">
        <f t="shared" ca="1" si="82"/>
        <v>0</v>
      </c>
      <c r="AK127" s="24">
        <f t="shared" ca="1" si="82"/>
        <v>0</v>
      </c>
      <c r="AL127" s="24">
        <f t="shared" ca="1" si="82"/>
        <v>0</v>
      </c>
      <c r="AM127" s="24">
        <f t="shared" ca="1" si="82"/>
        <v>0</v>
      </c>
      <c r="AN127" s="24">
        <f t="shared" ca="1" si="82"/>
        <v>0</v>
      </c>
      <c r="AO127" s="24">
        <f t="shared" ca="1" si="82"/>
        <v>0</v>
      </c>
      <c r="AP127" s="24">
        <f t="shared" ca="1" si="82"/>
        <v>0</v>
      </c>
      <c r="AQ127" s="6"/>
      <c r="AR127" s="6"/>
      <c r="AS127" s="6"/>
      <c r="AT127" s="6"/>
      <c r="AU127" s="6"/>
      <c r="AV127" s="6"/>
      <c r="BB127" s="4" t="e">
        <f t="shared" si="53"/>
        <v>#N/A</v>
      </c>
    </row>
    <row r="128" spans="1:54">
      <c r="A128" s="22" t="str">
        <f>'[5]TS BYDem'!A42</f>
        <v>*</v>
      </c>
      <c r="B128" s="22" t="str">
        <f>'[5]TS BYDem'!B42</f>
        <v>COM_PROJ</v>
      </c>
      <c r="C128" s="22" t="str">
        <f>'[5]TS BYDem'!C42</f>
        <v>-</v>
      </c>
      <c r="D128" s="22">
        <f>'[5]TS BYDem'!D42</f>
        <v>0</v>
      </c>
      <c r="E128" s="120" t="s">
        <v>137</v>
      </c>
      <c r="F128" s="120" t="s">
        <v>137</v>
      </c>
      <c r="G128" s="120" t="s">
        <v>137</v>
      </c>
      <c r="H128" s="120" t="s">
        <v>137</v>
      </c>
      <c r="I128" s="120">
        <v>0</v>
      </c>
      <c r="J128" s="6">
        <f>'[5]TS BYDem'!J42</f>
        <v>0</v>
      </c>
      <c r="K128" s="24">
        <f t="shared" si="49"/>
        <v>0</v>
      </c>
      <c r="L128" s="24">
        <f t="shared" si="49"/>
        <v>0</v>
      </c>
      <c r="M128" s="24">
        <f t="shared" si="49"/>
        <v>0</v>
      </c>
      <c r="N128" s="24">
        <f t="shared" si="49"/>
        <v>0</v>
      </c>
      <c r="O128" s="24">
        <f>'[5]TS BYDem'!O42</f>
        <v>0</v>
      </c>
      <c r="P128" s="24" t="e">
        <f t="shared" ref="P128:AP128" ca="1" si="83">OFFSET(P$33,$BB128,$J$93)/OFFSET(O$33,$BB128,$J$93)*O128</f>
        <v>#N/A</v>
      </c>
      <c r="Q128" s="24" t="e">
        <f t="shared" ca="1" si="83"/>
        <v>#N/A</v>
      </c>
      <c r="R128" s="24" t="e">
        <f t="shared" ca="1" si="83"/>
        <v>#N/A</v>
      </c>
      <c r="S128" s="24" t="e">
        <f t="shared" ca="1" si="83"/>
        <v>#N/A</v>
      </c>
      <c r="T128" s="24" t="e">
        <f t="shared" ca="1" si="83"/>
        <v>#N/A</v>
      </c>
      <c r="U128" s="24" t="e">
        <f t="shared" ca="1" si="83"/>
        <v>#N/A</v>
      </c>
      <c r="V128" s="24" t="e">
        <f t="shared" ca="1" si="83"/>
        <v>#N/A</v>
      </c>
      <c r="W128" s="24" t="e">
        <f t="shared" ca="1" si="83"/>
        <v>#N/A</v>
      </c>
      <c r="X128" s="24" t="e">
        <f t="shared" ca="1" si="83"/>
        <v>#N/A</v>
      </c>
      <c r="Y128" s="24" t="e">
        <f t="shared" ca="1" si="83"/>
        <v>#N/A</v>
      </c>
      <c r="Z128" s="24" t="e">
        <f t="shared" ca="1" si="83"/>
        <v>#N/A</v>
      </c>
      <c r="AA128" s="24" t="e">
        <f t="shared" ca="1" si="83"/>
        <v>#N/A</v>
      </c>
      <c r="AB128" s="24" t="e">
        <f t="shared" ca="1" si="83"/>
        <v>#N/A</v>
      </c>
      <c r="AC128" s="24" t="e">
        <f t="shared" ca="1" si="83"/>
        <v>#N/A</v>
      </c>
      <c r="AD128" s="24" t="e">
        <f t="shared" ca="1" si="83"/>
        <v>#N/A</v>
      </c>
      <c r="AE128" s="24" t="e">
        <f t="shared" ca="1" si="83"/>
        <v>#N/A</v>
      </c>
      <c r="AF128" s="24" t="e">
        <f t="shared" ca="1" si="83"/>
        <v>#N/A</v>
      </c>
      <c r="AG128" s="24" t="e">
        <f t="shared" ca="1" si="83"/>
        <v>#N/A</v>
      </c>
      <c r="AH128" s="24" t="e">
        <f t="shared" ca="1" si="83"/>
        <v>#N/A</v>
      </c>
      <c r="AI128" s="24" t="e">
        <f t="shared" ca="1" si="83"/>
        <v>#N/A</v>
      </c>
      <c r="AJ128" s="24" t="e">
        <f t="shared" ca="1" si="83"/>
        <v>#N/A</v>
      </c>
      <c r="AK128" s="24" t="e">
        <f t="shared" ca="1" si="83"/>
        <v>#N/A</v>
      </c>
      <c r="AL128" s="24" t="e">
        <f t="shared" ca="1" si="83"/>
        <v>#N/A</v>
      </c>
      <c r="AM128" s="24" t="e">
        <f t="shared" ca="1" si="83"/>
        <v>#N/A</v>
      </c>
      <c r="AN128" s="24" t="e">
        <f t="shared" ca="1" si="83"/>
        <v>#N/A</v>
      </c>
      <c r="AO128" s="24" t="e">
        <f t="shared" ca="1" si="83"/>
        <v>#N/A</v>
      </c>
      <c r="AP128" s="24" t="e">
        <f t="shared" ca="1" si="83"/>
        <v>#N/A</v>
      </c>
      <c r="AQ128" s="6"/>
      <c r="AR128" s="6"/>
      <c r="AS128" s="6"/>
      <c r="AT128" s="6"/>
      <c r="AU128" s="6"/>
      <c r="AV128" s="6"/>
      <c r="BB128" s="4" t="e">
        <f t="shared" si="53"/>
        <v>#N/A</v>
      </c>
    </row>
    <row r="129" spans="1:54">
      <c r="A129" s="22" t="str">
        <f>'[5]TS BYDem'!A43</f>
        <v>*</v>
      </c>
      <c r="B129" s="22" t="str">
        <f>'[5]TS BYDem'!B43</f>
        <v>COM_PROJ</v>
      </c>
      <c r="C129" s="22" t="str">
        <f>'[5]TS BYDem'!C43</f>
        <v>-</v>
      </c>
      <c r="D129" s="22">
        <f>'[5]TS BYDem'!D43</f>
        <v>0</v>
      </c>
      <c r="E129" s="120" t="s">
        <v>137</v>
      </c>
      <c r="F129" s="120" t="s">
        <v>137</v>
      </c>
      <c r="G129" s="120" t="s">
        <v>137</v>
      </c>
      <c r="H129" s="120" t="s">
        <v>137</v>
      </c>
      <c r="I129" s="120">
        <v>0</v>
      </c>
      <c r="J129" s="6">
        <f>'[5]TS BYDem'!J43</f>
        <v>0</v>
      </c>
      <c r="K129" s="24">
        <f t="shared" si="49"/>
        <v>0</v>
      </c>
      <c r="L129" s="24">
        <f t="shared" si="49"/>
        <v>0</v>
      </c>
      <c r="M129" s="24">
        <f t="shared" si="49"/>
        <v>0</v>
      </c>
      <c r="N129" s="24">
        <f t="shared" si="49"/>
        <v>0</v>
      </c>
      <c r="O129" s="24">
        <f>'[5]TS BYDem'!O43</f>
        <v>0</v>
      </c>
      <c r="P129" s="24" t="e">
        <f t="shared" ref="P129:AP129" ca="1" si="84">OFFSET(P$33,$BB129,$J$93)/OFFSET(O$33,$BB129,$J$93)*O129</f>
        <v>#N/A</v>
      </c>
      <c r="Q129" s="24" t="e">
        <f t="shared" ca="1" si="84"/>
        <v>#N/A</v>
      </c>
      <c r="R129" s="24" t="e">
        <f t="shared" ca="1" si="84"/>
        <v>#N/A</v>
      </c>
      <c r="S129" s="24" t="e">
        <f t="shared" ca="1" si="84"/>
        <v>#N/A</v>
      </c>
      <c r="T129" s="24" t="e">
        <f t="shared" ca="1" si="84"/>
        <v>#N/A</v>
      </c>
      <c r="U129" s="24" t="e">
        <f t="shared" ca="1" si="84"/>
        <v>#N/A</v>
      </c>
      <c r="V129" s="24" t="e">
        <f t="shared" ca="1" si="84"/>
        <v>#N/A</v>
      </c>
      <c r="W129" s="24" t="e">
        <f t="shared" ca="1" si="84"/>
        <v>#N/A</v>
      </c>
      <c r="X129" s="24" t="e">
        <f t="shared" ca="1" si="84"/>
        <v>#N/A</v>
      </c>
      <c r="Y129" s="24" t="e">
        <f t="shared" ca="1" si="84"/>
        <v>#N/A</v>
      </c>
      <c r="Z129" s="24" t="e">
        <f t="shared" ca="1" si="84"/>
        <v>#N/A</v>
      </c>
      <c r="AA129" s="24" t="e">
        <f t="shared" ca="1" si="84"/>
        <v>#N/A</v>
      </c>
      <c r="AB129" s="24" t="e">
        <f t="shared" ca="1" si="84"/>
        <v>#N/A</v>
      </c>
      <c r="AC129" s="24" t="e">
        <f t="shared" ca="1" si="84"/>
        <v>#N/A</v>
      </c>
      <c r="AD129" s="24" t="e">
        <f t="shared" ca="1" si="84"/>
        <v>#N/A</v>
      </c>
      <c r="AE129" s="24" t="e">
        <f t="shared" ca="1" si="84"/>
        <v>#N/A</v>
      </c>
      <c r="AF129" s="24" t="e">
        <f t="shared" ca="1" si="84"/>
        <v>#N/A</v>
      </c>
      <c r="AG129" s="24" t="e">
        <f t="shared" ca="1" si="84"/>
        <v>#N/A</v>
      </c>
      <c r="AH129" s="24" t="e">
        <f t="shared" ca="1" si="84"/>
        <v>#N/A</v>
      </c>
      <c r="AI129" s="24" t="e">
        <f t="shared" ca="1" si="84"/>
        <v>#N/A</v>
      </c>
      <c r="AJ129" s="24" t="e">
        <f t="shared" ca="1" si="84"/>
        <v>#N/A</v>
      </c>
      <c r="AK129" s="24" t="e">
        <f t="shared" ca="1" si="84"/>
        <v>#N/A</v>
      </c>
      <c r="AL129" s="24" t="e">
        <f t="shared" ca="1" si="84"/>
        <v>#N/A</v>
      </c>
      <c r="AM129" s="24" t="e">
        <f t="shared" ca="1" si="84"/>
        <v>#N/A</v>
      </c>
      <c r="AN129" s="24" t="e">
        <f t="shared" ca="1" si="84"/>
        <v>#N/A</v>
      </c>
      <c r="AO129" s="24" t="e">
        <f t="shared" ca="1" si="84"/>
        <v>#N/A</v>
      </c>
      <c r="AP129" s="24" t="e">
        <f t="shared" ca="1" si="84"/>
        <v>#N/A</v>
      </c>
      <c r="AQ129" s="6"/>
      <c r="AR129" s="6"/>
      <c r="AS129" s="6"/>
      <c r="AT129" s="6"/>
      <c r="AU129" s="6"/>
      <c r="AV129" s="6"/>
      <c r="BB129" s="4" t="e">
        <f t="shared" si="53"/>
        <v>#N/A</v>
      </c>
    </row>
    <row r="130" spans="1:54">
      <c r="A130" s="22" t="str">
        <f>'[5]TS BYDem'!A44</f>
        <v>*</v>
      </c>
      <c r="B130" s="22" t="str">
        <f>'[5]TS BYDem'!B44</f>
        <v>COM_PROJ</v>
      </c>
      <c r="C130" s="22" t="str">
        <f>'[5]TS BYDem'!C44</f>
        <v>-</v>
      </c>
      <c r="D130" s="22">
        <f>'[5]TS BYDem'!D44</f>
        <v>0</v>
      </c>
      <c r="E130" s="120" t="s">
        <v>137</v>
      </c>
      <c r="F130" s="120" t="s">
        <v>137</v>
      </c>
      <c r="G130" s="120" t="s">
        <v>137</v>
      </c>
      <c r="H130" s="120" t="s">
        <v>137</v>
      </c>
      <c r="I130" s="120">
        <v>0</v>
      </c>
      <c r="J130" s="6">
        <f>'[5]TS BYDem'!J44</f>
        <v>0</v>
      </c>
      <c r="K130" s="24">
        <f t="shared" si="49"/>
        <v>0</v>
      </c>
      <c r="L130" s="24">
        <f t="shared" si="49"/>
        <v>0</v>
      </c>
      <c r="M130" s="24">
        <f t="shared" si="49"/>
        <v>0</v>
      </c>
      <c r="N130" s="24">
        <f t="shared" si="49"/>
        <v>0</v>
      </c>
      <c r="O130" s="24">
        <f>'[5]TS BYDem'!O44</f>
        <v>0</v>
      </c>
      <c r="P130" s="24" t="e">
        <f t="shared" ref="P130:AP130" ca="1" si="85">OFFSET(P$33,$BB130,$J$93)/OFFSET(O$33,$BB130,$J$93)*O130</f>
        <v>#N/A</v>
      </c>
      <c r="Q130" s="24" t="e">
        <f t="shared" ca="1" si="85"/>
        <v>#N/A</v>
      </c>
      <c r="R130" s="24" t="e">
        <f t="shared" ca="1" si="85"/>
        <v>#N/A</v>
      </c>
      <c r="S130" s="24" t="e">
        <f t="shared" ca="1" si="85"/>
        <v>#N/A</v>
      </c>
      <c r="T130" s="24" t="e">
        <f t="shared" ca="1" si="85"/>
        <v>#N/A</v>
      </c>
      <c r="U130" s="24" t="e">
        <f t="shared" ca="1" si="85"/>
        <v>#N/A</v>
      </c>
      <c r="V130" s="24" t="e">
        <f t="shared" ca="1" si="85"/>
        <v>#N/A</v>
      </c>
      <c r="W130" s="24" t="e">
        <f t="shared" ca="1" si="85"/>
        <v>#N/A</v>
      </c>
      <c r="X130" s="24" t="e">
        <f t="shared" ca="1" si="85"/>
        <v>#N/A</v>
      </c>
      <c r="Y130" s="24" t="e">
        <f t="shared" ca="1" si="85"/>
        <v>#N/A</v>
      </c>
      <c r="Z130" s="24" t="e">
        <f t="shared" ca="1" si="85"/>
        <v>#N/A</v>
      </c>
      <c r="AA130" s="24" t="e">
        <f t="shared" ca="1" si="85"/>
        <v>#N/A</v>
      </c>
      <c r="AB130" s="24" t="e">
        <f t="shared" ca="1" si="85"/>
        <v>#N/A</v>
      </c>
      <c r="AC130" s="24" t="e">
        <f t="shared" ca="1" si="85"/>
        <v>#N/A</v>
      </c>
      <c r="AD130" s="24" t="e">
        <f t="shared" ca="1" si="85"/>
        <v>#N/A</v>
      </c>
      <c r="AE130" s="24" t="e">
        <f t="shared" ca="1" si="85"/>
        <v>#N/A</v>
      </c>
      <c r="AF130" s="24" t="e">
        <f t="shared" ca="1" si="85"/>
        <v>#N/A</v>
      </c>
      <c r="AG130" s="24" t="e">
        <f t="shared" ca="1" si="85"/>
        <v>#N/A</v>
      </c>
      <c r="AH130" s="24" t="e">
        <f t="shared" ca="1" si="85"/>
        <v>#N/A</v>
      </c>
      <c r="AI130" s="24" t="e">
        <f t="shared" ca="1" si="85"/>
        <v>#N/A</v>
      </c>
      <c r="AJ130" s="24" t="e">
        <f t="shared" ca="1" si="85"/>
        <v>#N/A</v>
      </c>
      <c r="AK130" s="24" t="e">
        <f t="shared" ca="1" si="85"/>
        <v>#N/A</v>
      </c>
      <c r="AL130" s="24" t="e">
        <f t="shared" ca="1" si="85"/>
        <v>#N/A</v>
      </c>
      <c r="AM130" s="24" t="e">
        <f t="shared" ca="1" si="85"/>
        <v>#N/A</v>
      </c>
      <c r="AN130" s="24" t="e">
        <f t="shared" ca="1" si="85"/>
        <v>#N/A</v>
      </c>
      <c r="AO130" s="24" t="e">
        <f t="shared" ca="1" si="85"/>
        <v>#N/A</v>
      </c>
      <c r="AP130" s="24" t="e">
        <f t="shared" ca="1" si="85"/>
        <v>#N/A</v>
      </c>
      <c r="AQ130" s="6"/>
      <c r="AR130" s="6"/>
      <c r="AS130" s="6"/>
      <c r="AT130" s="6"/>
      <c r="AU130" s="6"/>
      <c r="AV130" s="6"/>
      <c r="BB130" s="4" t="e">
        <f t="shared" si="53"/>
        <v>#N/A</v>
      </c>
    </row>
    <row r="131" spans="1:54">
      <c r="A131" s="22" t="str">
        <f>'[5]TS BYDem'!A45</f>
        <v>*</v>
      </c>
      <c r="B131" s="22" t="str">
        <f>'[5]TS BYDem'!B45</f>
        <v>COM_PROJ</v>
      </c>
      <c r="C131" s="22" t="str">
        <f>'[5]TS BYDem'!C45</f>
        <v>-</v>
      </c>
      <c r="D131" s="22">
        <f>'[5]TS BYDem'!D45</f>
        <v>0</v>
      </c>
      <c r="E131" s="120" t="s">
        <v>137</v>
      </c>
      <c r="F131" s="120" t="s">
        <v>137</v>
      </c>
      <c r="G131" s="120" t="s">
        <v>137</v>
      </c>
      <c r="H131" s="120" t="s">
        <v>137</v>
      </c>
      <c r="I131" s="120">
        <v>0</v>
      </c>
      <c r="J131" s="6">
        <f>'[5]TS BYDem'!J45</f>
        <v>0</v>
      </c>
      <c r="K131" s="24">
        <f t="shared" si="49"/>
        <v>0</v>
      </c>
      <c r="L131" s="24">
        <f t="shared" si="49"/>
        <v>0</v>
      </c>
      <c r="M131" s="24">
        <f t="shared" si="49"/>
        <v>0</v>
      </c>
      <c r="N131" s="24">
        <f t="shared" si="49"/>
        <v>0</v>
      </c>
      <c r="O131" s="24">
        <f>'[5]TS BYDem'!O45</f>
        <v>0</v>
      </c>
      <c r="P131" s="24" t="e">
        <f t="shared" ref="P131:AP131" ca="1" si="86">OFFSET(P$33,$BB131,$J$93)/OFFSET(O$33,$BB131,$J$93)*O131</f>
        <v>#N/A</v>
      </c>
      <c r="Q131" s="24" t="e">
        <f t="shared" ca="1" si="86"/>
        <v>#N/A</v>
      </c>
      <c r="R131" s="24" t="e">
        <f t="shared" ca="1" si="86"/>
        <v>#N/A</v>
      </c>
      <c r="S131" s="24" t="e">
        <f t="shared" ca="1" si="86"/>
        <v>#N/A</v>
      </c>
      <c r="T131" s="24" t="e">
        <f t="shared" ca="1" si="86"/>
        <v>#N/A</v>
      </c>
      <c r="U131" s="24" t="e">
        <f t="shared" ca="1" si="86"/>
        <v>#N/A</v>
      </c>
      <c r="V131" s="24" t="e">
        <f t="shared" ca="1" si="86"/>
        <v>#N/A</v>
      </c>
      <c r="W131" s="24" t="e">
        <f t="shared" ca="1" si="86"/>
        <v>#N/A</v>
      </c>
      <c r="X131" s="24" t="e">
        <f t="shared" ca="1" si="86"/>
        <v>#N/A</v>
      </c>
      <c r="Y131" s="24" t="e">
        <f t="shared" ca="1" si="86"/>
        <v>#N/A</v>
      </c>
      <c r="Z131" s="24" t="e">
        <f t="shared" ca="1" si="86"/>
        <v>#N/A</v>
      </c>
      <c r="AA131" s="24" t="e">
        <f t="shared" ca="1" si="86"/>
        <v>#N/A</v>
      </c>
      <c r="AB131" s="24" t="e">
        <f t="shared" ca="1" si="86"/>
        <v>#N/A</v>
      </c>
      <c r="AC131" s="24" t="e">
        <f t="shared" ca="1" si="86"/>
        <v>#N/A</v>
      </c>
      <c r="AD131" s="24" t="e">
        <f t="shared" ca="1" si="86"/>
        <v>#N/A</v>
      </c>
      <c r="AE131" s="24" t="e">
        <f t="shared" ca="1" si="86"/>
        <v>#N/A</v>
      </c>
      <c r="AF131" s="24" t="e">
        <f t="shared" ca="1" si="86"/>
        <v>#N/A</v>
      </c>
      <c r="AG131" s="24" t="e">
        <f t="shared" ca="1" si="86"/>
        <v>#N/A</v>
      </c>
      <c r="AH131" s="24" t="e">
        <f t="shared" ca="1" si="86"/>
        <v>#N/A</v>
      </c>
      <c r="AI131" s="24" t="e">
        <f t="shared" ca="1" si="86"/>
        <v>#N/A</v>
      </c>
      <c r="AJ131" s="24" t="e">
        <f t="shared" ca="1" si="86"/>
        <v>#N/A</v>
      </c>
      <c r="AK131" s="24" t="e">
        <f t="shared" ca="1" si="86"/>
        <v>#N/A</v>
      </c>
      <c r="AL131" s="24" t="e">
        <f t="shared" ca="1" si="86"/>
        <v>#N/A</v>
      </c>
      <c r="AM131" s="24" t="e">
        <f t="shared" ca="1" si="86"/>
        <v>#N/A</v>
      </c>
      <c r="AN131" s="24" t="e">
        <f t="shared" ca="1" si="86"/>
        <v>#N/A</v>
      </c>
      <c r="AO131" s="24" t="e">
        <f t="shared" ca="1" si="86"/>
        <v>#N/A</v>
      </c>
      <c r="AP131" s="24" t="e">
        <f t="shared" ca="1" si="86"/>
        <v>#N/A</v>
      </c>
      <c r="AQ131" s="6"/>
      <c r="AR131" s="6"/>
      <c r="AS131" s="6"/>
      <c r="AT131" s="6"/>
      <c r="AU131" s="6"/>
      <c r="AV131" s="6"/>
      <c r="BB131" s="4" t="e">
        <f t="shared" si="53"/>
        <v>#N/A</v>
      </c>
    </row>
    <row r="132" spans="1:54">
      <c r="A132" s="22" t="str">
        <f>'[5]TS BYDem'!A46</f>
        <v>*</v>
      </c>
      <c r="B132" s="22" t="str">
        <f>'[5]TS BYDem'!B46</f>
        <v>COM_PROJ</v>
      </c>
      <c r="C132" s="22" t="str">
        <f>'[5]TS BYDem'!C46</f>
        <v>-</v>
      </c>
      <c r="D132" s="22">
        <f>'[5]TS BYDem'!D46</f>
        <v>0</v>
      </c>
      <c r="E132" s="120" t="s">
        <v>137</v>
      </c>
      <c r="F132" s="120" t="s">
        <v>137</v>
      </c>
      <c r="G132" s="120" t="s">
        <v>137</v>
      </c>
      <c r="H132" s="120" t="s">
        <v>137</v>
      </c>
      <c r="I132" s="120">
        <v>0</v>
      </c>
      <c r="J132" s="6">
        <f>'[5]TS BYDem'!J46</f>
        <v>0</v>
      </c>
      <c r="K132" s="24">
        <f t="shared" si="49"/>
        <v>0</v>
      </c>
      <c r="L132" s="24">
        <f t="shared" si="49"/>
        <v>0</v>
      </c>
      <c r="M132" s="24">
        <f t="shared" si="49"/>
        <v>0</v>
      </c>
      <c r="N132" s="24">
        <f t="shared" si="49"/>
        <v>0</v>
      </c>
      <c r="O132" s="24">
        <f>'[5]TS BYDem'!O46</f>
        <v>0</v>
      </c>
      <c r="P132" s="24" t="e">
        <f t="shared" ref="P132:AP136" ca="1" si="87">OFFSET(P$33,$BB132,$J$93)/(OFFSET(O$33,$BB132,$J$93)+0.000001)*O132</f>
        <v>#N/A</v>
      </c>
      <c r="Q132" s="24" t="e">
        <f t="shared" ca="1" si="87"/>
        <v>#N/A</v>
      </c>
      <c r="R132" s="24" t="e">
        <f t="shared" ca="1" si="87"/>
        <v>#N/A</v>
      </c>
      <c r="S132" s="24" t="e">
        <f t="shared" ca="1" si="87"/>
        <v>#N/A</v>
      </c>
      <c r="T132" s="24" t="e">
        <f t="shared" ca="1" si="87"/>
        <v>#N/A</v>
      </c>
      <c r="U132" s="24" t="e">
        <f t="shared" ca="1" si="87"/>
        <v>#N/A</v>
      </c>
      <c r="V132" s="24" t="e">
        <f t="shared" ca="1" si="87"/>
        <v>#N/A</v>
      </c>
      <c r="W132" s="24" t="e">
        <f t="shared" ca="1" si="87"/>
        <v>#N/A</v>
      </c>
      <c r="X132" s="24" t="e">
        <f t="shared" ca="1" si="87"/>
        <v>#N/A</v>
      </c>
      <c r="Y132" s="24" t="e">
        <f t="shared" ca="1" si="87"/>
        <v>#N/A</v>
      </c>
      <c r="Z132" s="24" t="e">
        <f t="shared" ca="1" si="87"/>
        <v>#N/A</v>
      </c>
      <c r="AA132" s="24" t="e">
        <f t="shared" ca="1" si="87"/>
        <v>#N/A</v>
      </c>
      <c r="AB132" s="24" t="e">
        <f t="shared" ca="1" si="87"/>
        <v>#N/A</v>
      </c>
      <c r="AC132" s="24" t="e">
        <f t="shared" ca="1" si="87"/>
        <v>#N/A</v>
      </c>
      <c r="AD132" s="24" t="e">
        <f t="shared" ca="1" si="87"/>
        <v>#N/A</v>
      </c>
      <c r="AE132" s="24" t="e">
        <f t="shared" ca="1" si="87"/>
        <v>#N/A</v>
      </c>
      <c r="AF132" s="24" t="e">
        <f t="shared" ca="1" si="87"/>
        <v>#N/A</v>
      </c>
      <c r="AG132" s="24" t="e">
        <f t="shared" ca="1" si="87"/>
        <v>#N/A</v>
      </c>
      <c r="AH132" s="24" t="e">
        <f t="shared" ca="1" si="87"/>
        <v>#N/A</v>
      </c>
      <c r="AI132" s="24" t="e">
        <f t="shared" ca="1" si="87"/>
        <v>#N/A</v>
      </c>
      <c r="AJ132" s="24" t="e">
        <f t="shared" ca="1" si="87"/>
        <v>#N/A</v>
      </c>
      <c r="AK132" s="24" t="e">
        <f t="shared" ca="1" si="87"/>
        <v>#N/A</v>
      </c>
      <c r="AL132" s="24" t="e">
        <f t="shared" ca="1" si="87"/>
        <v>#N/A</v>
      </c>
      <c r="AM132" s="24" t="e">
        <f t="shared" ca="1" si="87"/>
        <v>#N/A</v>
      </c>
      <c r="AN132" s="24" t="e">
        <f t="shared" ca="1" si="87"/>
        <v>#N/A</v>
      </c>
      <c r="AO132" s="24" t="e">
        <f t="shared" ca="1" si="87"/>
        <v>#N/A</v>
      </c>
      <c r="AP132" s="24" t="e">
        <f t="shared" ca="1" si="87"/>
        <v>#N/A</v>
      </c>
      <c r="AQ132" s="6"/>
      <c r="AR132" s="6"/>
      <c r="AS132" s="6"/>
      <c r="AT132" s="6"/>
      <c r="AU132" s="6"/>
      <c r="AV132" s="6"/>
      <c r="BB132" s="4" t="e">
        <f t="shared" si="53"/>
        <v>#N/A</v>
      </c>
    </row>
    <row r="133" spans="1:54">
      <c r="A133" s="22" t="str">
        <f>'[5]TS BYDem'!A47</f>
        <v>*</v>
      </c>
      <c r="B133" s="22" t="str">
        <f>'[5]TS BYDem'!B47</f>
        <v>COM_PROJ</v>
      </c>
      <c r="C133" s="22" t="str">
        <f>'[5]TS BYDem'!C47</f>
        <v>-</v>
      </c>
      <c r="D133" s="22">
        <f>'[5]TS BYDem'!D47</f>
        <v>0</v>
      </c>
      <c r="E133" s="120" t="s">
        <v>137</v>
      </c>
      <c r="F133" s="120" t="s">
        <v>137</v>
      </c>
      <c r="G133" s="120" t="s">
        <v>137</v>
      </c>
      <c r="H133" s="120" t="s">
        <v>137</v>
      </c>
      <c r="I133" s="120">
        <v>0</v>
      </c>
      <c r="J133" s="6">
        <f>'[5]TS BYDem'!J47</f>
        <v>0</v>
      </c>
      <c r="K133" s="24">
        <f t="shared" si="49"/>
        <v>0</v>
      </c>
      <c r="L133" s="24">
        <f t="shared" si="49"/>
        <v>0</v>
      </c>
      <c r="M133" s="24">
        <f t="shared" si="49"/>
        <v>0</v>
      </c>
      <c r="N133" s="24">
        <f t="shared" si="49"/>
        <v>0</v>
      </c>
      <c r="O133" s="24">
        <f>'[5]TS BYDem'!O47</f>
        <v>0</v>
      </c>
      <c r="P133" s="24" t="e">
        <f t="shared" ref="P133:Z133" ca="1" si="88">OFFSET(P$33,$BB133,$J$93)/(OFFSET(O$33,$BB133,$J$93)+0.000001)*O133</f>
        <v>#N/A</v>
      </c>
      <c r="Q133" s="24" t="e">
        <f t="shared" ca="1" si="88"/>
        <v>#N/A</v>
      </c>
      <c r="R133" s="24" t="e">
        <f t="shared" ca="1" si="88"/>
        <v>#N/A</v>
      </c>
      <c r="S133" s="24" t="e">
        <f t="shared" ca="1" si="88"/>
        <v>#N/A</v>
      </c>
      <c r="T133" s="24" t="e">
        <f t="shared" ca="1" si="88"/>
        <v>#N/A</v>
      </c>
      <c r="U133" s="24" t="e">
        <f t="shared" ca="1" si="88"/>
        <v>#N/A</v>
      </c>
      <c r="V133" s="24" t="e">
        <f t="shared" ca="1" si="88"/>
        <v>#N/A</v>
      </c>
      <c r="W133" s="24" t="e">
        <f t="shared" ca="1" si="88"/>
        <v>#N/A</v>
      </c>
      <c r="X133" s="24" t="e">
        <f t="shared" ca="1" si="88"/>
        <v>#N/A</v>
      </c>
      <c r="Y133" s="24" t="e">
        <f t="shared" ca="1" si="88"/>
        <v>#N/A</v>
      </c>
      <c r="Z133" s="24" t="e">
        <f t="shared" ca="1" si="88"/>
        <v>#N/A</v>
      </c>
      <c r="AA133" s="24" t="e">
        <f t="shared" ca="1" si="87"/>
        <v>#N/A</v>
      </c>
      <c r="AB133" s="24" t="e">
        <f t="shared" ca="1" si="87"/>
        <v>#N/A</v>
      </c>
      <c r="AC133" s="24" t="e">
        <f t="shared" ca="1" si="87"/>
        <v>#N/A</v>
      </c>
      <c r="AD133" s="24" t="e">
        <f t="shared" ca="1" si="87"/>
        <v>#N/A</v>
      </c>
      <c r="AE133" s="24" t="e">
        <f t="shared" ca="1" si="87"/>
        <v>#N/A</v>
      </c>
      <c r="AF133" s="24" t="e">
        <f t="shared" ca="1" si="87"/>
        <v>#N/A</v>
      </c>
      <c r="AG133" s="24" t="e">
        <f t="shared" ca="1" si="87"/>
        <v>#N/A</v>
      </c>
      <c r="AH133" s="24" t="e">
        <f t="shared" ca="1" si="87"/>
        <v>#N/A</v>
      </c>
      <c r="AI133" s="24" t="e">
        <f t="shared" ca="1" si="87"/>
        <v>#N/A</v>
      </c>
      <c r="AJ133" s="24" t="e">
        <f t="shared" ca="1" si="87"/>
        <v>#N/A</v>
      </c>
      <c r="AK133" s="24" t="e">
        <f t="shared" ca="1" si="87"/>
        <v>#N/A</v>
      </c>
      <c r="AL133" s="24" t="e">
        <f t="shared" ca="1" si="87"/>
        <v>#N/A</v>
      </c>
      <c r="AM133" s="24" t="e">
        <f t="shared" ca="1" si="87"/>
        <v>#N/A</v>
      </c>
      <c r="AN133" s="24" t="e">
        <f t="shared" ca="1" si="87"/>
        <v>#N/A</v>
      </c>
      <c r="AO133" s="24" t="e">
        <f t="shared" ca="1" si="87"/>
        <v>#N/A</v>
      </c>
      <c r="AP133" s="24" t="e">
        <f t="shared" ca="1" si="87"/>
        <v>#N/A</v>
      </c>
      <c r="AQ133" s="6"/>
      <c r="AR133" s="6"/>
      <c r="AS133" s="6"/>
      <c r="AT133" s="6"/>
      <c r="AU133" s="6"/>
      <c r="AV133" s="6"/>
      <c r="BB133" s="4" t="e">
        <f t="shared" si="53"/>
        <v>#N/A</v>
      </c>
    </row>
    <row r="134" spans="1:54">
      <c r="A134" s="22" t="str">
        <f>'[5]TS BYDem'!A48</f>
        <v>*</v>
      </c>
      <c r="B134" s="22" t="str">
        <f>'[5]TS BYDem'!B48</f>
        <v>COM_PROJ</v>
      </c>
      <c r="C134" s="22" t="str">
        <f>'[5]TS BYDem'!C48</f>
        <v>-</v>
      </c>
      <c r="D134" s="22">
        <f>'[5]TS BYDem'!D48</f>
        <v>0</v>
      </c>
      <c r="E134" s="120" t="s">
        <v>137</v>
      </c>
      <c r="F134" s="120" t="s">
        <v>137</v>
      </c>
      <c r="G134" s="120" t="s">
        <v>137</v>
      </c>
      <c r="H134" s="120" t="s">
        <v>137</v>
      </c>
      <c r="I134" s="120">
        <v>0</v>
      </c>
      <c r="J134" s="6">
        <f>'[5]TS BYDem'!J48</f>
        <v>0</v>
      </c>
      <c r="K134" s="24">
        <f t="shared" si="49"/>
        <v>0</v>
      </c>
      <c r="L134" s="24">
        <f t="shared" si="49"/>
        <v>0</v>
      </c>
      <c r="M134" s="24">
        <f t="shared" si="49"/>
        <v>0</v>
      </c>
      <c r="N134" s="24">
        <f t="shared" si="49"/>
        <v>0</v>
      </c>
      <c r="O134" s="24">
        <f>'[5]TS BYDem'!O48</f>
        <v>0</v>
      </c>
      <c r="P134" s="24">
        <f t="shared" ref="P134:AP134" ca="1" si="89">IF($E$78=1, P91, P85)</f>
        <v>0</v>
      </c>
      <c r="Q134" s="24">
        <f t="shared" ca="1" si="89"/>
        <v>0</v>
      </c>
      <c r="R134" s="24">
        <f t="shared" ca="1" si="89"/>
        <v>0</v>
      </c>
      <c r="S134" s="24">
        <f t="shared" ca="1" si="89"/>
        <v>0</v>
      </c>
      <c r="T134" s="24">
        <f t="shared" ca="1" si="89"/>
        <v>0</v>
      </c>
      <c r="U134" s="24">
        <f t="shared" ca="1" si="89"/>
        <v>0</v>
      </c>
      <c r="V134" s="24">
        <f t="shared" ca="1" si="89"/>
        <v>0</v>
      </c>
      <c r="W134" s="24">
        <f t="shared" ca="1" si="89"/>
        <v>0</v>
      </c>
      <c r="X134" s="24">
        <f t="shared" ca="1" si="89"/>
        <v>0</v>
      </c>
      <c r="Y134" s="24">
        <f t="shared" ca="1" si="89"/>
        <v>0</v>
      </c>
      <c r="Z134" s="24">
        <f t="shared" ca="1" si="89"/>
        <v>0</v>
      </c>
      <c r="AA134" s="24">
        <f t="shared" ca="1" si="89"/>
        <v>0</v>
      </c>
      <c r="AB134" s="24">
        <f t="shared" ca="1" si="89"/>
        <v>0</v>
      </c>
      <c r="AC134" s="24">
        <f t="shared" ca="1" si="89"/>
        <v>0</v>
      </c>
      <c r="AD134" s="24">
        <f t="shared" ca="1" si="89"/>
        <v>0</v>
      </c>
      <c r="AE134" s="24">
        <f t="shared" ca="1" si="89"/>
        <v>0</v>
      </c>
      <c r="AF134" s="24">
        <f t="shared" ca="1" si="89"/>
        <v>0</v>
      </c>
      <c r="AG134" s="24">
        <f t="shared" ca="1" si="89"/>
        <v>0</v>
      </c>
      <c r="AH134" s="24">
        <f t="shared" ca="1" si="89"/>
        <v>0</v>
      </c>
      <c r="AI134" s="24">
        <f t="shared" ca="1" si="89"/>
        <v>0</v>
      </c>
      <c r="AJ134" s="24">
        <f t="shared" ca="1" si="89"/>
        <v>0</v>
      </c>
      <c r="AK134" s="24">
        <f t="shared" ca="1" si="89"/>
        <v>0</v>
      </c>
      <c r="AL134" s="24">
        <f t="shared" ca="1" si="89"/>
        <v>0</v>
      </c>
      <c r="AM134" s="24">
        <f t="shared" ca="1" si="89"/>
        <v>0</v>
      </c>
      <c r="AN134" s="24">
        <f t="shared" ca="1" si="89"/>
        <v>0</v>
      </c>
      <c r="AO134" s="24">
        <f t="shared" ca="1" si="89"/>
        <v>0</v>
      </c>
      <c r="AP134" s="24">
        <f t="shared" ca="1" si="89"/>
        <v>0</v>
      </c>
      <c r="AQ134" s="6"/>
      <c r="AR134" s="6"/>
      <c r="AS134" s="6"/>
      <c r="AT134" s="6"/>
      <c r="AU134" s="6"/>
      <c r="AV134" s="6"/>
      <c r="BB134" s="4" t="e">
        <f t="shared" si="53"/>
        <v>#N/A</v>
      </c>
    </row>
    <row r="135" spans="1:54">
      <c r="A135" s="22" t="str">
        <f>'[5]TS BYDem'!A49</f>
        <v>*</v>
      </c>
      <c r="B135" s="22" t="str">
        <f>'[5]TS BYDem'!B49</f>
        <v>COM_PROJ</v>
      </c>
      <c r="C135" s="22" t="str">
        <f>'[5]TS BYDem'!C49</f>
        <v>-</v>
      </c>
      <c r="D135" s="22">
        <f>'[5]TS BYDem'!D49</f>
        <v>0</v>
      </c>
      <c r="E135" s="120" t="s">
        <v>137</v>
      </c>
      <c r="F135" s="120" t="s">
        <v>137</v>
      </c>
      <c r="G135" s="120" t="s">
        <v>137</v>
      </c>
      <c r="H135" s="120" t="s">
        <v>137</v>
      </c>
      <c r="I135" s="120">
        <v>0</v>
      </c>
      <c r="J135" s="6">
        <f>'[5]TS BYDem'!J49</f>
        <v>0</v>
      </c>
      <c r="K135" s="24">
        <f t="shared" si="49"/>
        <v>0</v>
      </c>
      <c r="L135" s="24">
        <f t="shared" si="49"/>
        <v>0</v>
      </c>
      <c r="M135" s="24">
        <f t="shared" si="49"/>
        <v>0</v>
      </c>
      <c r="N135" s="24">
        <f t="shared" si="49"/>
        <v>0</v>
      </c>
      <c r="O135" s="24">
        <f>'[5]TS BYDem'!O49</f>
        <v>0</v>
      </c>
      <c r="P135" s="24" t="e">
        <f t="shared" ca="1" si="87"/>
        <v>#N/A</v>
      </c>
      <c r="Q135" s="24" t="e">
        <f t="shared" ca="1" si="87"/>
        <v>#N/A</v>
      </c>
      <c r="R135" s="24" t="e">
        <f t="shared" ca="1" si="87"/>
        <v>#N/A</v>
      </c>
      <c r="S135" s="24" t="e">
        <f t="shared" ca="1" si="87"/>
        <v>#N/A</v>
      </c>
      <c r="T135" s="24" t="e">
        <f t="shared" ca="1" si="87"/>
        <v>#N/A</v>
      </c>
      <c r="U135" s="24" t="e">
        <f t="shared" ca="1" si="87"/>
        <v>#N/A</v>
      </c>
      <c r="V135" s="24" t="e">
        <f t="shared" ca="1" si="87"/>
        <v>#N/A</v>
      </c>
      <c r="W135" s="24" t="e">
        <f t="shared" ca="1" si="87"/>
        <v>#N/A</v>
      </c>
      <c r="X135" s="24" t="e">
        <f t="shared" ca="1" si="87"/>
        <v>#N/A</v>
      </c>
      <c r="Y135" s="24" t="e">
        <f t="shared" ca="1" si="87"/>
        <v>#N/A</v>
      </c>
      <c r="Z135" s="24" t="e">
        <f t="shared" ca="1" si="87"/>
        <v>#N/A</v>
      </c>
      <c r="AA135" s="24" t="e">
        <f t="shared" ca="1" si="87"/>
        <v>#N/A</v>
      </c>
      <c r="AB135" s="24" t="e">
        <f t="shared" ca="1" si="87"/>
        <v>#N/A</v>
      </c>
      <c r="AC135" s="24" t="e">
        <f t="shared" ca="1" si="87"/>
        <v>#N/A</v>
      </c>
      <c r="AD135" s="24" t="e">
        <f t="shared" ca="1" si="87"/>
        <v>#N/A</v>
      </c>
      <c r="AE135" s="24" t="e">
        <f t="shared" ca="1" si="87"/>
        <v>#N/A</v>
      </c>
      <c r="AF135" s="24" t="e">
        <f t="shared" ca="1" si="87"/>
        <v>#N/A</v>
      </c>
      <c r="AG135" s="24" t="e">
        <f t="shared" ca="1" si="87"/>
        <v>#N/A</v>
      </c>
      <c r="AH135" s="24" t="e">
        <f t="shared" ca="1" si="87"/>
        <v>#N/A</v>
      </c>
      <c r="AI135" s="24" t="e">
        <f t="shared" ca="1" si="87"/>
        <v>#N/A</v>
      </c>
      <c r="AJ135" s="24" t="e">
        <f t="shared" ca="1" si="87"/>
        <v>#N/A</v>
      </c>
      <c r="AK135" s="24" t="e">
        <f t="shared" ca="1" si="87"/>
        <v>#N/A</v>
      </c>
      <c r="AL135" s="24" t="e">
        <f t="shared" ca="1" si="87"/>
        <v>#N/A</v>
      </c>
      <c r="AM135" s="24" t="e">
        <f t="shared" ca="1" si="87"/>
        <v>#N/A</v>
      </c>
      <c r="AN135" s="24" t="e">
        <f t="shared" ca="1" si="87"/>
        <v>#N/A</v>
      </c>
      <c r="AO135" s="24" t="e">
        <f t="shared" ca="1" si="87"/>
        <v>#N/A</v>
      </c>
      <c r="AP135" s="24" t="e">
        <f t="shared" ca="1" si="87"/>
        <v>#N/A</v>
      </c>
      <c r="AQ135" s="6"/>
      <c r="AR135" s="6"/>
      <c r="AS135" s="6"/>
      <c r="AT135" s="6"/>
      <c r="AU135" s="6"/>
      <c r="AV135" s="6"/>
      <c r="BB135" s="4" t="e">
        <f>MATCH(MID(D135,2,2),$B$34:$B$38,0)</f>
        <v>#N/A</v>
      </c>
    </row>
    <row r="136" spans="1:54">
      <c r="A136" s="22" t="str">
        <f>'[5]TS BYDem'!A50</f>
        <v>*</v>
      </c>
      <c r="B136" s="22" t="str">
        <f>'[5]TS BYDem'!B50</f>
        <v>COM_PROJ</v>
      </c>
      <c r="C136" s="22" t="str">
        <f>'[5]TS BYDem'!C50</f>
        <v>-</v>
      </c>
      <c r="D136" s="22">
        <f>'[5]TS BYDem'!D50</f>
        <v>0</v>
      </c>
      <c r="E136" s="120" t="s">
        <v>137</v>
      </c>
      <c r="F136" s="120" t="s">
        <v>137</v>
      </c>
      <c r="G136" s="120" t="s">
        <v>137</v>
      </c>
      <c r="H136" s="120" t="s">
        <v>137</v>
      </c>
      <c r="I136" s="120">
        <v>0</v>
      </c>
      <c r="J136" s="6">
        <f>'[5]TS BYDem'!J50</f>
        <v>0</v>
      </c>
      <c r="K136" s="24">
        <f t="shared" si="49"/>
        <v>0</v>
      </c>
      <c r="L136" s="24">
        <f t="shared" si="49"/>
        <v>0</v>
      </c>
      <c r="M136" s="24">
        <f t="shared" si="49"/>
        <v>0</v>
      </c>
      <c r="N136" s="24">
        <f t="shared" si="49"/>
        <v>0</v>
      </c>
      <c r="O136" s="24">
        <f>'[5]TS BYDem'!O50</f>
        <v>0</v>
      </c>
      <c r="P136" s="24" t="e">
        <f t="shared" ca="1" si="87"/>
        <v>#N/A</v>
      </c>
      <c r="Q136" s="24" t="e">
        <f t="shared" ca="1" si="87"/>
        <v>#N/A</v>
      </c>
      <c r="R136" s="24" t="e">
        <f t="shared" ca="1" si="87"/>
        <v>#N/A</v>
      </c>
      <c r="S136" s="24" t="e">
        <f t="shared" ca="1" si="87"/>
        <v>#N/A</v>
      </c>
      <c r="T136" s="24" t="e">
        <f t="shared" ca="1" si="87"/>
        <v>#N/A</v>
      </c>
      <c r="U136" s="24" t="e">
        <f t="shared" ca="1" si="87"/>
        <v>#N/A</v>
      </c>
      <c r="V136" s="24" t="e">
        <f t="shared" ca="1" si="87"/>
        <v>#N/A</v>
      </c>
      <c r="W136" s="24" t="e">
        <f t="shared" ca="1" si="87"/>
        <v>#N/A</v>
      </c>
      <c r="X136" s="24" t="e">
        <f t="shared" ca="1" si="87"/>
        <v>#N/A</v>
      </c>
      <c r="Y136" s="24" t="e">
        <f t="shared" ca="1" si="87"/>
        <v>#N/A</v>
      </c>
      <c r="Z136" s="24" t="e">
        <f t="shared" ca="1" si="87"/>
        <v>#N/A</v>
      </c>
      <c r="AA136" s="24" t="e">
        <f t="shared" ca="1" si="87"/>
        <v>#N/A</v>
      </c>
      <c r="AB136" s="24" t="e">
        <f t="shared" ca="1" si="87"/>
        <v>#N/A</v>
      </c>
      <c r="AC136" s="24" t="e">
        <f t="shared" ca="1" si="87"/>
        <v>#N/A</v>
      </c>
      <c r="AD136" s="24" t="e">
        <f t="shared" ca="1" si="87"/>
        <v>#N/A</v>
      </c>
      <c r="AE136" s="24" t="e">
        <f t="shared" ca="1" si="87"/>
        <v>#N/A</v>
      </c>
      <c r="AF136" s="24" t="e">
        <f t="shared" ca="1" si="87"/>
        <v>#N/A</v>
      </c>
      <c r="AG136" s="24" t="e">
        <f t="shared" ca="1" si="87"/>
        <v>#N/A</v>
      </c>
      <c r="AH136" s="24" t="e">
        <f t="shared" ca="1" si="87"/>
        <v>#N/A</v>
      </c>
      <c r="AI136" s="24" t="e">
        <f t="shared" ca="1" si="87"/>
        <v>#N/A</v>
      </c>
      <c r="AJ136" s="24" t="e">
        <f t="shared" ca="1" si="87"/>
        <v>#N/A</v>
      </c>
      <c r="AK136" s="24" t="e">
        <f t="shared" ca="1" si="87"/>
        <v>#N/A</v>
      </c>
      <c r="AL136" s="24" t="e">
        <f t="shared" ca="1" si="87"/>
        <v>#N/A</v>
      </c>
      <c r="AM136" s="24" t="e">
        <f t="shared" ca="1" si="87"/>
        <v>#N/A</v>
      </c>
      <c r="AN136" s="24" t="e">
        <f t="shared" ca="1" si="87"/>
        <v>#N/A</v>
      </c>
      <c r="AO136" s="24" t="e">
        <f t="shared" ca="1" si="87"/>
        <v>#N/A</v>
      </c>
      <c r="AP136" s="24" t="e">
        <f t="shared" ca="1" si="87"/>
        <v>#N/A</v>
      </c>
      <c r="AQ136" s="6"/>
      <c r="AR136" s="6"/>
      <c r="AS136" s="6"/>
      <c r="AT136" s="6"/>
      <c r="AU136" s="6"/>
      <c r="AV136" s="6"/>
      <c r="BB136" s="4" t="e">
        <f>MATCH(MID(D136,2,2),$B$34:$B$38,0)</f>
        <v>#N/A</v>
      </c>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election activeCell="C9" sqref="C9"/>
    </sheetView>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topLeftCell="T231" zoomScale="80" zoomScaleNormal="80" workbookViewId="0">
      <selection activeCell="L57" sqref="L57"/>
    </sheetView>
  </sheetViews>
  <sheetFormatPr defaultColWidth="9.140625" defaultRowHeight="15"/>
  <cols>
    <col min="1" max="1" width="9.140625" style="95"/>
    <col min="2" max="2" width="32.5703125" style="95" customWidth="1"/>
    <col min="3" max="3" width="31.85546875" style="95" customWidth="1"/>
    <col min="4" max="4" width="12" style="95" customWidth="1"/>
    <col min="5" max="5" width="13.42578125" style="95" customWidth="1"/>
    <col min="6" max="10" width="9.140625" style="95"/>
    <col min="11" max="11" width="6.85546875" style="94" customWidth="1"/>
    <col min="12" max="12" width="6.85546875" style="95" customWidth="1"/>
    <col min="13" max="13" width="8.5703125" style="95" customWidth="1"/>
    <col min="14" max="16" width="16.140625" style="95" customWidth="1"/>
    <col min="17" max="21" width="11.85546875" style="95" customWidth="1"/>
    <col min="22" max="40" width="6.85546875" style="95" customWidth="1"/>
    <col min="41" max="41" width="9.42578125" style="95" customWidth="1"/>
    <col min="42" max="47" width="6.85546875" style="95" customWidth="1"/>
    <col min="48" max="48" width="9.85546875" style="95" customWidth="1"/>
    <col min="49" max="49" width="17.85546875" style="95" bestFit="1" customWidth="1"/>
    <col min="50" max="16384" width="9.140625" style="95"/>
  </cols>
  <sheetData>
    <row r="1" spans="1:48" s="199" customFormat="1">
      <c r="A1" s="199" t="str">
        <f>IF(COM,"TS DATA","")</f>
        <v>TS DATA</v>
      </c>
      <c r="B1" s="199" t="s">
        <v>17</v>
      </c>
      <c r="J1" s="41"/>
    </row>
    <row r="2" spans="1:48" s="199" customFormat="1" ht="15.75" thickBot="1">
      <c r="A2" s="199" t="s">
        <v>16</v>
      </c>
      <c r="B2" s="301" t="s">
        <v>296</v>
      </c>
      <c r="C2" s="301"/>
      <c r="J2" s="41"/>
    </row>
    <row r="3" spans="1:48">
      <c r="A3" s="199" t="s">
        <v>16</v>
      </c>
      <c r="J3" s="94">
        <f>MATCH(J4,Drivers!$C$5:$AG$5,0)</f>
        <v>1</v>
      </c>
      <c r="K3" s="94">
        <f>MATCH(K4,Drivers!$C$5:$AG$5,0)</f>
        <v>2</v>
      </c>
      <c r="L3" s="94">
        <f>MATCH(L4,Drivers!$C$5:$AG$5,0)</f>
        <v>3</v>
      </c>
      <c r="M3" s="94">
        <f>MATCH(M4,Drivers!$C$5:$AG$5,0)</f>
        <v>4</v>
      </c>
      <c r="N3" s="94">
        <f>MATCH(N4,Drivers!$C$5:$AG$5,0)</f>
        <v>5</v>
      </c>
      <c r="O3" s="94">
        <f>MATCH(O4,Drivers!$C$5:$AG$5,0)</f>
        <v>6</v>
      </c>
      <c r="P3" s="94">
        <f>MATCH(P4,Drivers!$C$5:$AG$5,0)</f>
        <v>7</v>
      </c>
      <c r="Q3" s="94">
        <f>MATCH(Q4,Drivers!$C$5:$AG$5,0)</f>
        <v>8</v>
      </c>
      <c r="R3" s="94">
        <f>MATCH(R4,Drivers!$C$5:$AG$5,0)</f>
        <v>9</v>
      </c>
      <c r="S3" s="94">
        <f>MATCH(S4,Drivers!$C$5:$AG$5,0)</f>
        <v>10</v>
      </c>
      <c r="T3" s="94">
        <f>MATCH(T4,Drivers!$C$5:$AG$5,0)</f>
        <v>11</v>
      </c>
      <c r="U3" s="94">
        <f>MATCH(U4,Drivers!$C$5:$AG$5,0)</f>
        <v>12</v>
      </c>
      <c r="V3" s="94">
        <f>MATCH(V4,Drivers!$C$5:$AG$5,0)</f>
        <v>13</v>
      </c>
      <c r="W3" s="94">
        <f>MATCH(W4,Drivers!$C$5:$AG$5,0)</f>
        <v>14</v>
      </c>
      <c r="X3" s="94">
        <f>MATCH(X4,Drivers!$C$5:$AG$5,0)</f>
        <v>15</v>
      </c>
      <c r="Y3" s="94">
        <f>MATCH(Y4,Drivers!$C$5:$AG$5,0)</f>
        <v>16</v>
      </c>
      <c r="Z3" s="94">
        <f>MATCH(Z4,Drivers!$C$5:$AG$5,0)</f>
        <v>17</v>
      </c>
      <c r="AA3" s="94">
        <f>MATCH(AA4,Drivers!$C$5:$AG$5,0)</f>
        <v>18</v>
      </c>
      <c r="AB3" s="94">
        <f>MATCH(AB4,Drivers!$C$5:$AG$5,0)</f>
        <v>19</v>
      </c>
      <c r="AC3" s="94">
        <f>MATCH(AC4,Drivers!$C$5:$AG$5,0)</f>
        <v>20</v>
      </c>
      <c r="AD3" s="94">
        <f>MATCH(AD4,Drivers!$C$5:$AG$5,0)</f>
        <v>21</v>
      </c>
      <c r="AE3" s="94">
        <f>MATCH(AE4,Drivers!$C$5:$AG$5,0)</f>
        <v>22</v>
      </c>
      <c r="AF3" s="94">
        <f>MATCH(AF4,Drivers!$C$5:$AG$5,0)</f>
        <v>23</v>
      </c>
      <c r="AG3" s="94">
        <f>MATCH(AG4,Drivers!$C$5:$AG$5,0)</f>
        <v>24</v>
      </c>
      <c r="AH3" s="94">
        <f>MATCH(AH4,Drivers!$C$5:$AG$5,0)</f>
        <v>25</v>
      </c>
      <c r="AI3" s="94">
        <f>MATCH(AI4,Drivers!$C$5:$AG$5,0)</f>
        <v>26</v>
      </c>
      <c r="AJ3" s="94">
        <f>MATCH(AJ4,Drivers!$C$5:$AG$5,0)</f>
        <v>27</v>
      </c>
      <c r="AK3" s="94">
        <f>MATCH(AK4,Drivers!$C$5:$AG$5,0)</f>
        <v>28</v>
      </c>
      <c r="AL3" s="94">
        <f>MATCH(AL4,Drivers!$C$5:$AG$5,0)</f>
        <v>29</v>
      </c>
      <c r="AM3" s="94" t="e">
        <f>MATCH(AM4,Drivers!$C$5:$AG$5,0)</f>
        <v>#N/A</v>
      </c>
      <c r="AN3" s="94" t="e">
        <f>MATCH(AN4,Drivers!$C$5:$AG$5,0)</f>
        <v>#N/A</v>
      </c>
      <c r="AO3" s="94" t="e">
        <f>MATCH(AO4,Drivers!$C$5:$AG$5,0)</f>
        <v>#N/A</v>
      </c>
      <c r="AP3" s="94" t="e">
        <f>MATCH(AP4,Drivers!$C$5:$AG$5,0)</f>
        <v>#N/A</v>
      </c>
      <c r="AQ3" s="94">
        <f>MATCH(AQ4,Drivers!$C$5:$AG$5,0)</f>
        <v>30</v>
      </c>
      <c r="AR3" s="94" t="e">
        <f>MATCH(AR4,Drivers!$C$5:$AG$5,0)</f>
        <v>#N/A</v>
      </c>
      <c r="AS3" s="94" t="e">
        <f>MATCH(AS4,Drivers!$C$5:$AG$5,0)</f>
        <v>#N/A</v>
      </c>
      <c r="AT3" s="94" t="e">
        <f>MATCH(AT4,Drivers!$C$5:$AG$5,0)</f>
        <v>#N/A</v>
      </c>
      <c r="AU3" s="94" t="e">
        <f>MATCH(AU4,Drivers!$C$5:$AG$5,0)</f>
        <v>#N/A</v>
      </c>
      <c r="AV3" s="94">
        <f>MATCH(AV4,Drivers!$C$5:$AG$5,0)</f>
        <v>31</v>
      </c>
    </row>
    <row r="4" spans="1:48" ht="15.75" thickBot="1">
      <c r="A4" s="199" t="s">
        <v>16</v>
      </c>
      <c r="B4" s="92" t="s">
        <v>11</v>
      </c>
      <c r="C4" s="92"/>
      <c r="D4" s="92"/>
      <c r="E4" s="93"/>
      <c r="F4" s="93"/>
      <c r="G4" s="93"/>
      <c r="H4" s="93"/>
      <c r="I4" s="93"/>
      <c r="J4" s="94">
        <v>2012</v>
      </c>
      <c r="K4" s="95">
        <f>J4+1</f>
        <v>2013</v>
      </c>
      <c r="L4" s="95">
        <f>K4+1</f>
        <v>2014</v>
      </c>
      <c r="M4" s="95">
        <f t="shared" ref="M4:AR4" si="0">L4+1</f>
        <v>2015</v>
      </c>
      <c r="N4" s="95">
        <f t="shared" si="0"/>
        <v>2016</v>
      </c>
      <c r="O4" s="95">
        <f t="shared" si="0"/>
        <v>2017</v>
      </c>
      <c r="P4" s="95">
        <f t="shared" si="0"/>
        <v>2018</v>
      </c>
      <c r="Q4" s="95">
        <f t="shared" si="0"/>
        <v>2019</v>
      </c>
      <c r="R4" s="95">
        <f t="shared" si="0"/>
        <v>2020</v>
      </c>
      <c r="S4" s="95">
        <f t="shared" si="0"/>
        <v>2021</v>
      </c>
      <c r="T4" s="95">
        <f t="shared" si="0"/>
        <v>2022</v>
      </c>
      <c r="U4" s="95">
        <f t="shared" si="0"/>
        <v>2023</v>
      </c>
      <c r="V4" s="95">
        <f t="shared" si="0"/>
        <v>2024</v>
      </c>
      <c r="W4" s="95">
        <f t="shared" si="0"/>
        <v>2025</v>
      </c>
      <c r="X4" s="95">
        <f t="shared" si="0"/>
        <v>2026</v>
      </c>
      <c r="Y4" s="95">
        <f t="shared" si="0"/>
        <v>2027</v>
      </c>
      <c r="Z4" s="95">
        <f t="shared" si="0"/>
        <v>2028</v>
      </c>
      <c r="AA4" s="95">
        <f t="shared" si="0"/>
        <v>2029</v>
      </c>
      <c r="AB4" s="95">
        <f t="shared" si="0"/>
        <v>2030</v>
      </c>
      <c r="AC4" s="95">
        <f t="shared" si="0"/>
        <v>2031</v>
      </c>
      <c r="AD4" s="95">
        <f t="shared" si="0"/>
        <v>2032</v>
      </c>
      <c r="AE4" s="95">
        <f t="shared" si="0"/>
        <v>2033</v>
      </c>
      <c r="AF4" s="95">
        <f t="shared" si="0"/>
        <v>2034</v>
      </c>
      <c r="AG4" s="95">
        <f t="shared" si="0"/>
        <v>2035</v>
      </c>
      <c r="AH4" s="95">
        <f t="shared" si="0"/>
        <v>2036</v>
      </c>
      <c r="AI4" s="95">
        <f t="shared" si="0"/>
        <v>2037</v>
      </c>
      <c r="AJ4" s="95">
        <f t="shared" si="0"/>
        <v>2038</v>
      </c>
      <c r="AK4" s="95">
        <f t="shared" si="0"/>
        <v>2039</v>
      </c>
      <c r="AL4" s="95">
        <f t="shared" si="0"/>
        <v>2040</v>
      </c>
      <c r="AM4" s="95">
        <f t="shared" si="0"/>
        <v>2041</v>
      </c>
      <c r="AN4" s="95">
        <f t="shared" si="0"/>
        <v>2042</v>
      </c>
      <c r="AO4" s="95">
        <f t="shared" si="0"/>
        <v>2043</v>
      </c>
      <c r="AP4" s="95">
        <f t="shared" si="0"/>
        <v>2044</v>
      </c>
      <c r="AQ4" s="95">
        <f t="shared" si="0"/>
        <v>2045</v>
      </c>
      <c r="AR4" s="95">
        <f t="shared" si="0"/>
        <v>2046</v>
      </c>
      <c r="AS4" s="95">
        <f>AR4+1</f>
        <v>2047</v>
      </c>
      <c r="AT4" s="95">
        <f>AS4+1</f>
        <v>2048</v>
      </c>
      <c r="AU4" s="95">
        <f>AT4+1</f>
        <v>2049</v>
      </c>
      <c r="AV4" s="95">
        <f>AU4+1</f>
        <v>2050</v>
      </c>
    </row>
    <row r="5" spans="1:48" s="199" customFormat="1">
      <c r="A5" s="199" t="s">
        <v>16</v>
      </c>
      <c r="C5" s="199">
        <v>1</v>
      </c>
      <c r="D5" s="199">
        <v>2012</v>
      </c>
      <c r="E5" s="199">
        <v>2017</v>
      </c>
      <c r="F5" s="199">
        <v>2020</v>
      </c>
      <c r="G5" s="199">
        <v>2030</v>
      </c>
      <c r="H5" s="199">
        <v>2050</v>
      </c>
      <c r="I5" s="199" t="s">
        <v>392</v>
      </c>
      <c r="J5" s="199">
        <f>MATCH(J$4,$D$5:$H$5,$C5)</f>
        <v>1</v>
      </c>
      <c r="K5" s="199">
        <f t="shared" ref="K5:AV6" si="1">MATCH(K$4,$D$5:$H$5,$C5)</f>
        <v>1</v>
      </c>
      <c r="L5" s="199">
        <f t="shared" si="1"/>
        <v>1</v>
      </c>
      <c r="M5" s="199">
        <f t="shared" si="1"/>
        <v>1</v>
      </c>
      <c r="N5" s="199">
        <f t="shared" si="1"/>
        <v>1</v>
      </c>
      <c r="O5" s="199">
        <f t="shared" si="1"/>
        <v>2</v>
      </c>
      <c r="P5" s="199">
        <f t="shared" si="1"/>
        <v>2</v>
      </c>
      <c r="Q5" s="199">
        <f t="shared" si="1"/>
        <v>2</v>
      </c>
      <c r="R5" s="199">
        <f t="shared" si="1"/>
        <v>3</v>
      </c>
      <c r="S5" s="199">
        <f t="shared" si="1"/>
        <v>3</v>
      </c>
      <c r="T5" s="199">
        <f t="shared" si="1"/>
        <v>3</v>
      </c>
      <c r="U5" s="199">
        <f t="shared" si="1"/>
        <v>3</v>
      </c>
      <c r="V5" s="199">
        <f t="shared" si="1"/>
        <v>3</v>
      </c>
      <c r="W5" s="199">
        <f t="shared" si="1"/>
        <v>3</v>
      </c>
      <c r="X5" s="199">
        <f t="shared" si="1"/>
        <v>3</v>
      </c>
      <c r="Y5" s="199">
        <f t="shared" si="1"/>
        <v>3</v>
      </c>
      <c r="Z5" s="199">
        <f t="shared" si="1"/>
        <v>3</v>
      </c>
      <c r="AA5" s="199">
        <f t="shared" si="1"/>
        <v>3</v>
      </c>
      <c r="AB5" s="199">
        <f t="shared" si="1"/>
        <v>4</v>
      </c>
      <c r="AC5" s="199">
        <f t="shared" si="1"/>
        <v>4</v>
      </c>
      <c r="AD5" s="199">
        <f t="shared" si="1"/>
        <v>4</v>
      </c>
      <c r="AE5" s="199">
        <f t="shared" si="1"/>
        <v>4</v>
      </c>
      <c r="AF5" s="199">
        <f t="shared" si="1"/>
        <v>4</v>
      </c>
      <c r="AG5" s="199">
        <f t="shared" si="1"/>
        <v>4</v>
      </c>
      <c r="AH5" s="199">
        <f t="shared" si="1"/>
        <v>4</v>
      </c>
      <c r="AI5" s="199">
        <f t="shared" si="1"/>
        <v>4</v>
      </c>
      <c r="AJ5" s="199">
        <f t="shared" si="1"/>
        <v>4</v>
      </c>
      <c r="AK5" s="199">
        <f t="shared" si="1"/>
        <v>4</v>
      </c>
      <c r="AL5" s="199">
        <f t="shared" si="1"/>
        <v>4</v>
      </c>
      <c r="AM5" s="199">
        <f t="shared" si="1"/>
        <v>4</v>
      </c>
      <c r="AN5" s="199">
        <f t="shared" si="1"/>
        <v>4</v>
      </c>
      <c r="AO5" s="199">
        <f t="shared" si="1"/>
        <v>4</v>
      </c>
      <c r="AP5" s="199">
        <f t="shared" si="1"/>
        <v>4</v>
      </c>
      <c r="AQ5" s="199">
        <f t="shared" si="1"/>
        <v>4</v>
      </c>
      <c r="AR5" s="199">
        <f t="shared" si="1"/>
        <v>4</v>
      </c>
      <c r="AS5" s="199">
        <f t="shared" si="1"/>
        <v>4</v>
      </c>
      <c r="AT5" s="199">
        <f t="shared" si="1"/>
        <v>4</v>
      </c>
      <c r="AU5" s="199">
        <f t="shared" si="1"/>
        <v>4</v>
      </c>
      <c r="AV5" s="199">
        <f t="shared" si="1"/>
        <v>5</v>
      </c>
    </row>
    <row r="6" spans="1:48" s="199" customFormat="1">
      <c r="A6" s="199" t="s">
        <v>16</v>
      </c>
      <c r="C6" s="199">
        <v>0</v>
      </c>
      <c r="D6" s="199">
        <f>INDEX($D5:$H5,0,COUNT($D5:$H5)-D7)</f>
        <v>2050</v>
      </c>
      <c r="E6" s="199">
        <f>INDEX($D5:$H5,0,COUNT($D5:$H5)-E7)</f>
        <v>2030</v>
      </c>
      <c r="F6" s="199">
        <f>INDEX($D5:$H5,0,COUNT($D5:$H5)-F7)</f>
        <v>2020</v>
      </c>
      <c r="G6" s="199">
        <f>INDEX($D5:$H5,0,COUNT($D5:$H5)-G7)</f>
        <v>2017</v>
      </c>
      <c r="H6" s="199">
        <f>INDEX($D5:$H5,0,COUNT($D5:$H5)-H7)</f>
        <v>2012</v>
      </c>
      <c r="I6" s="199" t="s">
        <v>393</v>
      </c>
      <c r="J6" s="199">
        <f>MATCH(J$4,$D$5:$H$5,$C6)</f>
        <v>1</v>
      </c>
      <c r="K6" s="199" t="e">
        <f t="shared" si="1"/>
        <v>#N/A</v>
      </c>
      <c r="L6" s="199" t="e">
        <f t="shared" si="1"/>
        <v>#N/A</v>
      </c>
      <c r="M6" s="199" t="e">
        <f t="shared" si="1"/>
        <v>#N/A</v>
      </c>
      <c r="N6" s="199" t="e">
        <f t="shared" si="1"/>
        <v>#N/A</v>
      </c>
      <c r="O6" s="199">
        <f t="shared" si="1"/>
        <v>2</v>
      </c>
      <c r="P6" s="199" t="e">
        <f t="shared" si="1"/>
        <v>#N/A</v>
      </c>
      <c r="Q6" s="199" t="e">
        <f t="shared" si="1"/>
        <v>#N/A</v>
      </c>
      <c r="R6" s="199">
        <f t="shared" si="1"/>
        <v>3</v>
      </c>
      <c r="S6" s="199" t="e">
        <f t="shared" si="1"/>
        <v>#N/A</v>
      </c>
      <c r="T6" s="199" t="e">
        <f t="shared" si="1"/>
        <v>#N/A</v>
      </c>
      <c r="U6" s="199" t="e">
        <f t="shared" si="1"/>
        <v>#N/A</v>
      </c>
      <c r="V6" s="199" t="e">
        <f t="shared" si="1"/>
        <v>#N/A</v>
      </c>
      <c r="W6" s="199" t="e">
        <f t="shared" si="1"/>
        <v>#N/A</v>
      </c>
      <c r="X6" s="199" t="e">
        <f t="shared" si="1"/>
        <v>#N/A</v>
      </c>
      <c r="Y6" s="199" t="e">
        <f t="shared" si="1"/>
        <v>#N/A</v>
      </c>
      <c r="Z6" s="199" t="e">
        <f t="shared" si="1"/>
        <v>#N/A</v>
      </c>
      <c r="AA6" s="199" t="e">
        <f t="shared" si="1"/>
        <v>#N/A</v>
      </c>
      <c r="AB6" s="199">
        <f t="shared" si="1"/>
        <v>4</v>
      </c>
      <c r="AC6" s="199" t="e">
        <f t="shared" si="1"/>
        <v>#N/A</v>
      </c>
      <c r="AD6" s="199" t="e">
        <f t="shared" si="1"/>
        <v>#N/A</v>
      </c>
      <c r="AE6" s="199" t="e">
        <f t="shared" si="1"/>
        <v>#N/A</v>
      </c>
      <c r="AF6" s="199" t="e">
        <f t="shared" si="1"/>
        <v>#N/A</v>
      </c>
      <c r="AG6" s="199" t="e">
        <f t="shared" si="1"/>
        <v>#N/A</v>
      </c>
      <c r="AH6" s="199" t="e">
        <f t="shared" si="1"/>
        <v>#N/A</v>
      </c>
      <c r="AI6" s="199" t="e">
        <f t="shared" si="1"/>
        <v>#N/A</v>
      </c>
      <c r="AJ6" s="199" t="e">
        <f t="shared" si="1"/>
        <v>#N/A</v>
      </c>
      <c r="AK6" s="199" t="e">
        <f t="shared" si="1"/>
        <v>#N/A</v>
      </c>
      <c r="AL6" s="199" t="e">
        <f t="shared" si="1"/>
        <v>#N/A</v>
      </c>
      <c r="AM6" s="199" t="e">
        <f t="shared" si="1"/>
        <v>#N/A</v>
      </c>
      <c r="AN6" s="199" t="e">
        <f t="shared" si="1"/>
        <v>#N/A</v>
      </c>
      <c r="AO6" s="199" t="e">
        <f t="shared" si="1"/>
        <v>#N/A</v>
      </c>
      <c r="AP6" s="199" t="e">
        <f t="shared" si="1"/>
        <v>#N/A</v>
      </c>
      <c r="AQ6" s="199" t="e">
        <f t="shared" si="1"/>
        <v>#N/A</v>
      </c>
      <c r="AR6" s="199" t="e">
        <f t="shared" si="1"/>
        <v>#N/A</v>
      </c>
      <c r="AS6" s="199" t="e">
        <f t="shared" si="1"/>
        <v>#N/A</v>
      </c>
      <c r="AT6" s="199" t="e">
        <f t="shared" si="1"/>
        <v>#N/A</v>
      </c>
      <c r="AU6" s="199" t="e">
        <f t="shared" si="1"/>
        <v>#N/A</v>
      </c>
      <c r="AV6" s="199">
        <f t="shared" si="1"/>
        <v>5</v>
      </c>
    </row>
    <row r="7" spans="1:48" s="199" customFormat="1">
      <c r="A7" s="199" t="s">
        <v>16</v>
      </c>
      <c r="C7" s="199">
        <v>-1</v>
      </c>
      <c r="D7" s="199">
        <v>0</v>
      </c>
      <c r="E7" s="199">
        <v>1</v>
      </c>
      <c r="F7" s="199">
        <v>2</v>
      </c>
      <c r="G7" s="199">
        <v>3</v>
      </c>
      <c r="H7" s="199">
        <v>4</v>
      </c>
      <c r="I7" s="199" t="s">
        <v>391</v>
      </c>
      <c r="J7" s="199">
        <f>MATCH(J$4,$D$6:$H$6,$C7)</f>
        <v>5</v>
      </c>
      <c r="K7" s="199">
        <f t="shared" ref="K7:AV7" si="2">MATCH(K$4,$D$6:$H$6,$C7)</f>
        <v>4</v>
      </c>
      <c r="L7" s="199">
        <f t="shared" si="2"/>
        <v>4</v>
      </c>
      <c r="M7" s="199">
        <f t="shared" si="2"/>
        <v>4</v>
      </c>
      <c r="N7" s="199">
        <f t="shared" si="2"/>
        <v>4</v>
      </c>
      <c r="O7" s="199">
        <f t="shared" si="2"/>
        <v>4</v>
      </c>
      <c r="P7" s="199">
        <f t="shared" si="2"/>
        <v>3</v>
      </c>
      <c r="Q7" s="199">
        <f t="shared" si="2"/>
        <v>3</v>
      </c>
      <c r="R7" s="199">
        <f t="shared" si="2"/>
        <v>3</v>
      </c>
      <c r="S7" s="199">
        <f t="shared" si="2"/>
        <v>2</v>
      </c>
      <c r="T7" s="199">
        <f t="shared" si="2"/>
        <v>2</v>
      </c>
      <c r="U7" s="199">
        <f t="shared" si="2"/>
        <v>2</v>
      </c>
      <c r="V7" s="199">
        <f t="shared" si="2"/>
        <v>2</v>
      </c>
      <c r="W7" s="199">
        <f t="shared" si="2"/>
        <v>2</v>
      </c>
      <c r="X7" s="199">
        <f t="shared" si="2"/>
        <v>2</v>
      </c>
      <c r="Y7" s="199">
        <f t="shared" si="2"/>
        <v>2</v>
      </c>
      <c r="Z7" s="199">
        <f t="shared" si="2"/>
        <v>2</v>
      </c>
      <c r="AA7" s="199">
        <f t="shared" si="2"/>
        <v>2</v>
      </c>
      <c r="AB7" s="199">
        <f t="shared" si="2"/>
        <v>2</v>
      </c>
      <c r="AC7" s="199">
        <f t="shared" si="2"/>
        <v>1</v>
      </c>
      <c r="AD7" s="199">
        <f t="shared" si="2"/>
        <v>1</v>
      </c>
      <c r="AE7" s="199">
        <f t="shared" si="2"/>
        <v>1</v>
      </c>
      <c r="AF7" s="199">
        <f t="shared" si="2"/>
        <v>1</v>
      </c>
      <c r="AG7" s="199">
        <f t="shared" si="2"/>
        <v>1</v>
      </c>
      <c r="AH7" s="199">
        <f t="shared" si="2"/>
        <v>1</v>
      </c>
      <c r="AI7" s="199">
        <f t="shared" si="2"/>
        <v>1</v>
      </c>
      <c r="AJ7" s="199">
        <f t="shared" si="2"/>
        <v>1</v>
      </c>
      <c r="AK7" s="199">
        <f t="shared" si="2"/>
        <v>1</v>
      </c>
      <c r="AL7" s="199">
        <f t="shared" si="2"/>
        <v>1</v>
      </c>
      <c r="AM7" s="199">
        <f t="shared" si="2"/>
        <v>1</v>
      </c>
      <c r="AN7" s="199">
        <f t="shared" si="2"/>
        <v>1</v>
      </c>
      <c r="AO7" s="199">
        <f t="shared" si="2"/>
        <v>1</v>
      </c>
      <c r="AP7" s="199">
        <f t="shared" si="2"/>
        <v>1</v>
      </c>
      <c r="AQ7" s="199">
        <f t="shared" si="2"/>
        <v>1</v>
      </c>
      <c r="AR7" s="199">
        <f t="shared" si="2"/>
        <v>1</v>
      </c>
      <c r="AS7" s="199">
        <f t="shared" si="2"/>
        <v>1</v>
      </c>
      <c r="AT7" s="199">
        <f t="shared" si="2"/>
        <v>1</v>
      </c>
      <c r="AU7" s="199">
        <f t="shared" si="2"/>
        <v>1</v>
      </c>
      <c r="AV7" s="199">
        <f t="shared" si="2"/>
        <v>1</v>
      </c>
    </row>
    <row r="8" spans="1:48" s="199" customFormat="1">
      <c r="A8" s="199" t="s">
        <v>16</v>
      </c>
      <c r="I8" s="199"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99" t="s">
        <v>16</v>
      </c>
      <c r="B9" s="95" t="s">
        <v>9</v>
      </c>
      <c r="C9" s="95" t="s">
        <v>10</v>
      </c>
      <c r="J9" s="94"/>
      <c r="K9" s="95"/>
    </row>
    <row r="10" spans="1:48">
      <c r="A10" s="199" t="s">
        <v>16</v>
      </c>
      <c r="B10" s="283" t="s">
        <v>4</v>
      </c>
      <c r="C10" s="95" t="s">
        <v>3</v>
      </c>
      <c r="E10" s="95">
        <f>MATCH(B10,Drivers!A7:A22,0)</f>
        <v>2</v>
      </c>
      <c r="J10" s="200">
        <f>INDEX(Drivers!$C$7:$AG$22,$E$10,J3)</f>
        <v>1833.85</v>
      </c>
      <c r="K10" s="200">
        <f>INDEX(Drivers!$C$7:$AG$22,$E$10,K3)</f>
        <v>1887.04</v>
      </c>
      <c r="L10" s="200">
        <f>INDEX(Drivers!$C$7:$AG$22,$E$10,L3)</f>
        <v>1934.79</v>
      </c>
      <c r="M10" s="200">
        <f>INDEX(Drivers!$C$7:$AG$22,$E$10,M3)</f>
        <v>1971.74</v>
      </c>
      <c r="N10" s="200">
        <f>INDEX(Drivers!$C$7:$AG$22,$E$10,N3)</f>
        <v>2001.88</v>
      </c>
      <c r="O10" s="200">
        <f>INDEX(Drivers!$C$7:$AG$22,$E$10,O3)</f>
        <v>2032.99</v>
      </c>
      <c r="P10" s="200">
        <f>INDEX(Drivers!$C$7:$AG$22,$E$10,P3)</f>
        <v>2075.61</v>
      </c>
      <c r="Q10" s="200">
        <f>INDEX(Drivers!$C$7:$AG$22,$E$10,Q3)</f>
        <v>2127.88</v>
      </c>
      <c r="R10" s="200">
        <f>INDEX(Drivers!$C$7:$AG$22,$E$10,R3)</f>
        <v>1981.33</v>
      </c>
      <c r="S10" s="200">
        <f>INDEX(Drivers!$C$7:$AG$22,$E$10,S3)</f>
        <v>2063.31</v>
      </c>
      <c r="T10" s="200">
        <f>INDEX(Drivers!$C$7:$AG$22,$E$10,T3)</f>
        <v>2137.7800000000002</v>
      </c>
      <c r="U10" s="200">
        <f>INDEX(Drivers!$C$7:$AG$22,$E$10,U3)</f>
        <v>2218.42</v>
      </c>
      <c r="V10" s="200">
        <f>INDEX(Drivers!$C$7:$AG$22,$E$10,V3)</f>
        <v>2311.4499999999998</v>
      </c>
      <c r="W10" s="200">
        <f>INDEX(Drivers!$C$7:$AG$22,$E$10,W3)</f>
        <v>2413.14</v>
      </c>
      <c r="X10" s="200">
        <f>INDEX(Drivers!$C$7:$AG$22,$E$10,X3)</f>
        <v>2527.2600000000002</v>
      </c>
      <c r="Y10" s="200">
        <f>INDEX(Drivers!$C$7:$AG$22,$E$10,Y3)</f>
        <v>2650.81</v>
      </c>
      <c r="Z10" s="200">
        <f>INDEX(Drivers!$C$7:$AG$22,$E$10,Z3)</f>
        <v>2784.91</v>
      </c>
      <c r="AA10" s="200">
        <f>INDEX(Drivers!$C$7:$AG$22,$E$10,AA3)</f>
        <v>2936.65</v>
      </c>
      <c r="AB10" s="200">
        <f>INDEX(Drivers!$C$7:$AG$22,$E$10,AB3)</f>
        <v>3098.4</v>
      </c>
      <c r="AC10" s="200">
        <f>INDEX(Drivers!$C$7:$AG$22,$E$10,AC3)</f>
        <v>3264.46</v>
      </c>
      <c r="AD10" s="200">
        <f>INDEX(Drivers!$C$7:$AG$22,$E$10,AD3)</f>
        <v>3442.1</v>
      </c>
      <c r="AE10" s="200">
        <f>INDEX(Drivers!$C$7:$AG$22,$E$10,AE3)</f>
        <v>3630.22</v>
      </c>
      <c r="AF10" s="200">
        <f>INDEX(Drivers!$C$7:$AG$22,$E$10,AF3)</f>
        <v>3829.94</v>
      </c>
      <c r="AG10" s="200">
        <f>INDEX(Drivers!$C$7:$AG$22,$E$10,AG3)</f>
        <v>4029.27</v>
      </c>
      <c r="AH10" s="200">
        <f>INDEX(Drivers!$C$7:$AG$22,$E$10,AH3)</f>
        <v>4237.8100000000004</v>
      </c>
      <c r="AI10" s="200">
        <f>INDEX(Drivers!$C$7:$AG$22,$E$10,AI3)</f>
        <v>4470.5200000000004</v>
      </c>
      <c r="AJ10" s="200">
        <f>INDEX(Drivers!$C$7:$AG$22,$E$10,AJ3)</f>
        <v>4720.5</v>
      </c>
      <c r="AK10" s="200">
        <f>INDEX(Drivers!$C$7:$AG$22,$E$10,AK3)</f>
        <v>4986.2700000000004</v>
      </c>
      <c r="AL10" s="200">
        <f>INDEX(Drivers!$C$7:$AG$22,$E$10,AL3)</f>
        <v>5265.47</v>
      </c>
      <c r="AM10" s="200">
        <f>(AQ10-AL10)/5+AL10</f>
        <v>5594.8620000000001</v>
      </c>
      <c r="AN10" s="200">
        <f>(AQ10-AL10)/5+AM10</f>
        <v>5924.2539999999999</v>
      </c>
      <c r="AO10" s="200">
        <f>(AQ10-AL10)/5+AN10</f>
        <v>6253.6459999999997</v>
      </c>
      <c r="AP10" s="200">
        <f>(AQ10-AL10)/5+AO10</f>
        <v>6583.0379999999996</v>
      </c>
      <c r="AQ10" s="200">
        <f>INDEX(Drivers!$C$7:$AG$22,$E$10,AQ3)</f>
        <v>6912.43</v>
      </c>
      <c r="AR10" s="200">
        <f>(AV10-AQ10)/5+AQ10</f>
        <v>7328.7660000000005</v>
      </c>
      <c r="AS10" s="200">
        <f>(AV10-AQ10)/5+AR10</f>
        <v>7745.1020000000008</v>
      </c>
      <c r="AT10" s="200">
        <f>(AV10-AQ10)/5+AS10</f>
        <v>8161.438000000001</v>
      </c>
      <c r="AU10" s="200">
        <f>(AV10-AQ10)/5+AT10</f>
        <v>8577.7740000000013</v>
      </c>
      <c r="AV10" s="200">
        <f>INDEX(Drivers!$C$7:$AG$22,$E$10,AV3)</f>
        <v>8994.11</v>
      </c>
    </row>
    <row r="11" spans="1:48">
      <c r="A11" s="199" t="s">
        <v>16</v>
      </c>
      <c r="B11" s="98" t="s">
        <v>227</v>
      </c>
      <c r="C11" s="99"/>
      <c r="D11" s="99"/>
      <c r="E11" s="99"/>
      <c r="F11" s="99"/>
      <c r="G11" s="99"/>
      <c r="H11" s="99"/>
      <c r="I11" s="99"/>
      <c r="J11" s="284" t="str">
        <f t="shared" ref="J11:AV11" si="4">INDEX($C$14:$C$18,MATCH(J$12,$B$14:$B$18,0))</f>
        <v>A</v>
      </c>
      <c r="K11" s="284" t="str">
        <f t="shared" si="4"/>
        <v>A</v>
      </c>
      <c r="L11" s="284" t="str">
        <f t="shared" si="4"/>
        <v>A</v>
      </c>
      <c r="M11" s="284" t="str">
        <f t="shared" si="4"/>
        <v>A</v>
      </c>
      <c r="N11" s="284" t="str">
        <f t="shared" si="4"/>
        <v>A</v>
      </c>
      <c r="O11" s="284" t="str">
        <f t="shared" si="4"/>
        <v>A</v>
      </c>
      <c r="P11" s="284" t="str">
        <f t="shared" si="4"/>
        <v>B</v>
      </c>
      <c r="Q11" s="284" t="str">
        <f t="shared" si="4"/>
        <v>B</v>
      </c>
      <c r="R11" s="284" t="str">
        <f t="shared" si="4"/>
        <v>B</v>
      </c>
      <c r="S11" s="284" t="str">
        <f t="shared" si="4"/>
        <v>B</v>
      </c>
      <c r="T11" s="284" t="str">
        <f t="shared" si="4"/>
        <v>B</v>
      </c>
      <c r="U11" s="284" t="str">
        <f t="shared" si="4"/>
        <v>B</v>
      </c>
      <c r="V11" s="284" t="str">
        <f t="shared" si="4"/>
        <v>B</v>
      </c>
      <c r="W11" s="284" t="str">
        <f t="shared" si="4"/>
        <v>B</v>
      </c>
      <c r="X11" s="284" t="str">
        <f t="shared" si="4"/>
        <v>B</v>
      </c>
      <c r="Y11" s="284" t="str">
        <f t="shared" si="4"/>
        <v>B</v>
      </c>
      <c r="Z11" s="284" t="str">
        <f t="shared" si="4"/>
        <v>B</v>
      </c>
      <c r="AA11" s="284" t="str">
        <f t="shared" si="4"/>
        <v>B</v>
      </c>
      <c r="AB11" s="284" t="str">
        <f t="shared" si="4"/>
        <v>B</v>
      </c>
      <c r="AC11" s="284" t="str">
        <f t="shared" si="4"/>
        <v>C</v>
      </c>
      <c r="AD11" s="284" t="str">
        <f t="shared" si="4"/>
        <v>C</v>
      </c>
      <c r="AE11" s="284" t="str">
        <f t="shared" si="4"/>
        <v>C</v>
      </c>
      <c r="AF11" s="284" t="str">
        <f t="shared" si="4"/>
        <v>C</v>
      </c>
      <c r="AG11" s="284" t="str">
        <f t="shared" si="4"/>
        <v>C</v>
      </c>
      <c r="AH11" s="284" t="str">
        <f t="shared" si="4"/>
        <v>C</v>
      </c>
      <c r="AI11" s="284" t="str">
        <f t="shared" si="4"/>
        <v>C</v>
      </c>
      <c r="AJ11" s="284" t="str">
        <f t="shared" si="4"/>
        <v>C</v>
      </c>
      <c r="AK11" s="284" t="str">
        <f t="shared" si="4"/>
        <v>C</v>
      </c>
      <c r="AL11" s="284" t="str">
        <f t="shared" si="4"/>
        <v>C</v>
      </c>
      <c r="AM11" s="284" t="str">
        <f t="shared" si="4"/>
        <v>D</v>
      </c>
      <c r="AN11" s="284" t="str">
        <f t="shared" si="4"/>
        <v>D</v>
      </c>
      <c r="AO11" s="284" t="str">
        <f t="shared" si="4"/>
        <v>D</v>
      </c>
      <c r="AP11" s="284" t="str">
        <f t="shared" si="4"/>
        <v>D</v>
      </c>
      <c r="AQ11" s="284" t="str">
        <f t="shared" si="4"/>
        <v>D</v>
      </c>
      <c r="AR11" s="284" t="str">
        <f t="shared" si="4"/>
        <v>D</v>
      </c>
      <c r="AS11" s="284" t="str">
        <f t="shared" si="4"/>
        <v>D</v>
      </c>
      <c r="AT11" s="284" t="str">
        <f t="shared" si="4"/>
        <v>D</v>
      </c>
      <c r="AU11" s="284" t="str">
        <f t="shared" si="4"/>
        <v>D</v>
      </c>
      <c r="AV11" s="284" t="str">
        <f t="shared" si="4"/>
        <v>D</v>
      </c>
    </row>
    <row r="12" spans="1:48">
      <c r="A12" s="199" t="s">
        <v>16</v>
      </c>
      <c r="B12" s="283"/>
      <c r="J12" s="94">
        <f t="array" ref="J12">SUM($B$14:$B$18*(J4&gt;=$D$14:$D$18)*(J4&lt;=$E$14:$E$18))</f>
        <v>1</v>
      </c>
      <c r="K12" s="94">
        <f t="array" ref="K12">SUM($B$14:$B$17*(K4&gt;=$D$14:$D$17)*(K4&lt;=$E$14:$E$17))</f>
        <v>1</v>
      </c>
      <c r="L12" s="94">
        <f t="array" ref="L12">SUM($B$14:$B$17*(L4&gt;=$D$14:$D$17)*(L4&lt;=$E$14:$E$17))</f>
        <v>1</v>
      </c>
      <c r="M12" s="94">
        <f t="array" ref="M12">SUM($B$14:$B$17*(M4&gt;=$D$14:$D$17)*(M4&lt;=$E$14:$E$17))</f>
        <v>1</v>
      </c>
      <c r="N12" s="94">
        <f t="array" ref="N12">SUM($B$14:$B$17*(N4&gt;=$D$14:$D$17)*(N4&lt;=$E$14:$E$17))</f>
        <v>1</v>
      </c>
      <c r="O12" s="94">
        <f t="array" ref="O12">SUM($B$14:$B$17*(O4&gt;=$D$14:$D$17)*(O4&lt;=$E$14:$E$17))</f>
        <v>1</v>
      </c>
      <c r="P12" s="94">
        <f t="array" ref="P12">SUM($B$14:$B$17*(P4&gt;=$D$14:$D$17)*(P4&lt;=$E$14:$E$17))</f>
        <v>2</v>
      </c>
      <c r="Q12" s="94">
        <f t="array" ref="Q12">SUM($B$14:$B$17*(Q4&gt;=$D$14:$D$17)*(Q4&lt;=$E$14:$E$17))</f>
        <v>2</v>
      </c>
      <c r="R12" s="94">
        <f t="array" ref="R12">SUM($B$14:$B$17*(R4&gt;=$D$14:$D$17)*(R4&lt;=$E$14:$E$17))</f>
        <v>2</v>
      </c>
      <c r="S12" s="94">
        <f t="array" ref="S12">SUM($B$14:$B$17*(S4&gt;=$D$14:$D$17)*(S4&lt;=$E$14:$E$17))</f>
        <v>2</v>
      </c>
      <c r="T12" s="94">
        <f t="array" ref="T12">SUM($B$14:$B$17*(T4&gt;=$D$14:$D$17)*(T4&lt;=$E$14:$E$17))</f>
        <v>2</v>
      </c>
      <c r="U12" s="94">
        <f t="array" ref="U12">SUM($B$14:$B$17*(U4&gt;=$D$14:$D$17)*(U4&lt;=$E$14:$E$17))</f>
        <v>2</v>
      </c>
      <c r="V12" s="94">
        <f t="array" ref="V12">SUM($B$14:$B$17*(V4&gt;=$D$14:$D$17)*(V4&lt;=$E$14:$E$17))</f>
        <v>2</v>
      </c>
      <c r="W12" s="94">
        <f t="array" ref="W12">SUM($B$14:$B$17*(W4&gt;=$D$14:$D$17)*(W4&lt;=$E$14:$E$17))</f>
        <v>2</v>
      </c>
      <c r="X12" s="94">
        <f t="array" ref="X12">SUM($B$14:$B$17*(X4&gt;=$D$14:$D$17)*(X4&lt;=$E$14:$E$17))</f>
        <v>2</v>
      </c>
      <c r="Y12" s="94">
        <f t="array" ref="Y12">SUM($B$14:$B$17*(Y4&gt;=$D$14:$D$17)*(Y4&lt;=$E$14:$E$17))</f>
        <v>2</v>
      </c>
      <c r="Z12" s="94">
        <f t="array" ref="Z12">SUM($B$14:$B$17*(Z4&gt;=$D$14:$D$17)*(Z4&lt;=$E$14:$E$17))</f>
        <v>2</v>
      </c>
      <c r="AA12" s="94">
        <f t="array" ref="AA12">SUM($B$14:$B$17*(AA4&gt;=$D$14:$D$17)*(AA4&lt;=$E$14:$E$17))</f>
        <v>2</v>
      </c>
      <c r="AB12" s="94">
        <f t="array" ref="AB12">SUM($B$14:$B$17*(AB4&gt;=$D$14:$D$17)*(AB4&lt;=$E$14:$E$17))</f>
        <v>2</v>
      </c>
      <c r="AC12" s="94">
        <f t="array" ref="AC12">SUM($B$14:$B$17*(AC4&gt;=$D$14:$D$17)*(AC4&lt;=$E$14:$E$17))</f>
        <v>3</v>
      </c>
      <c r="AD12" s="94">
        <f t="array" ref="AD12">SUM($B$14:$B$17*(AD4&gt;=$D$14:$D$17)*(AD4&lt;=$E$14:$E$17))</f>
        <v>3</v>
      </c>
      <c r="AE12" s="94">
        <f t="array" ref="AE12">SUM($B$14:$B$17*(AE4&gt;=$D$14:$D$17)*(AE4&lt;=$E$14:$E$17))</f>
        <v>3</v>
      </c>
      <c r="AF12" s="94">
        <f t="array" ref="AF12">SUM($B$14:$B$17*(AF4&gt;=$D$14:$D$17)*(AF4&lt;=$E$14:$E$17))</f>
        <v>3</v>
      </c>
      <c r="AG12" s="94">
        <f t="array" ref="AG12">SUM($B$14:$B$17*(AG4&gt;=$D$14:$D$17)*(AG4&lt;=$E$14:$E$17))</f>
        <v>3</v>
      </c>
      <c r="AH12" s="94">
        <f t="array" ref="AH12">SUM($B$14:$B$17*(AH4&gt;=$D$14:$D$17)*(AH4&lt;=$E$14:$E$17))</f>
        <v>3</v>
      </c>
      <c r="AI12" s="94">
        <f t="array" ref="AI12">SUM($B$14:$B$17*(AI4&gt;=$D$14:$D$17)*(AI4&lt;=$E$14:$E$17))</f>
        <v>3</v>
      </c>
      <c r="AJ12" s="94">
        <f t="array" ref="AJ12">SUM($B$14:$B$17*(AJ4&gt;=$D$14:$D$17)*(AJ4&lt;=$E$14:$E$17))</f>
        <v>3</v>
      </c>
      <c r="AK12" s="94">
        <f t="array" ref="AK12">SUM($B$14:$B$17*(AK4&gt;=$D$14:$D$17)*(AK4&lt;=$E$14:$E$17))</f>
        <v>3</v>
      </c>
      <c r="AL12" s="94">
        <f t="array" ref="AL12">SUM($B$14:$B$17*(AL4&gt;=$D$14:$D$17)*(AL4&lt;=$E$14:$E$17))</f>
        <v>3</v>
      </c>
      <c r="AM12" s="94">
        <f t="array" ref="AM12">SUM($B$14:$B$17*(AM4&gt;=$D$14:$D$17)*(AM4&lt;=$E$14:$E$17))</f>
        <v>4</v>
      </c>
      <c r="AN12" s="94">
        <f t="array" ref="AN12">SUM($B$14:$B$17*(AN4&gt;=$D$14:$D$17)*(AN4&lt;=$E$14:$E$17))</f>
        <v>4</v>
      </c>
      <c r="AO12" s="94">
        <f t="array" ref="AO12">SUM($B$14:$B$17*(AO4&gt;=$D$14:$D$17)*(AO4&lt;=$E$14:$E$17))</f>
        <v>4</v>
      </c>
      <c r="AP12" s="94">
        <f t="array" ref="AP12">SUM($B$14:$B$17*(AP4&gt;=$D$14:$D$17)*(AP4&lt;=$E$14:$E$17))</f>
        <v>4</v>
      </c>
      <c r="AQ12" s="94">
        <f t="array" ref="AQ12">SUM($B$14:$B$17*(AQ4&gt;=$D$14:$D$17)*(AQ4&lt;=$E$14:$E$17))</f>
        <v>4</v>
      </c>
      <c r="AR12" s="94">
        <f t="array" ref="AR12">SUM($B$14:$B$17*(AR4&gt;=$D$14:$D$17)*(AR4&lt;=$E$14:$E$17))</f>
        <v>4</v>
      </c>
      <c r="AS12" s="94">
        <f t="array" ref="AS12">SUM($B$14:$B$17*(AS4&gt;=$D$14:$D$17)*(AS4&lt;=$E$14:$E$17))</f>
        <v>4</v>
      </c>
      <c r="AT12" s="94">
        <f t="array" ref="AT12">SUM($B$14:$B$17*(AT4&gt;=$D$14:$D$17)*(AT4&lt;=$E$14:$E$17))</f>
        <v>4</v>
      </c>
      <c r="AU12" s="94">
        <f t="array" ref="AU12">SUM($B$14:$B$17*(AU4&gt;=$D$14:$D$17)*(AU4&lt;=$E$14:$E$17))</f>
        <v>4</v>
      </c>
      <c r="AV12" s="94">
        <f t="array" ref="AV12">SUM($B$14:$B$17*(AV4&gt;=$D$14:$D$17)*(AV4&lt;=$E$14:$E$17))</f>
        <v>4</v>
      </c>
    </row>
    <row r="13" spans="1:48">
      <c r="A13" s="199" t="s">
        <v>16</v>
      </c>
      <c r="B13" s="302" t="s">
        <v>228</v>
      </c>
      <c r="C13" s="303"/>
      <c r="D13" s="95" t="s">
        <v>229</v>
      </c>
      <c r="E13" s="95" t="s">
        <v>230</v>
      </c>
      <c r="J13" s="94"/>
      <c r="K13" s="95"/>
    </row>
    <row r="14" spans="1:48">
      <c r="A14" s="199" t="s">
        <v>16</v>
      </c>
      <c r="B14" s="283">
        <v>1</v>
      </c>
      <c r="C14" s="95" t="s">
        <v>109</v>
      </c>
      <c r="D14" s="100">
        <v>2012</v>
      </c>
      <c r="E14" s="100">
        <f>D14+5</f>
        <v>2017</v>
      </c>
      <c r="J14" s="94"/>
      <c r="K14" s="95"/>
      <c r="P14" s="95">
        <f>P10/O10</f>
        <v>1.0209641955936823</v>
      </c>
      <c r="Q14" s="95">
        <f t="shared" ref="Q14:T14" si="5">Q10/P10</f>
        <v>1.0251829582628722</v>
      </c>
      <c r="R14" s="95">
        <f t="shared" si="5"/>
        <v>0.93112863507340626</v>
      </c>
      <c r="S14" s="95">
        <f t="shared" si="5"/>
        <v>1.0413762472682491</v>
      </c>
      <c r="T14" s="95">
        <f t="shared" si="5"/>
        <v>1.0360924921606547</v>
      </c>
    </row>
    <row r="15" spans="1:48">
      <c r="A15" s="199" t="s">
        <v>16</v>
      </c>
      <c r="B15" s="283">
        <v>2</v>
      </c>
      <c r="C15" s="95" t="s">
        <v>231</v>
      </c>
      <c r="D15" s="100">
        <f>E14+1</f>
        <v>2018</v>
      </c>
      <c r="E15" s="100">
        <v>2030</v>
      </c>
      <c r="J15" s="94"/>
      <c r="K15" s="95"/>
    </row>
    <row r="16" spans="1:48">
      <c r="A16" s="199" t="s">
        <v>16</v>
      </c>
      <c r="B16" s="283">
        <v>3</v>
      </c>
      <c r="C16" s="95" t="s">
        <v>112</v>
      </c>
      <c r="D16" s="100">
        <v>2031</v>
      </c>
      <c r="E16" s="100">
        <v>2040</v>
      </c>
      <c r="J16" s="94"/>
      <c r="K16" s="95"/>
    </row>
    <row r="17" spans="1:48">
      <c r="A17" s="199" t="s">
        <v>16</v>
      </c>
      <c r="B17" s="283">
        <v>4</v>
      </c>
      <c r="C17" s="95" t="s">
        <v>232</v>
      </c>
      <c r="D17" s="100">
        <v>2041</v>
      </c>
      <c r="E17" s="100">
        <v>2070</v>
      </c>
      <c r="J17" s="94"/>
      <c r="K17" s="95"/>
    </row>
    <row r="18" spans="1:48">
      <c r="A18" s="199" t="s">
        <v>16</v>
      </c>
      <c r="B18" s="283"/>
      <c r="J18" s="94"/>
      <c r="K18" s="95"/>
    </row>
    <row r="19" spans="1:48" ht="15.75" thickBot="1">
      <c r="A19" s="199" t="s">
        <v>16</v>
      </c>
      <c r="B19" s="92" t="s">
        <v>511</v>
      </c>
      <c r="C19" s="92" t="s">
        <v>233</v>
      </c>
      <c r="D19" s="92"/>
      <c r="E19" s="93"/>
      <c r="F19" s="93"/>
      <c r="G19" s="93"/>
      <c r="H19" s="93"/>
      <c r="I19" s="93"/>
      <c r="J19" s="94"/>
      <c r="K19" s="95"/>
    </row>
    <row r="20" spans="1:48">
      <c r="A20" s="199" t="s">
        <v>16</v>
      </c>
      <c r="B20" s="97">
        <f>'[6]SA GDP'!$I$30</f>
        <v>0.44318133021912642</v>
      </c>
      <c r="C20" s="101">
        <v>0.01</v>
      </c>
      <c r="J20" s="94"/>
      <c r="K20" s="95"/>
      <c r="L20" s="102"/>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row>
    <row r="21" spans="1:48">
      <c r="A21" s="199" t="s">
        <v>16</v>
      </c>
      <c r="B21" s="283"/>
      <c r="J21" s="103"/>
      <c r="K21" s="104"/>
      <c r="L21" s="102"/>
      <c r="M21" s="102"/>
      <c r="N21" s="102"/>
      <c r="O21" s="102"/>
      <c r="P21" s="102"/>
      <c r="Q21" s="102"/>
      <c r="R21" s="102"/>
      <c r="S21" s="102"/>
      <c r="T21" s="102"/>
      <c r="U21" s="102"/>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row>
    <row r="22" spans="1:48" ht="19.5" thickBot="1">
      <c r="A22" s="199" t="s">
        <v>16</v>
      </c>
      <c r="B22" s="180" t="s">
        <v>70</v>
      </c>
      <c r="C22" s="92"/>
      <c r="D22" s="92"/>
      <c r="E22" s="105">
        <v>2006</v>
      </c>
      <c r="F22" s="105">
        <v>2010</v>
      </c>
      <c r="G22" s="105">
        <v>2020</v>
      </c>
      <c r="H22" s="105">
        <v>2030</v>
      </c>
      <c r="I22" s="105">
        <v>2050</v>
      </c>
      <c r="J22" s="94">
        <f t="shared" ref="J22:AV22" si="6">J4</f>
        <v>2012</v>
      </c>
      <c r="K22" s="95">
        <f t="shared" si="6"/>
        <v>2013</v>
      </c>
      <c r="L22" s="95">
        <f t="shared" si="6"/>
        <v>2014</v>
      </c>
      <c r="M22" s="95">
        <f t="shared" si="6"/>
        <v>2015</v>
      </c>
      <c r="N22" s="95">
        <f t="shared" si="6"/>
        <v>2016</v>
      </c>
      <c r="O22" s="95">
        <f t="shared" si="6"/>
        <v>2017</v>
      </c>
      <c r="P22" s="95">
        <f t="shared" si="6"/>
        <v>2018</v>
      </c>
      <c r="Q22" s="95">
        <f t="shared" si="6"/>
        <v>2019</v>
      </c>
      <c r="R22" s="95">
        <f t="shared" si="6"/>
        <v>2020</v>
      </c>
      <c r="S22" s="95">
        <f t="shared" si="6"/>
        <v>2021</v>
      </c>
      <c r="T22" s="95">
        <f t="shared" si="6"/>
        <v>2022</v>
      </c>
      <c r="U22" s="95">
        <f t="shared" si="6"/>
        <v>2023</v>
      </c>
      <c r="V22" s="95">
        <f t="shared" si="6"/>
        <v>2024</v>
      </c>
      <c r="W22" s="95">
        <f t="shared" si="6"/>
        <v>2025</v>
      </c>
      <c r="X22" s="95">
        <f t="shared" si="6"/>
        <v>2026</v>
      </c>
      <c r="Y22" s="95">
        <f t="shared" si="6"/>
        <v>2027</v>
      </c>
      <c r="Z22" s="95">
        <f t="shared" si="6"/>
        <v>2028</v>
      </c>
      <c r="AA22" s="95">
        <f t="shared" si="6"/>
        <v>2029</v>
      </c>
      <c r="AB22" s="95">
        <f t="shared" si="6"/>
        <v>2030</v>
      </c>
      <c r="AC22" s="95">
        <f t="shared" si="6"/>
        <v>2031</v>
      </c>
      <c r="AD22" s="95">
        <f t="shared" si="6"/>
        <v>2032</v>
      </c>
      <c r="AE22" s="95">
        <f t="shared" si="6"/>
        <v>2033</v>
      </c>
      <c r="AF22" s="95">
        <f t="shared" si="6"/>
        <v>2034</v>
      </c>
      <c r="AG22" s="95">
        <f t="shared" si="6"/>
        <v>2035</v>
      </c>
      <c r="AH22" s="95">
        <f t="shared" si="6"/>
        <v>2036</v>
      </c>
      <c r="AI22" s="95">
        <f t="shared" si="6"/>
        <v>2037</v>
      </c>
      <c r="AJ22" s="95">
        <f t="shared" si="6"/>
        <v>2038</v>
      </c>
      <c r="AK22" s="95">
        <f t="shared" si="6"/>
        <v>2039</v>
      </c>
      <c r="AL22" s="95">
        <f t="shared" si="6"/>
        <v>2040</v>
      </c>
      <c r="AM22" s="95">
        <f t="shared" si="6"/>
        <v>2041</v>
      </c>
      <c r="AN22" s="95">
        <f t="shared" si="6"/>
        <v>2042</v>
      </c>
      <c r="AO22" s="95">
        <f t="shared" si="6"/>
        <v>2043</v>
      </c>
      <c r="AP22" s="95">
        <f t="shared" si="6"/>
        <v>2044</v>
      </c>
      <c r="AQ22" s="95">
        <f t="shared" si="6"/>
        <v>2045</v>
      </c>
      <c r="AR22" s="95">
        <f t="shared" si="6"/>
        <v>2046</v>
      </c>
      <c r="AS22" s="95">
        <f t="shared" si="6"/>
        <v>2047</v>
      </c>
      <c r="AT22" s="95">
        <f t="shared" si="6"/>
        <v>2048</v>
      </c>
      <c r="AU22" s="95">
        <f t="shared" si="6"/>
        <v>2049</v>
      </c>
      <c r="AV22" s="95">
        <f t="shared" si="6"/>
        <v>2050</v>
      </c>
    </row>
    <row r="23" spans="1:48">
      <c r="A23" s="199" t="s">
        <v>16</v>
      </c>
      <c r="B23" s="283" t="str">
        <f>B10</f>
        <v>COM</v>
      </c>
      <c r="C23" s="95" t="str">
        <f>C10</f>
        <v>Commercial</v>
      </c>
      <c r="D23" s="95" t="s">
        <v>71</v>
      </c>
      <c r="J23" s="235">
        <f>[6]Forecast!I$8</f>
        <v>132.81548999999998</v>
      </c>
      <c r="K23" s="235">
        <f>[6]Forecast!J$8</f>
        <v>134.00787499999998</v>
      </c>
      <c r="L23" s="235">
        <f>[6]Forecast!K$8</f>
        <v>135.598851</v>
      </c>
      <c r="M23" s="235">
        <f>[6]Forecast!L$8</f>
        <v>136.99421599999999</v>
      </c>
      <c r="N23" s="235">
        <f>[6]Forecast!M$8</f>
        <v>138.328236</v>
      </c>
      <c r="O23" s="236">
        <f>IF(O10/N10&lt;1,N23,(1+$B$20*(O10/N10-1))*N23)</f>
        <v>139.28093183333556</v>
      </c>
      <c r="P23" s="236">
        <f t="shared" ref="P23:AO23" si="7">IF(P10/O10&lt;1,O23,(1+$B$20*(P10/O10-1))*O23)</f>
        <v>140.57498262670381</v>
      </c>
      <c r="Q23" s="236">
        <f t="shared" si="7"/>
        <v>142.14388615939959</v>
      </c>
      <c r="R23" s="236">
        <f t="shared" si="7"/>
        <v>142.14388615939959</v>
      </c>
      <c r="S23" s="236">
        <f t="shared" si="7"/>
        <v>144.75040422898991</v>
      </c>
      <c r="T23" s="236">
        <f t="shared" si="7"/>
        <v>147.06576202473951</v>
      </c>
      <c r="U23" s="236">
        <f t="shared" si="7"/>
        <v>149.52432050855597</v>
      </c>
      <c r="V23" s="236">
        <f t="shared" si="7"/>
        <v>152.30321810553289</v>
      </c>
      <c r="W23" s="236">
        <f t="shared" si="7"/>
        <v>155.27272460707641</v>
      </c>
      <c r="X23" s="236">
        <f t="shared" si="7"/>
        <v>158.52701178372646</v>
      </c>
      <c r="Y23" s="236">
        <f t="shared" si="7"/>
        <v>161.96162278038204</v>
      </c>
      <c r="Z23" s="236">
        <f t="shared" si="7"/>
        <v>165.59276913645036</v>
      </c>
      <c r="AA23" s="236">
        <f t="shared" si="7"/>
        <v>169.59140392907315</v>
      </c>
      <c r="AB23" s="236">
        <f t="shared" si="7"/>
        <v>173.73118517297345</v>
      </c>
      <c r="AC23" s="236">
        <f t="shared" si="7"/>
        <v>177.85773210391145</v>
      </c>
      <c r="AD23" s="236">
        <f t="shared" si="7"/>
        <v>182.14700442477491</v>
      </c>
      <c r="AE23" s="236">
        <f t="shared" si="7"/>
        <v>186.55879589535664</v>
      </c>
      <c r="AF23" s="236">
        <f t="shared" si="7"/>
        <v>191.10748022873159</v>
      </c>
      <c r="AG23" s="236">
        <f t="shared" si="7"/>
        <v>195.5154625029777</v>
      </c>
      <c r="AH23" s="236">
        <f t="shared" si="7"/>
        <v>200.00008163388344</v>
      </c>
      <c r="AI23" s="236">
        <f t="shared" si="7"/>
        <v>204.86734889933038</v>
      </c>
      <c r="AJ23" s="236">
        <f t="shared" si="7"/>
        <v>209.94428182508253</v>
      </c>
      <c r="AK23" s="236">
        <f t="shared" si="7"/>
        <v>215.18273976840254</v>
      </c>
      <c r="AL23" s="236">
        <f t="shared" si="7"/>
        <v>220.52258306207324</v>
      </c>
      <c r="AM23" s="236">
        <f t="shared" si="7"/>
        <v>226.63637186262287</v>
      </c>
      <c r="AN23" s="236">
        <f t="shared" si="7"/>
        <v>232.54973751075727</v>
      </c>
      <c r="AO23" s="236">
        <f t="shared" si="7"/>
        <v>238.28002864094483</v>
      </c>
      <c r="AP23" s="106">
        <f t="shared" ref="AP23:AU23" si="8">(1+$B$20*(AP10/AO10-1))*AO23</f>
        <v>243.84225749958841</v>
      </c>
      <c r="AQ23" s="106">
        <f t="shared" si="8"/>
        <v>249.24951575355053</v>
      </c>
      <c r="AR23" s="106">
        <f t="shared" si="8"/>
        <v>255.90269154966816</v>
      </c>
      <c r="AS23" s="106">
        <f t="shared" si="8"/>
        <v>262.34541396954353</v>
      </c>
      <c r="AT23" s="106">
        <f t="shared" si="8"/>
        <v>268.59529509734375</v>
      </c>
      <c r="AU23" s="106">
        <f t="shared" si="8"/>
        <v>274.66764987461011</v>
      </c>
      <c r="AV23" s="106">
        <f t="shared" ref="AV23" si="9">(1+$B$20*(AT10/AS10-1))*AU23</f>
        <v>281.21108486512173</v>
      </c>
    </row>
    <row r="24" spans="1:48">
      <c r="A24" s="199" t="s">
        <v>16</v>
      </c>
      <c r="B24" s="283" t="str">
        <f>B23 &amp; "-" &amp; "indexed"</f>
        <v>COM-indexed</v>
      </c>
      <c r="C24" s="95" t="str">
        <f>C23 &amp;"-" &amp; "indexed"</f>
        <v>Commercial-indexed</v>
      </c>
      <c r="I24" s="165"/>
      <c r="J24" s="97">
        <f>K24*(1+((J23-K23)/K23))</f>
        <v>0.95357984938618767</v>
      </c>
      <c r="K24" s="97">
        <f>L24*(1+((K23-L23)/L23))</f>
        <v>0.96214085615362377</v>
      </c>
      <c r="L24" s="97">
        <f>M24*(1+((L23-M23)/M23))</f>
        <v>0.97356364015613017</v>
      </c>
      <c r="M24" s="97">
        <f>N24*(1+((M23-N23)/N23))</f>
        <v>0.9835819892699178</v>
      </c>
      <c r="N24" s="97">
        <f>O24*(1+((N23-O23)/O23))</f>
        <v>0.99315989761990142</v>
      </c>
      <c r="O24" s="97">
        <v>1</v>
      </c>
      <c r="P24" s="97">
        <f t="shared" ref="P24:AV24" si="10">O24*(1+((P23-O23)/O23))</f>
        <v>1.0092909400901822</v>
      </c>
      <c r="Q24" s="97">
        <f t="shared" si="10"/>
        <v>1.0205552496553503</v>
      </c>
      <c r="R24" s="97">
        <f t="shared" si="10"/>
        <v>1.0205552496553503</v>
      </c>
      <c r="S24" s="97">
        <f t="shared" si="10"/>
        <v>1.0392693552782886</v>
      </c>
      <c r="T24" s="97">
        <f t="shared" si="10"/>
        <v>1.0558930076711386</v>
      </c>
      <c r="U24" s="97">
        <f t="shared" si="10"/>
        <v>1.0735448028699126</v>
      </c>
      <c r="V24" s="97">
        <f t="shared" si="10"/>
        <v>1.0934965475947551</v>
      </c>
      <c r="W24" s="97">
        <f t="shared" si="10"/>
        <v>1.1148168134951646</v>
      </c>
      <c r="X24" s="97">
        <f t="shared" si="10"/>
        <v>1.1381817288056406</v>
      </c>
      <c r="Y24" s="97">
        <f t="shared" si="10"/>
        <v>1.1628413211234567</v>
      </c>
      <c r="Z24" s="97">
        <f t="shared" si="10"/>
        <v>1.1889119849844176</v>
      </c>
      <c r="AA24" s="97">
        <f t="shared" si="10"/>
        <v>1.217621117957534</v>
      </c>
      <c r="AB24" s="97">
        <f t="shared" si="10"/>
        <v>1.2473436448634709</v>
      </c>
      <c r="AC24" s="97">
        <f t="shared" si="10"/>
        <v>1.276971152926641</v>
      </c>
      <c r="AD24" s="97">
        <f t="shared" si="10"/>
        <v>1.3077669859556447</v>
      </c>
      <c r="AE24" s="97">
        <f t="shared" si="10"/>
        <v>1.3394424738527311</v>
      </c>
      <c r="AF24" s="97">
        <f t="shared" si="10"/>
        <v>1.372100816050053</v>
      </c>
      <c r="AG24" s="97">
        <f t="shared" si="10"/>
        <v>1.40374895493184</v>
      </c>
      <c r="AH24" s="97">
        <f t="shared" si="10"/>
        <v>1.43594732603602</v>
      </c>
      <c r="AI24" s="97">
        <f t="shared" si="10"/>
        <v>1.470893008846867</v>
      </c>
      <c r="AJ24" s="97">
        <f t="shared" si="10"/>
        <v>1.507344035264663</v>
      </c>
      <c r="AK24" s="97">
        <f t="shared" si="10"/>
        <v>1.5449547682944247</v>
      </c>
      <c r="AL24" s="97">
        <f t="shared" si="10"/>
        <v>1.5832934211407481</v>
      </c>
      <c r="AM24" s="97">
        <f t="shared" si="10"/>
        <v>1.6271887966244893</v>
      </c>
      <c r="AN24" s="97">
        <f t="shared" si="10"/>
        <v>1.6696451872466485</v>
      </c>
      <c r="AO24" s="97">
        <f t="shared" si="10"/>
        <v>1.7107871515827606</v>
      </c>
      <c r="AP24" s="97">
        <f t="shared" si="10"/>
        <v>1.7507224735642317</v>
      </c>
      <c r="AQ24" s="97">
        <f t="shared" si="10"/>
        <v>1.7895451478728188</v>
      </c>
      <c r="AR24" s="97">
        <f t="shared" si="10"/>
        <v>1.8373131783457832</v>
      </c>
      <c r="AS24" s="97">
        <f t="shared" si="10"/>
        <v>1.8835702096211395</v>
      </c>
      <c r="AT24" s="97">
        <f t="shared" si="10"/>
        <v>1.9284426917731035</v>
      </c>
      <c r="AU24" s="97">
        <f t="shared" si="10"/>
        <v>1.9720405820035662</v>
      </c>
      <c r="AV24" s="97">
        <f t="shared" si="10"/>
        <v>2.0190207027162965</v>
      </c>
    </row>
    <row r="25" spans="1:48">
      <c r="A25" s="199" t="s">
        <v>16</v>
      </c>
      <c r="B25" s="283" t="str">
        <f>B10 &amp; "-" &amp; "EXISTING"</f>
        <v>COM-EXISTING</v>
      </c>
      <c r="C25" s="95" t="str">
        <f>C10 &amp; "-" &amp; "existing"</f>
        <v>Commercial-existing</v>
      </c>
      <c r="D25" s="95" t="s">
        <v>53</v>
      </c>
      <c r="E25" s="107">
        <v>1</v>
      </c>
      <c r="I25" s="165"/>
      <c r="J25" s="234">
        <f>E25</f>
        <v>1</v>
      </c>
      <c r="K25" s="234">
        <v>1</v>
      </c>
      <c r="L25" s="234">
        <v>1</v>
      </c>
      <c r="M25" s="234">
        <v>1</v>
      </c>
      <c r="N25" s="234">
        <v>1</v>
      </c>
      <c r="O25" s="234">
        <f>E25</f>
        <v>1</v>
      </c>
      <c r="P25" s="97">
        <f t="shared" ref="P25:AV25" si="11">IF(O25-$C$20*(P22-O22)&lt;0,0,O25-$C$20*(P22-O22))</f>
        <v>0.99</v>
      </c>
      <c r="Q25" s="97">
        <f t="shared" si="11"/>
        <v>0.98</v>
      </c>
      <c r="R25" s="97">
        <f t="shared" si="11"/>
        <v>0.97</v>
      </c>
      <c r="S25" s="97">
        <f t="shared" si="11"/>
        <v>0.96</v>
      </c>
      <c r="T25" s="97">
        <f t="shared" si="11"/>
        <v>0.95</v>
      </c>
      <c r="U25" s="97">
        <f t="shared" si="11"/>
        <v>0.94</v>
      </c>
      <c r="V25" s="97">
        <f t="shared" si="11"/>
        <v>0.92999999999999994</v>
      </c>
      <c r="W25" s="97">
        <f t="shared" si="11"/>
        <v>0.91999999999999993</v>
      </c>
      <c r="X25" s="97">
        <f t="shared" si="11"/>
        <v>0.90999999999999992</v>
      </c>
      <c r="Y25" s="97">
        <f t="shared" si="11"/>
        <v>0.89999999999999991</v>
      </c>
      <c r="Z25" s="97">
        <f t="shared" si="11"/>
        <v>0.8899999999999999</v>
      </c>
      <c r="AA25" s="97">
        <f t="shared" si="11"/>
        <v>0.87999999999999989</v>
      </c>
      <c r="AB25" s="97">
        <f t="shared" si="11"/>
        <v>0.86999999999999988</v>
      </c>
      <c r="AC25" s="97">
        <f t="shared" si="11"/>
        <v>0.85999999999999988</v>
      </c>
      <c r="AD25" s="97">
        <f t="shared" si="11"/>
        <v>0.84999999999999987</v>
      </c>
      <c r="AE25" s="97">
        <f t="shared" si="11"/>
        <v>0.83999999999999986</v>
      </c>
      <c r="AF25" s="97">
        <f t="shared" si="11"/>
        <v>0.82999999999999985</v>
      </c>
      <c r="AG25" s="97">
        <f t="shared" si="11"/>
        <v>0.81999999999999984</v>
      </c>
      <c r="AH25" s="97">
        <f t="shared" si="11"/>
        <v>0.80999999999999983</v>
      </c>
      <c r="AI25" s="97">
        <f t="shared" si="11"/>
        <v>0.79999999999999982</v>
      </c>
      <c r="AJ25" s="97">
        <f t="shared" si="11"/>
        <v>0.78999999999999981</v>
      </c>
      <c r="AK25" s="97">
        <f t="shared" si="11"/>
        <v>0.7799999999999998</v>
      </c>
      <c r="AL25" s="97">
        <f t="shared" si="11"/>
        <v>0.7699999999999998</v>
      </c>
      <c r="AM25" s="97">
        <f t="shared" si="11"/>
        <v>0.75999999999999979</v>
      </c>
      <c r="AN25" s="97">
        <f t="shared" si="11"/>
        <v>0.74999999999999978</v>
      </c>
      <c r="AO25" s="97">
        <f t="shared" si="11"/>
        <v>0.73999999999999977</v>
      </c>
      <c r="AP25" s="97">
        <f t="shared" si="11"/>
        <v>0.72999999999999976</v>
      </c>
      <c r="AQ25" s="97">
        <f t="shared" si="11"/>
        <v>0.71999999999999975</v>
      </c>
      <c r="AR25" s="97">
        <f t="shared" si="11"/>
        <v>0.70999999999999974</v>
      </c>
      <c r="AS25" s="97">
        <f t="shared" si="11"/>
        <v>0.69999999999999973</v>
      </c>
      <c r="AT25" s="97">
        <f t="shared" si="11"/>
        <v>0.68999999999999972</v>
      </c>
      <c r="AU25" s="97">
        <f t="shared" si="11"/>
        <v>0.67999999999999972</v>
      </c>
      <c r="AV25" s="97">
        <f t="shared" si="11"/>
        <v>0.66999999999999971</v>
      </c>
    </row>
    <row r="26" spans="1:48">
      <c r="A26" s="199" t="s">
        <v>16</v>
      </c>
      <c r="B26" s="283"/>
      <c r="I26" s="165"/>
      <c r="J26" s="97"/>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row>
    <row r="27" spans="1:48">
      <c r="A27" s="199" t="s">
        <v>16</v>
      </c>
      <c r="B27" s="283" t="s">
        <v>486</v>
      </c>
      <c r="C27" s="285">
        <v>0.2</v>
      </c>
      <c r="I27" s="165"/>
      <c r="J27" s="97"/>
      <c r="K27" s="97"/>
      <c r="L27" s="97"/>
      <c r="M27" s="97"/>
      <c r="N27" s="97"/>
      <c r="O27" s="97"/>
      <c r="P27" s="97"/>
      <c r="Q27" s="97"/>
      <c r="R27" s="97"/>
      <c r="S27" s="97"/>
      <c r="T27" s="97"/>
      <c r="U27" s="97"/>
      <c r="V27" s="97"/>
      <c r="W27" s="97"/>
      <c r="X27" s="97"/>
      <c r="Y27" s="97"/>
      <c r="Z27" s="97"/>
      <c r="AH27" s="97"/>
      <c r="AI27" s="97"/>
      <c r="AJ27" s="97"/>
      <c r="AK27" s="97"/>
      <c r="AL27" s="97"/>
      <c r="AM27" s="97"/>
      <c r="AN27" s="97"/>
      <c r="AO27" s="97"/>
      <c r="AP27" s="97"/>
      <c r="AQ27" s="97"/>
      <c r="AR27" s="97"/>
      <c r="AS27" s="97"/>
      <c r="AT27" s="97"/>
      <c r="AU27" s="97"/>
      <c r="AV27" s="97"/>
    </row>
    <row r="28" spans="1:48">
      <c r="A28" s="199" t="s">
        <v>16</v>
      </c>
      <c r="B28" s="283"/>
      <c r="I28" s="165"/>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row>
    <row r="29" spans="1:48">
      <c r="A29" s="199" t="s">
        <v>16</v>
      </c>
      <c r="B29" s="286" t="s">
        <v>490</v>
      </c>
      <c r="C29" s="178"/>
      <c r="D29" s="178"/>
      <c r="I29" s="165"/>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row>
    <row r="30" spans="1:48">
      <c r="A30" s="199" t="s">
        <v>16</v>
      </c>
      <c r="B30" s="283" t="s">
        <v>487</v>
      </c>
      <c r="D30" s="95" t="s">
        <v>71</v>
      </c>
      <c r="I30" s="165"/>
      <c r="J30" s="234">
        <f>J23</f>
        <v>132.81548999999998</v>
      </c>
      <c r="K30" s="234">
        <f t="shared" ref="K30:O30" si="12">K23</f>
        <v>134.00787499999998</v>
      </c>
      <c r="L30" s="234">
        <f t="shared" si="12"/>
        <v>135.598851</v>
      </c>
      <c r="M30" s="234">
        <f t="shared" si="12"/>
        <v>136.99421599999999</v>
      </c>
      <c r="N30" s="234">
        <f t="shared" si="12"/>
        <v>138.328236</v>
      </c>
      <c r="O30" s="234">
        <f t="shared" si="12"/>
        <v>139.28093183333556</v>
      </c>
      <c r="P30" s="97">
        <f>P25*$O$23</f>
        <v>137.88812251500221</v>
      </c>
      <c r="Q30" s="97">
        <f t="shared" ref="Q30:AV30" si="13">Q25*$O$23</f>
        <v>136.49531319666883</v>
      </c>
      <c r="R30" s="97">
        <f t="shared" si="13"/>
        <v>135.10250387833548</v>
      </c>
      <c r="S30" s="97">
        <f t="shared" si="13"/>
        <v>133.70969456000213</v>
      </c>
      <c r="T30" s="97">
        <f t="shared" si="13"/>
        <v>132.31688524166879</v>
      </c>
      <c r="U30" s="97">
        <f t="shared" si="13"/>
        <v>130.92407592333541</v>
      </c>
      <c r="V30" s="97">
        <f t="shared" si="13"/>
        <v>129.53126660500206</v>
      </c>
      <c r="W30" s="97">
        <f t="shared" si="13"/>
        <v>128.13845728666871</v>
      </c>
      <c r="X30" s="97">
        <f t="shared" si="13"/>
        <v>126.74564796833535</v>
      </c>
      <c r="Y30" s="97">
        <f t="shared" si="13"/>
        <v>125.35283865000198</v>
      </c>
      <c r="Z30" s="97">
        <f t="shared" si="13"/>
        <v>123.96002933166864</v>
      </c>
      <c r="AA30" s="97">
        <f t="shared" si="13"/>
        <v>122.56722001333527</v>
      </c>
      <c r="AB30" s="97">
        <f t="shared" si="13"/>
        <v>121.17441069500192</v>
      </c>
      <c r="AC30" s="97">
        <f t="shared" si="13"/>
        <v>119.78160137666856</v>
      </c>
      <c r="AD30" s="97">
        <f t="shared" si="13"/>
        <v>118.3887920583352</v>
      </c>
      <c r="AE30" s="97">
        <f t="shared" si="13"/>
        <v>116.99598274000185</v>
      </c>
      <c r="AF30" s="97">
        <f t="shared" si="13"/>
        <v>115.60317342166849</v>
      </c>
      <c r="AG30" s="97">
        <f t="shared" si="13"/>
        <v>114.21036410333514</v>
      </c>
      <c r="AH30" s="97">
        <f t="shared" si="13"/>
        <v>112.81755478500178</v>
      </c>
      <c r="AI30" s="97">
        <f t="shared" si="13"/>
        <v>111.42474546666843</v>
      </c>
      <c r="AJ30" s="97">
        <f t="shared" si="13"/>
        <v>110.03193614833506</v>
      </c>
      <c r="AK30" s="97">
        <f t="shared" si="13"/>
        <v>108.63912683000171</v>
      </c>
      <c r="AL30" s="97">
        <f t="shared" si="13"/>
        <v>107.24631751166835</v>
      </c>
      <c r="AM30" s="97">
        <f t="shared" si="13"/>
        <v>105.85350819333499</v>
      </c>
      <c r="AN30" s="97">
        <f t="shared" si="13"/>
        <v>104.46069887500164</v>
      </c>
      <c r="AO30" s="97">
        <f t="shared" si="13"/>
        <v>103.06788955666828</v>
      </c>
      <c r="AP30" s="97">
        <f t="shared" si="13"/>
        <v>101.67508023833493</v>
      </c>
      <c r="AQ30" s="97">
        <f t="shared" si="13"/>
        <v>100.28227092000157</v>
      </c>
      <c r="AR30" s="97">
        <f t="shared" si="13"/>
        <v>98.889461601668216</v>
      </c>
      <c r="AS30" s="97">
        <f t="shared" si="13"/>
        <v>97.496652283334853</v>
      </c>
      <c r="AT30" s="97">
        <f t="shared" si="13"/>
        <v>96.10384296500149</v>
      </c>
      <c r="AU30" s="97">
        <f t="shared" si="13"/>
        <v>94.711033646668142</v>
      </c>
      <c r="AV30" s="97">
        <f t="shared" si="13"/>
        <v>93.318224328334779</v>
      </c>
    </row>
    <row r="31" spans="1:48">
      <c r="A31" s="199" t="s">
        <v>16</v>
      </c>
      <c r="B31" s="283" t="s">
        <v>488</v>
      </c>
      <c r="D31" s="95" t="s">
        <v>71</v>
      </c>
      <c r="I31" s="165"/>
      <c r="J31" s="97">
        <f>J23-J30</f>
        <v>0</v>
      </c>
      <c r="K31" s="97">
        <f t="shared" ref="K31:AV31" si="14">K23-K30</f>
        <v>0</v>
      </c>
      <c r="L31" s="97">
        <f t="shared" si="14"/>
        <v>0</v>
      </c>
      <c r="M31" s="97">
        <f t="shared" si="14"/>
        <v>0</v>
      </c>
      <c r="N31" s="97">
        <f t="shared" si="14"/>
        <v>0</v>
      </c>
      <c r="O31" s="97">
        <f t="shared" si="14"/>
        <v>0</v>
      </c>
      <c r="P31" s="97">
        <f t="shared" si="14"/>
        <v>2.6868601117016055</v>
      </c>
      <c r="Q31" s="97">
        <f t="shared" si="14"/>
        <v>5.6485729627307535</v>
      </c>
      <c r="R31" s="97">
        <f t="shared" si="14"/>
        <v>7.0413822810641022</v>
      </c>
      <c r="S31" s="97">
        <f t="shared" si="14"/>
        <v>11.040709668987773</v>
      </c>
      <c r="T31" s="97">
        <f t="shared" si="14"/>
        <v>14.748876783070727</v>
      </c>
      <c r="U31" s="97">
        <f t="shared" si="14"/>
        <v>18.600244585220565</v>
      </c>
      <c r="V31" s="97">
        <f t="shared" si="14"/>
        <v>22.771951500530832</v>
      </c>
      <c r="W31" s="97">
        <f t="shared" si="14"/>
        <v>27.134267320407702</v>
      </c>
      <c r="X31" s="97">
        <f t="shared" si="14"/>
        <v>31.781363815391117</v>
      </c>
      <c r="Y31" s="97">
        <f t="shared" si="14"/>
        <v>36.608784130380059</v>
      </c>
      <c r="Z31" s="97">
        <f t="shared" si="14"/>
        <v>41.632739804781721</v>
      </c>
      <c r="AA31" s="97">
        <f t="shared" si="14"/>
        <v>47.024183915737879</v>
      </c>
      <c r="AB31" s="97">
        <f t="shared" si="14"/>
        <v>52.55677447797153</v>
      </c>
      <c r="AC31" s="97">
        <f t="shared" si="14"/>
        <v>58.076130727242884</v>
      </c>
      <c r="AD31" s="97">
        <f t="shared" si="14"/>
        <v>63.758212366439707</v>
      </c>
      <c r="AE31" s="97">
        <f t="shared" si="14"/>
        <v>69.562813155354789</v>
      </c>
      <c r="AF31" s="97">
        <f t="shared" si="14"/>
        <v>75.504306807063102</v>
      </c>
      <c r="AG31" s="97">
        <f t="shared" si="14"/>
        <v>81.30509839964256</v>
      </c>
      <c r="AH31" s="97">
        <f t="shared" si="14"/>
        <v>87.182526848881665</v>
      </c>
      <c r="AI31" s="97">
        <f t="shared" si="14"/>
        <v>93.442603432661954</v>
      </c>
      <c r="AJ31" s="97">
        <f t="shared" si="14"/>
        <v>99.912345676747464</v>
      </c>
      <c r="AK31" s="97">
        <f t="shared" si="14"/>
        <v>106.54361293840083</v>
      </c>
      <c r="AL31" s="97">
        <f t="shared" si="14"/>
        <v>113.27626555040489</v>
      </c>
      <c r="AM31" s="97">
        <f t="shared" si="14"/>
        <v>120.78286366928788</v>
      </c>
      <c r="AN31" s="97">
        <f t="shared" si="14"/>
        <v>128.08903863575563</v>
      </c>
      <c r="AO31" s="97">
        <f t="shared" si="14"/>
        <v>135.21213908427654</v>
      </c>
      <c r="AP31" s="97">
        <f t="shared" si="14"/>
        <v>142.16717726125347</v>
      </c>
      <c r="AQ31" s="97">
        <f t="shared" si="14"/>
        <v>148.96724483354896</v>
      </c>
      <c r="AR31" s="97">
        <f t="shared" si="14"/>
        <v>157.01322994799995</v>
      </c>
      <c r="AS31" s="97">
        <f t="shared" si="14"/>
        <v>164.84876168620866</v>
      </c>
      <c r="AT31" s="97">
        <f t="shared" si="14"/>
        <v>172.49145213234226</v>
      </c>
      <c r="AU31" s="97">
        <f t="shared" si="14"/>
        <v>179.95661622794196</v>
      </c>
      <c r="AV31" s="97">
        <f t="shared" si="14"/>
        <v>187.89286053678694</v>
      </c>
    </row>
    <row r="32" spans="1:48">
      <c r="A32" s="199" t="s">
        <v>16</v>
      </c>
      <c r="B32" s="283"/>
      <c r="I32" s="165"/>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row>
    <row r="33" spans="1:48">
      <c r="A33" s="199" t="s">
        <v>16</v>
      </c>
      <c r="B33" s="286" t="s">
        <v>495</v>
      </c>
      <c r="C33" s="178"/>
      <c r="D33" s="178"/>
      <c r="I33" s="165"/>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row>
    <row r="34" spans="1:48">
      <c r="A34" s="199" t="s">
        <v>16</v>
      </c>
      <c r="B34" s="283" t="s">
        <v>489</v>
      </c>
      <c r="D34" s="95" t="s">
        <v>71</v>
      </c>
      <c r="I34" s="165"/>
      <c r="J34" s="97">
        <f>SUM(J30:J31)*$C$27</f>
        <v>26.563097999999997</v>
      </c>
      <c r="K34" s="97">
        <f t="shared" ref="K34:AV34" si="15">SUM(K30:K31)*$C$27</f>
        <v>26.801575</v>
      </c>
      <c r="L34" s="97">
        <f t="shared" si="15"/>
        <v>27.119770200000001</v>
      </c>
      <c r="M34" s="97">
        <f t="shared" si="15"/>
        <v>27.398843200000002</v>
      </c>
      <c r="N34" s="97">
        <f t="shared" si="15"/>
        <v>27.665647200000002</v>
      </c>
      <c r="O34" s="97">
        <f t="shared" si="15"/>
        <v>27.856186366667114</v>
      </c>
      <c r="P34" s="237">
        <f t="shared" si="15"/>
        <v>28.114996525340764</v>
      </c>
      <c r="Q34" s="97">
        <f t="shared" si="15"/>
        <v>28.42877723187992</v>
      </c>
      <c r="R34" s="97">
        <f t="shared" si="15"/>
        <v>28.42877723187992</v>
      </c>
      <c r="S34" s="97">
        <f t="shared" si="15"/>
        <v>28.950080845797984</v>
      </c>
      <c r="T34" s="97">
        <f t="shared" si="15"/>
        <v>29.413152404947905</v>
      </c>
      <c r="U34" s="97">
        <f t="shared" si="15"/>
        <v>29.904864101711198</v>
      </c>
      <c r="V34" s="97">
        <f t="shared" si="15"/>
        <v>30.460643621106581</v>
      </c>
      <c r="W34" s="97">
        <f t="shared" si="15"/>
        <v>31.054544921415285</v>
      </c>
      <c r="X34" s="97">
        <f t="shared" si="15"/>
        <v>31.705402356745296</v>
      </c>
      <c r="Y34" s="97">
        <f t="shared" si="15"/>
        <v>32.39232455607641</v>
      </c>
      <c r="Z34" s="97">
        <f t="shared" si="15"/>
        <v>33.118553827290071</v>
      </c>
      <c r="AA34" s="97">
        <f t="shared" si="15"/>
        <v>33.91828078581463</v>
      </c>
      <c r="AB34" s="97">
        <f t="shared" si="15"/>
        <v>34.746237034594692</v>
      </c>
      <c r="AC34" s="97">
        <f t="shared" si="15"/>
        <v>35.57154642078229</v>
      </c>
      <c r="AD34" s="97">
        <f t="shared" si="15"/>
        <v>36.42940088495498</v>
      </c>
      <c r="AE34" s="97">
        <f t="shared" si="15"/>
        <v>37.311759179071331</v>
      </c>
      <c r="AF34" s="97">
        <f t="shared" si="15"/>
        <v>38.221496045746321</v>
      </c>
      <c r="AG34" s="97">
        <f t="shared" si="15"/>
        <v>39.103092500595544</v>
      </c>
      <c r="AH34" s="97">
        <f t="shared" si="15"/>
        <v>40.000016326776688</v>
      </c>
      <c r="AI34" s="97">
        <f t="shared" si="15"/>
        <v>40.973469779866079</v>
      </c>
      <c r="AJ34" s="97">
        <f t="shared" si="15"/>
        <v>41.98885636501651</v>
      </c>
      <c r="AK34" s="97">
        <f t="shared" si="15"/>
        <v>43.036547953680511</v>
      </c>
      <c r="AL34" s="97">
        <f t="shared" si="15"/>
        <v>44.104516612414649</v>
      </c>
      <c r="AM34" s="97">
        <f t="shared" si="15"/>
        <v>45.327274372524577</v>
      </c>
      <c r="AN34" s="97">
        <f t="shared" si="15"/>
        <v>46.509947502151455</v>
      </c>
      <c r="AO34" s="97">
        <f t="shared" si="15"/>
        <v>47.656005728188966</v>
      </c>
      <c r="AP34" s="97">
        <f t="shared" si="15"/>
        <v>48.768451499917688</v>
      </c>
      <c r="AQ34" s="97">
        <f t="shared" si="15"/>
        <v>49.849903150710105</v>
      </c>
      <c r="AR34" s="97">
        <f t="shared" si="15"/>
        <v>51.180538309933638</v>
      </c>
      <c r="AS34" s="97">
        <f t="shared" si="15"/>
        <v>52.469082793908711</v>
      </c>
      <c r="AT34" s="97">
        <f t="shared" si="15"/>
        <v>53.719059019468752</v>
      </c>
      <c r="AU34" s="97">
        <f t="shared" si="15"/>
        <v>54.933529974922024</v>
      </c>
      <c r="AV34" s="97">
        <f t="shared" si="15"/>
        <v>56.242216973024348</v>
      </c>
    </row>
    <row r="35" spans="1:48">
      <c r="A35" s="199" t="s">
        <v>16</v>
      </c>
      <c r="B35" s="283" t="s">
        <v>491</v>
      </c>
      <c r="C35" s="283"/>
      <c r="D35" s="95" t="s">
        <v>71</v>
      </c>
      <c r="E35" s="97"/>
      <c r="F35" s="97"/>
      <c r="G35" s="97"/>
      <c r="H35" s="97"/>
      <c r="I35" s="165"/>
      <c r="J35" s="97">
        <f>J30-J34*(J30/SUM(J30:J31))</f>
        <v>106.25239199999999</v>
      </c>
      <c r="K35" s="97">
        <f t="shared" ref="K35:AV35" si="16">K30-K34*(K30/SUM(K30:K31))</f>
        <v>107.20629999999998</v>
      </c>
      <c r="L35" s="97">
        <f t="shared" si="16"/>
        <v>108.47908079999999</v>
      </c>
      <c r="M35" s="97">
        <f t="shared" si="16"/>
        <v>109.59537279999999</v>
      </c>
      <c r="N35" s="97">
        <f t="shared" si="16"/>
        <v>110.66258880000001</v>
      </c>
      <c r="O35" s="97">
        <f t="shared" si="16"/>
        <v>111.42474546666844</v>
      </c>
      <c r="P35" s="237">
        <f t="shared" si="16"/>
        <v>110.31049801200177</v>
      </c>
      <c r="Q35" s="97">
        <f t="shared" si="16"/>
        <v>109.19625055733506</v>
      </c>
      <c r="R35" s="97">
        <f t="shared" si="16"/>
        <v>108.08200310266838</v>
      </c>
      <c r="S35" s="97">
        <f t="shared" si="16"/>
        <v>106.96775564800171</v>
      </c>
      <c r="T35" s="97">
        <f t="shared" si="16"/>
        <v>105.85350819333503</v>
      </c>
      <c r="U35" s="97">
        <f t="shared" si="16"/>
        <v>104.73926073866832</v>
      </c>
      <c r="V35" s="97">
        <f t="shared" si="16"/>
        <v>103.62501328400165</v>
      </c>
      <c r="W35" s="97">
        <f t="shared" si="16"/>
        <v>102.51076582933497</v>
      </c>
      <c r="X35" s="97">
        <f t="shared" si="16"/>
        <v>101.39651837466828</v>
      </c>
      <c r="Y35" s="97">
        <f t="shared" si="16"/>
        <v>100.28227092000159</v>
      </c>
      <c r="Z35" s="97">
        <f t="shared" si="16"/>
        <v>99.168023465334912</v>
      </c>
      <c r="AA35" s="97">
        <f t="shared" si="16"/>
        <v>98.053776010668216</v>
      </c>
      <c r="AB35" s="97">
        <f t="shared" si="16"/>
        <v>96.939528556001534</v>
      </c>
      <c r="AC35" s="97">
        <f t="shared" si="16"/>
        <v>95.825281101334852</v>
      </c>
      <c r="AD35" s="97">
        <f t="shared" si="16"/>
        <v>94.711033646668156</v>
      </c>
      <c r="AE35" s="97">
        <f t="shared" si="16"/>
        <v>93.596786192001474</v>
      </c>
      <c r="AF35" s="97">
        <f t="shared" si="16"/>
        <v>92.482538737334792</v>
      </c>
      <c r="AG35" s="97">
        <f t="shared" si="16"/>
        <v>91.36829128266811</v>
      </c>
      <c r="AH35" s="97">
        <f t="shared" si="16"/>
        <v>90.254043828001414</v>
      </c>
      <c r="AI35" s="97">
        <f t="shared" si="16"/>
        <v>89.139796373334747</v>
      </c>
      <c r="AJ35" s="97">
        <f t="shared" si="16"/>
        <v>88.025548918668051</v>
      </c>
      <c r="AK35" s="97">
        <f t="shared" si="16"/>
        <v>86.911301464001369</v>
      </c>
      <c r="AL35" s="97">
        <f t="shared" si="16"/>
        <v>85.797054009334687</v>
      </c>
      <c r="AM35" s="97">
        <f t="shared" si="16"/>
        <v>84.682806554667991</v>
      </c>
      <c r="AN35" s="97">
        <f t="shared" si="16"/>
        <v>83.568559100001309</v>
      </c>
      <c r="AO35" s="97">
        <f t="shared" si="16"/>
        <v>82.454311645334627</v>
      </c>
      <c r="AP35" s="97">
        <f t="shared" si="16"/>
        <v>81.340064190667945</v>
      </c>
      <c r="AQ35" s="97">
        <f t="shared" si="16"/>
        <v>80.225816736001249</v>
      </c>
      <c r="AR35" s="97">
        <f t="shared" si="16"/>
        <v>79.111569281334567</v>
      </c>
      <c r="AS35" s="97">
        <f t="shared" si="16"/>
        <v>77.997321826667886</v>
      </c>
      <c r="AT35" s="97">
        <f t="shared" si="16"/>
        <v>76.88307437200119</v>
      </c>
      <c r="AU35" s="97">
        <f t="shared" si="16"/>
        <v>75.768826917334508</v>
      </c>
      <c r="AV35" s="97">
        <f t="shared" si="16"/>
        <v>74.654579462667826</v>
      </c>
    </row>
    <row r="36" spans="1:48">
      <c r="A36" s="199" t="s">
        <v>16</v>
      </c>
      <c r="B36" s="283" t="s">
        <v>492</v>
      </c>
      <c r="C36" s="283"/>
      <c r="D36" s="95" t="s">
        <v>71</v>
      </c>
      <c r="E36" s="97"/>
      <c r="F36" s="97"/>
      <c r="G36" s="97"/>
      <c r="H36" s="97"/>
      <c r="I36" s="165"/>
      <c r="J36" s="97">
        <f>J23-J35-J34</f>
        <v>0</v>
      </c>
      <c r="K36" s="97">
        <f t="shared" ref="K36:AV36" si="17">K23-K35-K34</f>
        <v>0</v>
      </c>
      <c r="L36" s="97">
        <f t="shared" si="17"/>
        <v>0</v>
      </c>
      <c r="M36" s="97">
        <f t="shared" si="17"/>
        <v>0</v>
      </c>
      <c r="N36" s="97">
        <f t="shared" si="17"/>
        <v>0</v>
      </c>
      <c r="O36" s="97">
        <f t="shared" si="17"/>
        <v>0</v>
      </c>
      <c r="P36" s="237">
        <f t="shared" si="17"/>
        <v>2.1494880893612773</v>
      </c>
      <c r="Q36" s="97">
        <f t="shared" si="17"/>
        <v>4.5188583701846028</v>
      </c>
      <c r="R36" s="97">
        <f t="shared" si="17"/>
        <v>5.6331058248512846</v>
      </c>
      <c r="S36" s="97">
        <f t="shared" si="17"/>
        <v>8.8325677351902101</v>
      </c>
      <c r="T36" s="97">
        <f t="shared" si="17"/>
        <v>11.799101426456577</v>
      </c>
      <c r="U36" s="97">
        <f t="shared" si="17"/>
        <v>14.880195668176455</v>
      </c>
      <c r="V36" s="97">
        <f t="shared" si="17"/>
        <v>18.217561200424658</v>
      </c>
      <c r="W36" s="97">
        <f t="shared" si="17"/>
        <v>21.707413856326156</v>
      </c>
      <c r="X36" s="97">
        <f t="shared" si="17"/>
        <v>25.425091052312894</v>
      </c>
      <c r="Y36" s="97">
        <f t="shared" si="17"/>
        <v>29.28702730430404</v>
      </c>
      <c r="Z36" s="97">
        <f t="shared" si="17"/>
        <v>33.306191843825374</v>
      </c>
      <c r="AA36" s="97">
        <f t="shared" si="17"/>
        <v>37.619347132590306</v>
      </c>
      <c r="AB36" s="97">
        <f t="shared" si="17"/>
        <v>42.045419582377228</v>
      </c>
      <c r="AC36" s="97">
        <f t="shared" si="17"/>
        <v>46.460904581794303</v>
      </c>
      <c r="AD36" s="97">
        <f t="shared" si="17"/>
        <v>51.00656989315177</v>
      </c>
      <c r="AE36" s="97">
        <f t="shared" si="17"/>
        <v>55.650250524283834</v>
      </c>
      <c r="AF36" s="97">
        <f t="shared" si="17"/>
        <v>60.403445445650476</v>
      </c>
      <c r="AG36" s="97">
        <f t="shared" si="17"/>
        <v>65.044078719714037</v>
      </c>
      <c r="AH36" s="97">
        <f t="shared" si="17"/>
        <v>69.746021479105337</v>
      </c>
      <c r="AI36" s="97">
        <f t="shared" si="17"/>
        <v>74.754082746129555</v>
      </c>
      <c r="AJ36" s="97">
        <f t="shared" si="17"/>
        <v>79.929876541397959</v>
      </c>
      <c r="AK36" s="97">
        <f t="shared" si="17"/>
        <v>85.234890350720647</v>
      </c>
      <c r="AL36" s="97">
        <f t="shared" si="17"/>
        <v>90.621012440323909</v>
      </c>
      <c r="AM36" s="97">
        <f t="shared" si="17"/>
        <v>96.626290935430291</v>
      </c>
      <c r="AN36" s="97">
        <f t="shared" si="17"/>
        <v>102.4712309086045</v>
      </c>
      <c r="AO36" s="97">
        <f t="shared" si="17"/>
        <v>108.16971126742123</v>
      </c>
      <c r="AP36" s="97">
        <f t="shared" si="17"/>
        <v>113.73374180900279</v>
      </c>
      <c r="AQ36" s="97">
        <f t="shared" si="17"/>
        <v>119.17379586683919</v>
      </c>
      <c r="AR36" s="97">
        <f t="shared" si="17"/>
        <v>125.61058395839996</v>
      </c>
      <c r="AS36" s="97">
        <f t="shared" si="17"/>
        <v>131.87900934896695</v>
      </c>
      <c r="AT36" s="97">
        <f t="shared" si="17"/>
        <v>137.9931617058738</v>
      </c>
      <c r="AU36" s="97">
        <f t="shared" si="17"/>
        <v>143.96529298235356</v>
      </c>
      <c r="AV36" s="97">
        <f t="shared" si="17"/>
        <v>150.31428842942958</v>
      </c>
    </row>
    <row r="37" spans="1:48">
      <c r="A37" s="199" t="s">
        <v>16</v>
      </c>
      <c r="B37" s="283"/>
      <c r="C37" s="283"/>
      <c r="E37" s="97"/>
      <c r="F37" s="97"/>
      <c r="G37" s="97"/>
      <c r="H37" s="97"/>
      <c r="I37" s="165"/>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row>
    <row r="38" spans="1:48">
      <c r="A38" s="199" t="s">
        <v>16</v>
      </c>
      <c r="E38" s="97"/>
      <c r="F38" s="97"/>
      <c r="G38" s="97"/>
      <c r="H38" s="97"/>
      <c r="I38" s="165"/>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row>
    <row r="39" spans="1:48" ht="15.75">
      <c r="A39" s="199" t="s">
        <v>16</v>
      </c>
      <c r="B39" s="287" t="s">
        <v>493</v>
      </c>
      <c r="C39" s="283"/>
      <c r="E39" s="97"/>
      <c r="F39" s="97"/>
      <c r="G39" s="97"/>
      <c r="H39" s="97"/>
      <c r="I39" s="165"/>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row>
    <row r="40" spans="1:48">
      <c r="A40" s="199" t="s">
        <v>16</v>
      </c>
      <c r="B40" s="288" t="s">
        <v>499</v>
      </c>
      <c r="C40" s="283"/>
      <c r="E40" s="97"/>
      <c r="F40" s="97"/>
      <c r="G40" s="97"/>
      <c r="H40" s="97"/>
      <c r="I40" s="97"/>
      <c r="J40" s="96"/>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row>
    <row r="41" spans="1:48">
      <c r="A41" s="199" t="s">
        <v>16</v>
      </c>
      <c r="B41" s="98" t="s">
        <v>234</v>
      </c>
      <c r="C41" s="98"/>
      <c r="D41" s="99" t="s">
        <v>235</v>
      </c>
      <c r="E41" s="108"/>
      <c r="F41" s="108"/>
      <c r="G41" s="108"/>
      <c r="H41" s="108"/>
      <c r="I41" s="108"/>
      <c r="J41" s="109">
        <v>0</v>
      </c>
      <c r="K41" s="108">
        <f t="shared" ref="K41:AV41" si="18">K36-J36</f>
        <v>0</v>
      </c>
      <c r="L41" s="108">
        <f t="shared" si="18"/>
        <v>0</v>
      </c>
      <c r="M41" s="108">
        <f t="shared" si="18"/>
        <v>0</v>
      </c>
      <c r="N41" s="108">
        <f t="shared" si="18"/>
        <v>0</v>
      </c>
      <c r="O41" s="108">
        <f t="shared" si="18"/>
        <v>0</v>
      </c>
      <c r="P41" s="108">
        <f t="shared" si="18"/>
        <v>2.1494880893612773</v>
      </c>
      <c r="Q41" s="108">
        <f t="shared" si="18"/>
        <v>2.3693702808233255</v>
      </c>
      <c r="R41" s="108">
        <f t="shared" si="18"/>
        <v>1.1142474546666818</v>
      </c>
      <c r="S41" s="108">
        <f t="shared" si="18"/>
        <v>3.1994619103389255</v>
      </c>
      <c r="T41" s="108">
        <f t="shared" si="18"/>
        <v>2.9665336912663669</v>
      </c>
      <c r="U41" s="108">
        <f t="shared" si="18"/>
        <v>3.0810942417198781</v>
      </c>
      <c r="V41" s="108">
        <f t="shared" si="18"/>
        <v>3.337365532248203</v>
      </c>
      <c r="W41" s="108">
        <f t="shared" si="18"/>
        <v>3.4898526559014975</v>
      </c>
      <c r="X41" s="108">
        <f t="shared" si="18"/>
        <v>3.7176771959867381</v>
      </c>
      <c r="Y41" s="108">
        <f t="shared" si="18"/>
        <v>3.8619362519911462</v>
      </c>
      <c r="Z41" s="108">
        <f t="shared" si="18"/>
        <v>4.0191645395213342</v>
      </c>
      <c r="AA41" s="108">
        <f t="shared" si="18"/>
        <v>4.313155288764932</v>
      </c>
      <c r="AB41" s="108">
        <f t="shared" si="18"/>
        <v>4.4260724497869219</v>
      </c>
      <c r="AC41" s="108">
        <f t="shared" si="18"/>
        <v>4.4154849994170746</v>
      </c>
      <c r="AD41" s="108">
        <f t="shared" si="18"/>
        <v>4.5456653113574674</v>
      </c>
      <c r="AE41" s="108">
        <f t="shared" si="18"/>
        <v>4.6436806311320638</v>
      </c>
      <c r="AF41" s="108">
        <f t="shared" si="18"/>
        <v>4.7531949213666422</v>
      </c>
      <c r="AG41" s="108">
        <f t="shared" si="18"/>
        <v>4.6406332740635605</v>
      </c>
      <c r="AH41" s="108">
        <f t="shared" si="18"/>
        <v>4.7019427593913008</v>
      </c>
      <c r="AI41" s="108">
        <f t="shared" si="18"/>
        <v>5.0080612670242175</v>
      </c>
      <c r="AJ41" s="108">
        <f t="shared" si="18"/>
        <v>5.1757937952684046</v>
      </c>
      <c r="AK41" s="108">
        <f t="shared" si="18"/>
        <v>5.3050138093226877</v>
      </c>
      <c r="AL41" s="108">
        <f t="shared" si="18"/>
        <v>5.386122089603262</v>
      </c>
      <c r="AM41" s="108">
        <f t="shared" si="18"/>
        <v>6.0052784951063813</v>
      </c>
      <c r="AN41" s="108">
        <f t="shared" si="18"/>
        <v>5.8449399731742062</v>
      </c>
      <c r="AO41" s="108">
        <f t="shared" si="18"/>
        <v>5.6984803588167381</v>
      </c>
      <c r="AP41" s="108">
        <f t="shared" si="18"/>
        <v>5.564030541581559</v>
      </c>
      <c r="AQ41" s="108">
        <f t="shared" si="18"/>
        <v>5.4400540578363916</v>
      </c>
      <c r="AR41" s="108">
        <f t="shared" si="18"/>
        <v>6.4367880915607714</v>
      </c>
      <c r="AS41" s="108">
        <f t="shared" si="18"/>
        <v>6.2684253905669891</v>
      </c>
      <c r="AT41" s="108">
        <f t="shared" si="18"/>
        <v>6.1141523569068568</v>
      </c>
      <c r="AU41" s="108">
        <f t="shared" si="18"/>
        <v>5.9721312764797574</v>
      </c>
      <c r="AV41" s="108">
        <f t="shared" si="18"/>
        <v>6.348995447076021</v>
      </c>
    </row>
    <row r="42" spans="1:48">
      <c r="A42" s="199" t="s">
        <v>16</v>
      </c>
      <c r="B42" s="283" t="s">
        <v>236</v>
      </c>
      <c r="C42" s="283"/>
      <c r="E42" s="97"/>
      <c r="F42" s="97"/>
      <c r="G42" s="97"/>
      <c r="H42" s="97"/>
      <c r="I42" s="97"/>
      <c r="J42" s="96"/>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row>
    <row r="43" spans="1:48">
      <c r="A43" s="199" t="s">
        <v>16</v>
      </c>
      <c r="B43" s="288" t="str">
        <f>C14</f>
        <v>A</v>
      </c>
      <c r="C43" s="283"/>
      <c r="E43" s="97"/>
      <c r="F43" s="97"/>
      <c r="G43" s="97"/>
      <c r="H43" s="97"/>
      <c r="I43" s="179"/>
      <c r="J43" s="97">
        <f t="shared" ref="J43:S46" si="19">SUM($J$41:$AV$41*(J$4=$J$4:$AV$4)*($B43=$J$11:$AV$11))</f>
        <v>0</v>
      </c>
      <c r="K43" s="97">
        <f t="shared" si="19"/>
        <v>0</v>
      </c>
      <c r="L43" s="97">
        <f t="shared" si="19"/>
        <v>0</v>
      </c>
      <c r="M43" s="97">
        <f t="shared" si="19"/>
        <v>0</v>
      </c>
      <c r="N43" s="97">
        <f t="shared" si="19"/>
        <v>0</v>
      </c>
      <c r="O43" s="97">
        <f t="shared" si="19"/>
        <v>0</v>
      </c>
      <c r="P43" s="97">
        <f t="shared" si="19"/>
        <v>0</v>
      </c>
      <c r="Q43" s="97">
        <f t="shared" si="19"/>
        <v>0</v>
      </c>
      <c r="R43" s="97">
        <f t="shared" si="19"/>
        <v>0</v>
      </c>
      <c r="S43" s="97">
        <f t="shared" si="19"/>
        <v>0</v>
      </c>
      <c r="T43" s="97">
        <f t="shared" ref="T43:AI46" si="20">SUM($J$41:$AV$41*(T$4=$J$4:$AV$4)*($B43=$J$11:$AV$11))</f>
        <v>0</v>
      </c>
      <c r="U43" s="97">
        <f t="shared" si="20"/>
        <v>0</v>
      </c>
      <c r="V43" s="97">
        <f t="shared" si="20"/>
        <v>0</v>
      </c>
      <c r="W43" s="97">
        <f t="shared" si="20"/>
        <v>0</v>
      </c>
      <c r="X43" s="97">
        <f t="shared" si="20"/>
        <v>0</v>
      </c>
      <c r="Y43" s="97">
        <f t="shared" si="20"/>
        <v>0</v>
      </c>
      <c r="Z43" s="97">
        <f t="shared" si="20"/>
        <v>0</v>
      </c>
      <c r="AA43" s="97">
        <f t="shared" si="20"/>
        <v>0</v>
      </c>
      <c r="AB43" s="97">
        <f t="shared" si="20"/>
        <v>0</v>
      </c>
      <c r="AC43" s="97">
        <f t="shared" si="20"/>
        <v>0</v>
      </c>
      <c r="AD43" s="97">
        <f t="shared" si="20"/>
        <v>0</v>
      </c>
      <c r="AE43" s="97">
        <f t="shared" si="20"/>
        <v>0</v>
      </c>
      <c r="AF43" s="97">
        <f t="shared" si="20"/>
        <v>0</v>
      </c>
      <c r="AG43" s="97">
        <f t="shared" si="20"/>
        <v>0</v>
      </c>
      <c r="AH43" s="97">
        <f t="shared" si="20"/>
        <v>0</v>
      </c>
      <c r="AI43" s="97">
        <f t="shared" si="20"/>
        <v>0</v>
      </c>
      <c r="AJ43" s="97">
        <f t="shared" ref="AJ43:AV46" si="21">SUM($J$41:$AV$41*(AJ$4=$J$4:$AV$4)*($B43=$J$11:$AV$11))</f>
        <v>0</v>
      </c>
      <c r="AK43" s="97">
        <f t="shared" si="21"/>
        <v>0</v>
      </c>
      <c r="AL43" s="97">
        <f t="shared" si="21"/>
        <v>0</v>
      </c>
      <c r="AM43" s="97">
        <f t="shared" si="21"/>
        <v>0</v>
      </c>
      <c r="AN43" s="97">
        <f t="shared" si="21"/>
        <v>0</v>
      </c>
      <c r="AO43" s="97">
        <f t="shared" si="21"/>
        <v>0</v>
      </c>
      <c r="AP43" s="97">
        <f t="shared" si="21"/>
        <v>0</v>
      </c>
      <c r="AQ43" s="97">
        <f t="shared" si="21"/>
        <v>0</v>
      </c>
      <c r="AR43" s="97">
        <f t="shared" si="21"/>
        <v>0</v>
      </c>
      <c r="AS43" s="97">
        <f t="shared" si="21"/>
        <v>0</v>
      </c>
      <c r="AT43" s="97">
        <f t="shared" si="21"/>
        <v>0</v>
      </c>
      <c r="AU43" s="97">
        <f t="shared" si="21"/>
        <v>0</v>
      </c>
      <c r="AV43" s="97">
        <f t="shared" si="21"/>
        <v>0</v>
      </c>
    </row>
    <row r="44" spans="1:48">
      <c r="A44" s="199" t="s">
        <v>16</v>
      </c>
      <c r="B44" s="288" t="str">
        <f>C15</f>
        <v>B</v>
      </c>
      <c r="C44" s="283"/>
      <c r="E44" s="97"/>
      <c r="F44" s="97"/>
      <c r="G44" s="97"/>
      <c r="H44" s="97"/>
      <c r="I44" s="179"/>
      <c r="J44" s="97">
        <f t="shared" si="19"/>
        <v>0</v>
      </c>
      <c r="K44" s="97">
        <f t="shared" si="19"/>
        <v>0</v>
      </c>
      <c r="L44" s="97">
        <f t="shared" si="19"/>
        <v>0</v>
      </c>
      <c r="M44" s="97">
        <f t="shared" si="19"/>
        <v>0</v>
      </c>
      <c r="N44" s="97">
        <f t="shared" si="19"/>
        <v>0</v>
      </c>
      <c r="O44" s="97">
        <f t="shared" si="19"/>
        <v>0</v>
      </c>
      <c r="P44" s="97">
        <f t="shared" si="19"/>
        <v>2.1494880893612773</v>
      </c>
      <c r="Q44" s="97">
        <f t="shared" si="19"/>
        <v>2.3693702808233255</v>
      </c>
      <c r="R44" s="97">
        <f t="shared" si="19"/>
        <v>1.1142474546666818</v>
      </c>
      <c r="S44" s="97">
        <f t="shared" si="19"/>
        <v>3.1994619103389255</v>
      </c>
      <c r="T44" s="97">
        <f t="shared" si="20"/>
        <v>2.9665336912663669</v>
      </c>
      <c r="U44" s="97">
        <f t="shared" si="20"/>
        <v>3.0810942417198781</v>
      </c>
      <c r="V44" s="97">
        <f t="shared" si="20"/>
        <v>3.337365532248203</v>
      </c>
      <c r="W44" s="97">
        <f t="shared" si="20"/>
        <v>3.4898526559014975</v>
      </c>
      <c r="X44" s="97">
        <f t="shared" si="20"/>
        <v>3.7176771959867381</v>
      </c>
      <c r="Y44" s="97">
        <f t="shared" si="20"/>
        <v>3.8619362519911462</v>
      </c>
      <c r="Z44" s="97">
        <f t="shared" si="20"/>
        <v>4.0191645395213342</v>
      </c>
      <c r="AA44" s="97">
        <f t="shared" si="20"/>
        <v>4.313155288764932</v>
      </c>
      <c r="AB44" s="97">
        <f t="shared" si="20"/>
        <v>4.4260724497869219</v>
      </c>
      <c r="AC44" s="97">
        <f t="shared" si="20"/>
        <v>0</v>
      </c>
      <c r="AD44" s="97">
        <f t="shared" si="20"/>
        <v>0</v>
      </c>
      <c r="AE44" s="97">
        <f t="shared" si="20"/>
        <v>0</v>
      </c>
      <c r="AF44" s="97">
        <f t="shared" si="20"/>
        <v>0</v>
      </c>
      <c r="AG44" s="97">
        <f t="shared" si="20"/>
        <v>0</v>
      </c>
      <c r="AH44" s="97">
        <f t="shared" si="20"/>
        <v>0</v>
      </c>
      <c r="AI44" s="97">
        <f t="shared" si="20"/>
        <v>0</v>
      </c>
      <c r="AJ44" s="97">
        <f t="shared" si="21"/>
        <v>0</v>
      </c>
      <c r="AK44" s="97">
        <f t="shared" si="21"/>
        <v>0</v>
      </c>
      <c r="AL44" s="97">
        <f t="shared" si="21"/>
        <v>0</v>
      </c>
      <c r="AM44" s="97">
        <f t="shared" si="21"/>
        <v>0</v>
      </c>
      <c r="AN44" s="97">
        <f t="shared" si="21"/>
        <v>0</v>
      </c>
      <c r="AO44" s="97">
        <f t="shared" si="21"/>
        <v>0</v>
      </c>
      <c r="AP44" s="97">
        <f t="shared" si="21"/>
        <v>0</v>
      </c>
      <c r="AQ44" s="97">
        <f t="shared" si="21"/>
        <v>0</v>
      </c>
      <c r="AR44" s="97">
        <f t="shared" si="21"/>
        <v>0</v>
      </c>
      <c r="AS44" s="97">
        <f t="shared" si="21"/>
        <v>0</v>
      </c>
      <c r="AT44" s="97">
        <f t="shared" si="21"/>
        <v>0</v>
      </c>
      <c r="AU44" s="97">
        <f t="shared" si="21"/>
        <v>0</v>
      </c>
      <c r="AV44" s="97">
        <f t="shared" si="21"/>
        <v>0</v>
      </c>
    </row>
    <row r="45" spans="1:48">
      <c r="A45" s="199" t="s">
        <v>16</v>
      </c>
      <c r="B45" s="288" t="str">
        <f>C16</f>
        <v>C</v>
      </c>
      <c r="C45" s="283"/>
      <c r="E45" s="97"/>
      <c r="F45" s="97"/>
      <c r="G45" s="97"/>
      <c r="H45" s="97"/>
      <c r="I45" s="179"/>
      <c r="J45" s="97">
        <f t="shared" si="19"/>
        <v>0</v>
      </c>
      <c r="K45" s="97">
        <f t="shared" si="19"/>
        <v>0</v>
      </c>
      <c r="L45" s="97">
        <f t="shared" si="19"/>
        <v>0</v>
      </c>
      <c r="M45" s="97">
        <f t="shared" si="19"/>
        <v>0</v>
      </c>
      <c r="N45" s="97">
        <f t="shared" si="19"/>
        <v>0</v>
      </c>
      <c r="O45" s="97">
        <f t="shared" si="19"/>
        <v>0</v>
      </c>
      <c r="P45" s="97">
        <f t="shared" si="19"/>
        <v>0</v>
      </c>
      <c r="Q45" s="97">
        <f t="shared" si="19"/>
        <v>0</v>
      </c>
      <c r="R45" s="97">
        <f t="shared" si="19"/>
        <v>0</v>
      </c>
      <c r="S45" s="97">
        <f t="shared" si="19"/>
        <v>0</v>
      </c>
      <c r="T45" s="97">
        <f t="shared" si="20"/>
        <v>0</v>
      </c>
      <c r="U45" s="97">
        <f t="shared" si="20"/>
        <v>0</v>
      </c>
      <c r="V45" s="97">
        <f t="shared" si="20"/>
        <v>0</v>
      </c>
      <c r="W45" s="97">
        <f t="shared" si="20"/>
        <v>0</v>
      </c>
      <c r="X45" s="97">
        <f t="shared" si="20"/>
        <v>0</v>
      </c>
      <c r="Y45" s="97">
        <f t="shared" si="20"/>
        <v>0</v>
      </c>
      <c r="Z45" s="97">
        <f t="shared" si="20"/>
        <v>0</v>
      </c>
      <c r="AA45" s="97">
        <f t="shared" si="20"/>
        <v>0</v>
      </c>
      <c r="AB45" s="97">
        <f t="shared" si="20"/>
        <v>0</v>
      </c>
      <c r="AC45" s="97">
        <f t="shared" si="20"/>
        <v>4.4154849994170746</v>
      </c>
      <c r="AD45" s="97">
        <f t="shared" si="20"/>
        <v>4.5456653113574674</v>
      </c>
      <c r="AE45" s="97">
        <f t="shared" si="20"/>
        <v>4.6436806311320638</v>
      </c>
      <c r="AF45" s="97">
        <f t="shared" si="20"/>
        <v>4.7531949213666422</v>
      </c>
      <c r="AG45" s="97">
        <f t="shared" si="20"/>
        <v>4.6406332740635605</v>
      </c>
      <c r="AH45" s="97">
        <f t="shared" si="20"/>
        <v>4.7019427593913008</v>
      </c>
      <c r="AI45" s="97">
        <f t="shared" si="20"/>
        <v>5.0080612670242175</v>
      </c>
      <c r="AJ45" s="97">
        <f t="shared" si="21"/>
        <v>5.1757937952684046</v>
      </c>
      <c r="AK45" s="97">
        <f t="shared" si="21"/>
        <v>5.3050138093226877</v>
      </c>
      <c r="AL45" s="97">
        <f t="shared" si="21"/>
        <v>5.386122089603262</v>
      </c>
      <c r="AM45" s="97">
        <f t="shared" si="21"/>
        <v>0</v>
      </c>
      <c r="AN45" s="97">
        <f t="shared" si="21"/>
        <v>0</v>
      </c>
      <c r="AO45" s="97">
        <f t="shared" si="21"/>
        <v>0</v>
      </c>
      <c r="AP45" s="97">
        <f t="shared" si="21"/>
        <v>0</v>
      </c>
      <c r="AQ45" s="97">
        <f t="shared" si="21"/>
        <v>0</v>
      </c>
      <c r="AR45" s="97">
        <f t="shared" si="21"/>
        <v>0</v>
      </c>
      <c r="AS45" s="97">
        <f t="shared" si="21"/>
        <v>0</v>
      </c>
      <c r="AT45" s="97">
        <f t="shared" si="21"/>
        <v>0</v>
      </c>
      <c r="AU45" s="97">
        <f t="shared" si="21"/>
        <v>0</v>
      </c>
      <c r="AV45" s="97">
        <f t="shared" si="21"/>
        <v>0</v>
      </c>
    </row>
    <row r="46" spans="1:48">
      <c r="A46" s="199" t="s">
        <v>16</v>
      </c>
      <c r="B46" s="288" t="str">
        <f>C17</f>
        <v>D</v>
      </c>
      <c r="C46" s="283"/>
      <c r="E46" s="97"/>
      <c r="F46" s="97"/>
      <c r="G46" s="97"/>
      <c r="H46" s="97"/>
      <c r="I46" s="179"/>
      <c r="J46" s="97">
        <f t="shared" si="19"/>
        <v>0</v>
      </c>
      <c r="K46" s="97">
        <f t="shared" si="19"/>
        <v>0</v>
      </c>
      <c r="L46" s="97">
        <f t="shared" si="19"/>
        <v>0</v>
      </c>
      <c r="M46" s="97">
        <f t="shared" si="19"/>
        <v>0</v>
      </c>
      <c r="N46" s="97">
        <f t="shared" si="19"/>
        <v>0</v>
      </c>
      <c r="O46" s="97">
        <f t="shared" si="19"/>
        <v>0</v>
      </c>
      <c r="P46" s="97">
        <f t="shared" si="19"/>
        <v>0</v>
      </c>
      <c r="Q46" s="97">
        <f t="shared" si="19"/>
        <v>0</v>
      </c>
      <c r="R46" s="97">
        <f t="shared" si="19"/>
        <v>0</v>
      </c>
      <c r="S46" s="97">
        <f t="shared" si="19"/>
        <v>0</v>
      </c>
      <c r="T46" s="97">
        <f t="shared" si="20"/>
        <v>0</v>
      </c>
      <c r="U46" s="97">
        <f t="shared" si="20"/>
        <v>0</v>
      </c>
      <c r="V46" s="97">
        <f t="shared" si="20"/>
        <v>0</v>
      </c>
      <c r="W46" s="97">
        <f t="shared" si="20"/>
        <v>0</v>
      </c>
      <c r="X46" s="97">
        <f t="shared" si="20"/>
        <v>0</v>
      </c>
      <c r="Y46" s="97">
        <f t="shared" si="20"/>
        <v>0</v>
      </c>
      <c r="Z46" s="97">
        <f t="shared" si="20"/>
        <v>0</v>
      </c>
      <c r="AA46" s="97">
        <f t="shared" si="20"/>
        <v>0</v>
      </c>
      <c r="AB46" s="97">
        <f t="shared" si="20"/>
        <v>0</v>
      </c>
      <c r="AC46" s="97">
        <f t="shared" si="20"/>
        <v>0</v>
      </c>
      <c r="AD46" s="97">
        <f t="shared" si="20"/>
        <v>0</v>
      </c>
      <c r="AE46" s="97">
        <f t="shared" si="20"/>
        <v>0</v>
      </c>
      <c r="AF46" s="97">
        <f t="shared" si="20"/>
        <v>0</v>
      </c>
      <c r="AG46" s="97">
        <f t="shared" si="20"/>
        <v>0</v>
      </c>
      <c r="AH46" s="97">
        <f t="shared" si="20"/>
        <v>0</v>
      </c>
      <c r="AI46" s="97">
        <f t="shared" si="20"/>
        <v>0</v>
      </c>
      <c r="AJ46" s="97">
        <f t="shared" si="21"/>
        <v>0</v>
      </c>
      <c r="AK46" s="97">
        <f t="shared" si="21"/>
        <v>0</v>
      </c>
      <c r="AL46" s="97">
        <f t="shared" si="21"/>
        <v>0</v>
      </c>
      <c r="AM46" s="97">
        <f t="shared" si="21"/>
        <v>6.0052784951063813</v>
      </c>
      <c r="AN46" s="97">
        <f t="shared" si="21"/>
        <v>5.8449399731742062</v>
      </c>
      <c r="AO46" s="97">
        <f t="shared" si="21"/>
        <v>5.6984803588167381</v>
      </c>
      <c r="AP46" s="97">
        <f t="shared" si="21"/>
        <v>5.564030541581559</v>
      </c>
      <c r="AQ46" s="97">
        <f t="shared" si="21"/>
        <v>5.4400540578363916</v>
      </c>
      <c r="AR46" s="97">
        <f t="shared" si="21"/>
        <v>6.4367880915607714</v>
      </c>
      <c r="AS46" s="97">
        <f t="shared" si="21"/>
        <v>6.2684253905669891</v>
      </c>
      <c r="AT46" s="97">
        <f t="shared" si="21"/>
        <v>6.1141523569068568</v>
      </c>
      <c r="AU46" s="97">
        <f t="shared" si="21"/>
        <v>5.9721312764797574</v>
      </c>
      <c r="AV46" s="97">
        <f t="shared" si="21"/>
        <v>6.348995447076021</v>
      </c>
    </row>
    <row r="47" spans="1:48">
      <c r="A47" s="199" t="s">
        <v>16</v>
      </c>
      <c r="B47" s="283"/>
      <c r="C47" s="283"/>
      <c r="E47" s="97"/>
      <c r="F47" s="97"/>
      <c r="G47" s="97"/>
      <c r="H47" s="97"/>
      <c r="I47" s="179"/>
      <c r="J47" s="97"/>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c r="AO47" s="97"/>
      <c r="AP47" s="97"/>
      <c r="AQ47" s="97"/>
      <c r="AR47" s="97"/>
      <c r="AS47" s="97"/>
      <c r="AT47" s="97"/>
      <c r="AU47" s="97"/>
      <c r="AV47" s="97"/>
    </row>
    <row r="48" spans="1:48">
      <c r="A48" s="199" t="s">
        <v>16</v>
      </c>
      <c r="B48" s="288" t="s">
        <v>237</v>
      </c>
      <c r="C48" s="283"/>
      <c r="E48" s="97"/>
      <c r="F48" s="97"/>
      <c r="G48" s="97"/>
      <c r="H48" s="97"/>
      <c r="I48" s="179"/>
      <c r="J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c r="AM48" s="97"/>
      <c r="AN48" s="97"/>
      <c r="AO48" s="97"/>
      <c r="AP48" s="97"/>
      <c r="AQ48" s="97"/>
      <c r="AR48" s="97"/>
      <c r="AS48" s="97"/>
      <c r="AT48" s="97"/>
      <c r="AU48" s="97"/>
      <c r="AV48" s="97"/>
    </row>
    <row r="49" spans="1:48">
      <c r="A49" s="199" t="s">
        <v>16</v>
      </c>
      <c r="B49" s="288" t="str">
        <f>B43</f>
        <v>A</v>
      </c>
      <c r="C49" s="283"/>
      <c r="E49" s="97"/>
      <c r="F49" s="97"/>
      <c r="G49" s="97"/>
      <c r="H49" s="97"/>
      <c r="I49" s="179" t="str">
        <f>B43</f>
        <v>A</v>
      </c>
      <c r="J49" s="97">
        <f>J36</f>
        <v>0</v>
      </c>
      <c r="K49" s="97">
        <f t="shared" ref="K49:AV52" si="22">J49+K43</f>
        <v>0</v>
      </c>
      <c r="L49" s="97">
        <f t="shared" si="22"/>
        <v>0</v>
      </c>
      <c r="M49" s="97">
        <f t="shared" si="22"/>
        <v>0</v>
      </c>
      <c r="N49" s="97">
        <f t="shared" si="22"/>
        <v>0</v>
      </c>
      <c r="O49" s="97">
        <f t="shared" si="22"/>
        <v>0</v>
      </c>
      <c r="P49" s="97">
        <f t="shared" si="22"/>
        <v>0</v>
      </c>
      <c r="Q49" s="97">
        <f t="shared" si="22"/>
        <v>0</v>
      </c>
      <c r="R49" s="97">
        <f t="shared" si="22"/>
        <v>0</v>
      </c>
      <c r="S49" s="97">
        <f t="shared" si="22"/>
        <v>0</v>
      </c>
      <c r="T49" s="97">
        <f t="shared" si="22"/>
        <v>0</v>
      </c>
      <c r="U49" s="97">
        <f t="shared" si="22"/>
        <v>0</v>
      </c>
      <c r="V49" s="97">
        <f t="shared" si="22"/>
        <v>0</v>
      </c>
      <c r="W49" s="97">
        <f t="shared" si="22"/>
        <v>0</v>
      </c>
      <c r="X49" s="97">
        <f t="shared" si="22"/>
        <v>0</v>
      </c>
      <c r="Y49" s="97">
        <f t="shared" si="22"/>
        <v>0</v>
      </c>
      <c r="Z49" s="97">
        <f t="shared" si="22"/>
        <v>0</v>
      </c>
      <c r="AA49" s="97">
        <f t="shared" si="22"/>
        <v>0</v>
      </c>
      <c r="AB49" s="97">
        <f t="shared" si="22"/>
        <v>0</v>
      </c>
      <c r="AC49" s="97">
        <f t="shared" si="22"/>
        <v>0</v>
      </c>
      <c r="AD49" s="97">
        <f t="shared" si="22"/>
        <v>0</v>
      </c>
      <c r="AE49" s="97">
        <f t="shared" si="22"/>
        <v>0</v>
      </c>
      <c r="AF49" s="97">
        <f t="shared" si="22"/>
        <v>0</v>
      </c>
      <c r="AG49" s="97">
        <f t="shared" si="22"/>
        <v>0</v>
      </c>
      <c r="AH49" s="97">
        <f t="shared" si="22"/>
        <v>0</v>
      </c>
      <c r="AI49" s="97">
        <f t="shared" si="22"/>
        <v>0</v>
      </c>
      <c r="AJ49" s="97">
        <f t="shared" si="22"/>
        <v>0</v>
      </c>
      <c r="AK49" s="97">
        <f t="shared" si="22"/>
        <v>0</v>
      </c>
      <c r="AL49" s="97">
        <f t="shared" si="22"/>
        <v>0</v>
      </c>
      <c r="AM49" s="97">
        <f t="shared" si="22"/>
        <v>0</v>
      </c>
      <c r="AN49" s="97">
        <f t="shared" si="22"/>
        <v>0</v>
      </c>
      <c r="AO49" s="97">
        <f t="shared" si="22"/>
        <v>0</v>
      </c>
      <c r="AP49" s="97">
        <f t="shared" si="22"/>
        <v>0</v>
      </c>
      <c r="AQ49" s="97">
        <f t="shared" si="22"/>
        <v>0</v>
      </c>
      <c r="AR49" s="97">
        <f t="shared" si="22"/>
        <v>0</v>
      </c>
      <c r="AS49" s="97">
        <f t="shared" si="22"/>
        <v>0</v>
      </c>
      <c r="AT49" s="97">
        <f t="shared" si="22"/>
        <v>0</v>
      </c>
      <c r="AU49" s="97">
        <f t="shared" si="22"/>
        <v>0</v>
      </c>
      <c r="AV49" s="97">
        <f t="shared" si="22"/>
        <v>0</v>
      </c>
    </row>
    <row r="50" spans="1:48">
      <c r="A50" s="199" t="s">
        <v>16</v>
      </c>
      <c r="B50" s="288" t="str">
        <f>B44</f>
        <v>B</v>
      </c>
      <c r="C50" s="283"/>
      <c r="E50" s="97"/>
      <c r="F50" s="97"/>
      <c r="G50" s="97"/>
      <c r="H50" s="97"/>
      <c r="I50" s="179" t="str">
        <f>B44</f>
        <v>B</v>
      </c>
      <c r="J50" s="97">
        <v>0</v>
      </c>
      <c r="K50" s="97">
        <f t="shared" si="22"/>
        <v>0</v>
      </c>
      <c r="L50" s="97">
        <f t="shared" si="22"/>
        <v>0</v>
      </c>
      <c r="M50" s="97">
        <f t="shared" si="22"/>
        <v>0</v>
      </c>
      <c r="N50" s="97">
        <f t="shared" si="22"/>
        <v>0</v>
      </c>
      <c r="O50" s="97">
        <f t="shared" si="22"/>
        <v>0</v>
      </c>
      <c r="P50" s="97">
        <f t="shared" si="22"/>
        <v>2.1494880893612773</v>
      </c>
      <c r="Q50" s="97">
        <f t="shared" si="22"/>
        <v>4.5188583701846028</v>
      </c>
      <c r="R50" s="97">
        <f t="shared" si="22"/>
        <v>5.6331058248512846</v>
      </c>
      <c r="S50" s="97">
        <f t="shared" si="22"/>
        <v>8.8325677351902101</v>
      </c>
      <c r="T50" s="97">
        <f t="shared" si="22"/>
        <v>11.799101426456577</v>
      </c>
      <c r="U50" s="97">
        <f t="shared" si="22"/>
        <v>14.880195668176455</v>
      </c>
      <c r="V50" s="97">
        <f t="shared" si="22"/>
        <v>18.217561200424658</v>
      </c>
      <c r="W50" s="97">
        <f t="shared" si="22"/>
        <v>21.707413856326156</v>
      </c>
      <c r="X50" s="97">
        <f t="shared" si="22"/>
        <v>25.425091052312894</v>
      </c>
      <c r="Y50" s="97">
        <f t="shared" si="22"/>
        <v>29.28702730430404</v>
      </c>
      <c r="Z50" s="97">
        <f t="shared" si="22"/>
        <v>33.306191843825374</v>
      </c>
      <c r="AA50" s="97">
        <f t="shared" si="22"/>
        <v>37.619347132590306</v>
      </c>
      <c r="AB50" s="97">
        <f t="shared" si="22"/>
        <v>42.045419582377228</v>
      </c>
      <c r="AC50" s="97">
        <f t="shared" si="22"/>
        <v>42.045419582377228</v>
      </c>
      <c r="AD50" s="97">
        <f t="shared" si="22"/>
        <v>42.045419582377228</v>
      </c>
      <c r="AE50" s="97">
        <f t="shared" si="22"/>
        <v>42.045419582377228</v>
      </c>
      <c r="AF50" s="97">
        <f t="shared" si="22"/>
        <v>42.045419582377228</v>
      </c>
      <c r="AG50" s="97">
        <f t="shared" si="22"/>
        <v>42.045419582377228</v>
      </c>
      <c r="AH50" s="97">
        <f t="shared" si="22"/>
        <v>42.045419582377228</v>
      </c>
      <c r="AI50" s="97">
        <f t="shared" si="22"/>
        <v>42.045419582377228</v>
      </c>
      <c r="AJ50" s="97">
        <f t="shared" si="22"/>
        <v>42.045419582377228</v>
      </c>
      <c r="AK50" s="97">
        <f t="shared" si="22"/>
        <v>42.045419582377228</v>
      </c>
      <c r="AL50" s="97">
        <f t="shared" si="22"/>
        <v>42.045419582377228</v>
      </c>
      <c r="AM50" s="97">
        <f t="shared" si="22"/>
        <v>42.045419582377228</v>
      </c>
      <c r="AN50" s="97">
        <f t="shared" si="22"/>
        <v>42.045419582377228</v>
      </c>
      <c r="AO50" s="97">
        <f t="shared" si="22"/>
        <v>42.045419582377228</v>
      </c>
      <c r="AP50" s="97">
        <f t="shared" si="22"/>
        <v>42.045419582377228</v>
      </c>
      <c r="AQ50" s="97">
        <f t="shared" si="22"/>
        <v>42.045419582377228</v>
      </c>
      <c r="AR50" s="97">
        <f t="shared" si="22"/>
        <v>42.045419582377228</v>
      </c>
      <c r="AS50" s="97">
        <f t="shared" si="22"/>
        <v>42.045419582377228</v>
      </c>
      <c r="AT50" s="97">
        <f t="shared" si="22"/>
        <v>42.045419582377228</v>
      </c>
      <c r="AU50" s="97">
        <f t="shared" si="22"/>
        <v>42.045419582377228</v>
      </c>
      <c r="AV50" s="97">
        <f t="shared" si="22"/>
        <v>42.045419582377228</v>
      </c>
    </row>
    <row r="51" spans="1:48">
      <c r="A51" s="199" t="s">
        <v>16</v>
      </c>
      <c r="B51" s="288" t="str">
        <f>B45</f>
        <v>C</v>
      </c>
      <c r="C51" s="283"/>
      <c r="E51" s="97"/>
      <c r="F51" s="97"/>
      <c r="G51" s="97"/>
      <c r="H51" s="97"/>
      <c r="I51" s="179" t="str">
        <f>B45</f>
        <v>C</v>
      </c>
      <c r="J51" s="97">
        <v>0</v>
      </c>
      <c r="K51" s="97">
        <f t="shared" si="22"/>
        <v>0</v>
      </c>
      <c r="L51" s="97">
        <f t="shared" si="22"/>
        <v>0</v>
      </c>
      <c r="M51" s="97">
        <f t="shared" si="22"/>
        <v>0</v>
      </c>
      <c r="N51" s="97">
        <f t="shared" si="22"/>
        <v>0</v>
      </c>
      <c r="O51" s="97">
        <f t="shared" si="22"/>
        <v>0</v>
      </c>
      <c r="P51" s="97">
        <f t="shared" si="22"/>
        <v>0</v>
      </c>
      <c r="Q51" s="97">
        <f t="shared" si="22"/>
        <v>0</v>
      </c>
      <c r="R51" s="97">
        <f t="shared" si="22"/>
        <v>0</v>
      </c>
      <c r="S51" s="97">
        <f t="shared" si="22"/>
        <v>0</v>
      </c>
      <c r="T51" s="97">
        <f t="shared" si="22"/>
        <v>0</v>
      </c>
      <c r="U51" s="97">
        <f t="shared" si="22"/>
        <v>0</v>
      </c>
      <c r="V51" s="97">
        <f t="shared" si="22"/>
        <v>0</v>
      </c>
      <c r="W51" s="97">
        <f t="shared" si="22"/>
        <v>0</v>
      </c>
      <c r="X51" s="97">
        <f t="shared" si="22"/>
        <v>0</v>
      </c>
      <c r="Y51" s="97">
        <f t="shared" si="22"/>
        <v>0</v>
      </c>
      <c r="Z51" s="97">
        <f t="shared" si="22"/>
        <v>0</v>
      </c>
      <c r="AA51" s="97">
        <f t="shared" si="22"/>
        <v>0</v>
      </c>
      <c r="AB51" s="97">
        <f t="shared" si="22"/>
        <v>0</v>
      </c>
      <c r="AC51" s="97">
        <f t="shared" si="22"/>
        <v>4.4154849994170746</v>
      </c>
      <c r="AD51" s="97">
        <f t="shared" si="22"/>
        <v>8.961150310774542</v>
      </c>
      <c r="AE51" s="97">
        <f t="shared" si="22"/>
        <v>13.604830941906606</v>
      </c>
      <c r="AF51" s="97">
        <f t="shared" si="22"/>
        <v>18.358025863273248</v>
      </c>
      <c r="AG51" s="97">
        <f t="shared" si="22"/>
        <v>22.998659137336809</v>
      </c>
      <c r="AH51" s="97">
        <f t="shared" si="22"/>
        <v>27.700601896728109</v>
      </c>
      <c r="AI51" s="97">
        <f t="shared" si="22"/>
        <v>32.708663163752327</v>
      </c>
      <c r="AJ51" s="97">
        <f t="shared" si="22"/>
        <v>37.884456959020731</v>
      </c>
      <c r="AK51" s="97">
        <f t="shared" si="22"/>
        <v>43.189470768343419</v>
      </c>
      <c r="AL51" s="97">
        <f t="shared" si="22"/>
        <v>48.575592857946681</v>
      </c>
      <c r="AM51" s="97">
        <f t="shared" si="22"/>
        <v>48.575592857946681</v>
      </c>
      <c r="AN51" s="97">
        <f t="shared" si="22"/>
        <v>48.575592857946681</v>
      </c>
      <c r="AO51" s="97">
        <f t="shared" si="22"/>
        <v>48.575592857946681</v>
      </c>
      <c r="AP51" s="97">
        <f t="shared" si="22"/>
        <v>48.575592857946681</v>
      </c>
      <c r="AQ51" s="97">
        <f t="shared" si="22"/>
        <v>48.575592857946681</v>
      </c>
      <c r="AR51" s="97">
        <f t="shared" si="22"/>
        <v>48.575592857946681</v>
      </c>
      <c r="AS51" s="97">
        <f t="shared" si="22"/>
        <v>48.575592857946681</v>
      </c>
      <c r="AT51" s="97">
        <f t="shared" si="22"/>
        <v>48.575592857946681</v>
      </c>
      <c r="AU51" s="97">
        <f t="shared" si="22"/>
        <v>48.575592857946681</v>
      </c>
      <c r="AV51" s="97">
        <f t="shared" si="22"/>
        <v>48.575592857946681</v>
      </c>
    </row>
    <row r="52" spans="1:48">
      <c r="A52" s="199" t="s">
        <v>16</v>
      </c>
      <c r="B52" s="288" t="str">
        <f>B46</f>
        <v>D</v>
      </c>
      <c r="C52" s="283"/>
      <c r="E52" s="97"/>
      <c r="F52" s="97"/>
      <c r="G52" s="97"/>
      <c r="H52" s="97"/>
      <c r="I52" s="179" t="str">
        <f>B46</f>
        <v>D</v>
      </c>
      <c r="J52" s="97">
        <v>0</v>
      </c>
      <c r="K52" s="97">
        <f t="shared" si="22"/>
        <v>0</v>
      </c>
      <c r="L52" s="97">
        <f t="shared" si="22"/>
        <v>0</v>
      </c>
      <c r="M52" s="97">
        <f t="shared" si="22"/>
        <v>0</v>
      </c>
      <c r="N52" s="97">
        <f t="shared" si="22"/>
        <v>0</v>
      </c>
      <c r="O52" s="97">
        <f t="shared" si="22"/>
        <v>0</v>
      </c>
      <c r="P52" s="97">
        <f t="shared" si="22"/>
        <v>0</v>
      </c>
      <c r="Q52" s="97">
        <f t="shared" si="22"/>
        <v>0</v>
      </c>
      <c r="R52" s="97">
        <f t="shared" si="22"/>
        <v>0</v>
      </c>
      <c r="S52" s="97">
        <f t="shared" si="22"/>
        <v>0</v>
      </c>
      <c r="T52" s="97">
        <f t="shared" si="22"/>
        <v>0</v>
      </c>
      <c r="U52" s="97">
        <f t="shared" si="22"/>
        <v>0</v>
      </c>
      <c r="V52" s="97">
        <f t="shared" si="22"/>
        <v>0</v>
      </c>
      <c r="W52" s="97">
        <f t="shared" si="22"/>
        <v>0</v>
      </c>
      <c r="X52" s="97">
        <f t="shared" si="22"/>
        <v>0</v>
      </c>
      <c r="Y52" s="97">
        <f t="shared" si="22"/>
        <v>0</v>
      </c>
      <c r="Z52" s="97">
        <f t="shared" si="22"/>
        <v>0</v>
      </c>
      <c r="AA52" s="97">
        <f t="shared" si="22"/>
        <v>0</v>
      </c>
      <c r="AB52" s="97">
        <f t="shared" si="22"/>
        <v>0</v>
      </c>
      <c r="AC52" s="97">
        <f t="shared" si="22"/>
        <v>0</v>
      </c>
      <c r="AD52" s="97">
        <f t="shared" si="22"/>
        <v>0</v>
      </c>
      <c r="AE52" s="97">
        <f t="shared" si="22"/>
        <v>0</v>
      </c>
      <c r="AF52" s="97">
        <f t="shared" si="22"/>
        <v>0</v>
      </c>
      <c r="AG52" s="97">
        <f t="shared" si="22"/>
        <v>0</v>
      </c>
      <c r="AH52" s="97">
        <f t="shared" si="22"/>
        <v>0</v>
      </c>
      <c r="AI52" s="97">
        <f t="shared" si="22"/>
        <v>0</v>
      </c>
      <c r="AJ52" s="97">
        <f t="shared" si="22"/>
        <v>0</v>
      </c>
      <c r="AK52" s="97">
        <f t="shared" si="22"/>
        <v>0</v>
      </c>
      <c r="AL52" s="97">
        <f t="shared" si="22"/>
        <v>0</v>
      </c>
      <c r="AM52" s="97">
        <f t="shared" si="22"/>
        <v>6.0052784951063813</v>
      </c>
      <c r="AN52" s="97">
        <f t="shared" si="22"/>
        <v>11.850218468280588</v>
      </c>
      <c r="AO52" s="97">
        <f t="shared" si="22"/>
        <v>17.548698827097326</v>
      </c>
      <c r="AP52" s="97">
        <f t="shared" si="22"/>
        <v>23.112729368678885</v>
      </c>
      <c r="AQ52" s="97">
        <f t="shared" si="22"/>
        <v>28.552783426515276</v>
      </c>
      <c r="AR52" s="97">
        <f t="shared" si="22"/>
        <v>34.989571518076048</v>
      </c>
      <c r="AS52" s="97">
        <f t="shared" si="22"/>
        <v>41.257996908643037</v>
      </c>
      <c r="AT52" s="97">
        <f t="shared" si="22"/>
        <v>47.372149265549893</v>
      </c>
      <c r="AU52" s="97">
        <f t="shared" si="22"/>
        <v>53.344280542029651</v>
      </c>
      <c r="AV52" s="97">
        <f t="shared" si="22"/>
        <v>59.693275989105672</v>
      </c>
    </row>
    <row r="53" spans="1:48">
      <c r="A53" s="199" t="s">
        <v>16</v>
      </c>
      <c r="B53" s="283" t="s">
        <v>238</v>
      </c>
      <c r="C53" s="283"/>
      <c r="E53" s="97"/>
      <c r="F53" s="97"/>
      <c r="G53" s="97"/>
      <c r="H53" s="97"/>
      <c r="I53" s="179"/>
      <c r="J53" s="97">
        <f t="shared" ref="J53:AV53" si="23">SUM(J49:J52)</f>
        <v>0</v>
      </c>
      <c r="K53" s="97">
        <f t="shared" si="23"/>
        <v>0</v>
      </c>
      <c r="L53" s="97">
        <f t="shared" si="23"/>
        <v>0</v>
      </c>
      <c r="M53" s="97">
        <f t="shared" si="23"/>
        <v>0</v>
      </c>
      <c r="N53" s="97">
        <f t="shared" si="23"/>
        <v>0</v>
      </c>
      <c r="O53" s="97">
        <f t="shared" si="23"/>
        <v>0</v>
      </c>
      <c r="P53" s="97">
        <f t="shared" si="23"/>
        <v>2.1494880893612773</v>
      </c>
      <c r="Q53" s="97">
        <f t="shared" si="23"/>
        <v>4.5188583701846028</v>
      </c>
      <c r="R53" s="97">
        <f t="shared" si="23"/>
        <v>5.6331058248512846</v>
      </c>
      <c r="S53" s="97">
        <f t="shared" si="23"/>
        <v>8.8325677351902101</v>
      </c>
      <c r="T53" s="97">
        <f t="shared" si="23"/>
        <v>11.799101426456577</v>
      </c>
      <c r="U53" s="97">
        <f t="shared" si="23"/>
        <v>14.880195668176455</v>
      </c>
      <c r="V53" s="97">
        <f t="shared" si="23"/>
        <v>18.217561200424658</v>
      </c>
      <c r="W53" s="97">
        <f t="shared" si="23"/>
        <v>21.707413856326156</v>
      </c>
      <c r="X53" s="97">
        <f t="shared" si="23"/>
        <v>25.425091052312894</v>
      </c>
      <c r="Y53" s="97">
        <f t="shared" si="23"/>
        <v>29.28702730430404</v>
      </c>
      <c r="Z53" s="97">
        <f t="shared" si="23"/>
        <v>33.306191843825374</v>
      </c>
      <c r="AA53" s="97">
        <f t="shared" si="23"/>
        <v>37.619347132590306</v>
      </c>
      <c r="AB53" s="97">
        <f t="shared" si="23"/>
        <v>42.045419582377228</v>
      </c>
      <c r="AC53" s="97">
        <f t="shared" si="23"/>
        <v>46.460904581794303</v>
      </c>
      <c r="AD53" s="97">
        <f t="shared" si="23"/>
        <v>51.00656989315177</v>
      </c>
      <c r="AE53" s="97">
        <f t="shared" si="23"/>
        <v>55.650250524283834</v>
      </c>
      <c r="AF53" s="97">
        <f t="shared" si="23"/>
        <v>60.403445445650476</v>
      </c>
      <c r="AG53" s="97">
        <f t="shared" si="23"/>
        <v>65.044078719714037</v>
      </c>
      <c r="AH53" s="97">
        <f t="shared" si="23"/>
        <v>69.746021479105337</v>
      </c>
      <c r="AI53" s="97">
        <f t="shared" si="23"/>
        <v>74.754082746129555</v>
      </c>
      <c r="AJ53" s="97">
        <f t="shared" si="23"/>
        <v>79.929876541397959</v>
      </c>
      <c r="AK53" s="97">
        <f t="shared" si="23"/>
        <v>85.234890350720647</v>
      </c>
      <c r="AL53" s="97">
        <f t="shared" si="23"/>
        <v>90.621012440323909</v>
      </c>
      <c r="AM53" s="97">
        <f t="shared" si="23"/>
        <v>96.626290935430291</v>
      </c>
      <c r="AN53" s="97">
        <f t="shared" si="23"/>
        <v>102.4712309086045</v>
      </c>
      <c r="AO53" s="97">
        <f t="shared" si="23"/>
        <v>108.16971126742123</v>
      </c>
      <c r="AP53" s="97">
        <f t="shared" si="23"/>
        <v>113.73374180900279</v>
      </c>
      <c r="AQ53" s="97">
        <f t="shared" si="23"/>
        <v>119.17379586683919</v>
      </c>
      <c r="AR53" s="97">
        <f t="shared" si="23"/>
        <v>125.61058395839996</v>
      </c>
      <c r="AS53" s="97">
        <f t="shared" si="23"/>
        <v>131.87900934896695</v>
      </c>
      <c r="AT53" s="97">
        <f t="shared" si="23"/>
        <v>137.9931617058738</v>
      </c>
      <c r="AU53" s="97">
        <f t="shared" si="23"/>
        <v>143.96529298235356</v>
      </c>
      <c r="AV53" s="97">
        <f t="shared" si="23"/>
        <v>150.31428842942958</v>
      </c>
    </row>
    <row r="54" spans="1:48">
      <c r="A54" s="199" t="s">
        <v>16</v>
      </c>
      <c r="B54" s="283"/>
      <c r="I54" s="165"/>
      <c r="J54" s="97"/>
      <c r="K54" s="95"/>
      <c r="AV54" s="97"/>
    </row>
    <row r="55" spans="1:48" ht="15.75" thickBot="1">
      <c r="A55" s="199" t="s">
        <v>16</v>
      </c>
      <c r="B55" s="93" t="s">
        <v>14</v>
      </c>
      <c r="C55" s="93" t="s">
        <v>498</v>
      </c>
      <c r="D55" s="93" t="s">
        <v>496</v>
      </c>
      <c r="E55" s="93">
        <v>2017</v>
      </c>
      <c r="F55" s="93" t="s">
        <v>497</v>
      </c>
      <c r="G55" s="95">
        <v>2017</v>
      </c>
      <c r="I55" s="165"/>
      <c r="K55" s="95"/>
    </row>
    <row r="56" spans="1:48">
      <c r="A56" s="199" t="s">
        <v>16</v>
      </c>
      <c r="B56" s="97" t="s">
        <v>72</v>
      </c>
      <c r="C56" s="97" t="s">
        <v>112</v>
      </c>
      <c r="D56" s="110">
        <f t="shared" ref="D56:E64" si="24">F56*1000</f>
        <v>139664.39435388436</v>
      </c>
      <c r="E56" s="110">
        <f t="shared" si="24"/>
        <v>120283.34032399778</v>
      </c>
      <c r="F56" s="24">
        <f>'[6]TS BYDem'!$J10</f>
        <v>139.66439435388435</v>
      </c>
      <c r="G56" s="95">
        <f>'[6]TS BYDem'!$O10</f>
        <v>120.28334032399778</v>
      </c>
      <c r="J56" s="94"/>
      <c r="K56" s="191" t="s">
        <v>513</v>
      </c>
      <c r="L56" s="99"/>
      <c r="M56" s="99" t="s">
        <v>443</v>
      </c>
      <c r="N56" s="99"/>
      <c r="O56" s="99"/>
    </row>
    <row r="57" spans="1:48">
      <c r="A57" s="199" t="s">
        <v>16</v>
      </c>
      <c r="B57" s="97" t="s">
        <v>262</v>
      </c>
      <c r="C57" s="97" t="s">
        <v>113</v>
      </c>
      <c r="D57" s="110">
        <f t="shared" si="24"/>
        <v>7851.7549075018987</v>
      </c>
      <c r="E57" s="110">
        <f t="shared" si="24"/>
        <v>11470.981711368382</v>
      </c>
      <c r="F57" s="24">
        <f>'[6]TS BYDem'!$J11</f>
        <v>7.8517549075018991</v>
      </c>
      <c r="G57" s="95">
        <f>'[6]TS BYDem'!$O11</f>
        <v>11.470981711368381</v>
      </c>
      <c r="J57" s="94"/>
      <c r="K57" s="191" t="s">
        <v>517</v>
      </c>
      <c r="L57" s="99">
        <f>DriversGams!$B$163</f>
        <v>4</v>
      </c>
      <c r="M57" s="99"/>
      <c r="N57" s="99"/>
      <c r="O57" s="99"/>
      <c r="R57" s="95" t="s">
        <v>635</v>
      </c>
    </row>
    <row r="58" spans="1:48">
      <c r="A58" s="199" t="s">
        <v>16</v>
      </c>
      <c r="B58" s="97" t="s">
        <v>263</v>
      </c>
      <c r="C58" s="97" t="s">
        <v>107</v>
      </c>
      <c r="D58" s="110">
        <f t="shared" si="24"/>
        <v>9894.4997565297635</v>
      </c>
      <c r="E58" s="110">
        <f t="shared" si="24"/>
        <v>8579.7067698540795</v>
      </c>
      <c r="F58" s="24">
        <f>'[6]TS BYDem'!$J12</f>
        <v>9.894499756529763</v>
      </c>
      <c r="G58" s="95">
        <f>'[6]TS BYDem'!$O12</f>
        <v>8.579706769854079</v>
      </c>
      <c r="J58" s="94"/>
      <c r="K58" s="191" t="s">
        <v>514</v>
      </c>
      <c r="L58" s="99"/>
      <c r="M58" s="99"/>
      <c r="N58" s="99"/>
      <c r="O58" s="99"/>
    </row>
    <row r="59" spans="1:48">
      <c r="A59" s="199" t="s">
        <v>16</v>
      </c>
      <c r="B59" s="97" t="s">
        <v>73</v>
      </c>
      <c r="C59" s="97" t="s">
        <v>111</v>
      </c>
      <c r="D59" s="110">
        <f t="shared" si="24"/>
        <v>121540.2719056889</v>
      </c>
      <c r="E59" s="110">
        <f t="shared" si="24"/>
        <v>104674.27977141128</v>
      </c>
      <c r="F59" s="24">
        <f>'[6]TS BYDem'!$J13</f>
        <v>121.5402719056889</v>
      </c>
      <c r="G59" s="95">
        <f>'[6]TS BYDem'!$O13</f>
        <v>104.67427977141128</v>
      </c>
      <c r="J59" s="94"/>
      <c r="K59" s="99">
        <v>-1</v>
      </c>
      <c r="L59" s="191" t="s">
        <v>515</v>
      </c>
      <c r="M59" s="99"/>
      <c r="N59" s="99"/>
      <c r="O59" s="99"/>
      <c r="AC59" s="95" t="s">
        <v>636</v>
      </c>
    </row>
    <row r="60" spans="1:48">
      <c r="A60" s="199" t="s">
        <v>16</v>
      </c>
      <c r="B60" s="97" t="s">
        <v>264</v>
      </c>
      <c r="C60" s="97" t="s">
        <v>124</v>
      </c>
      <c r="D60" s="110">
        <f t="shared" si="24"/>
        <v>29566.39037374705</v>
      </c>
      <c r="E60" s="110">
        <f t="shared" si="24"/>
        <v>25463.499211305458</v>
      </c>
      <c r="F60" s="24">
        <f>'[6]TS BYDem'!$J14</f>
        <v>29.566390373747051</v>
      </c>
      <c r="G60" s="95">
        <f>'[6]TS BYDem'!$O14</f>
        <v>25.463499211305457</v>
      </c>
      <c r="J60" s="94"/>
      <c r="K60" s="99">
        <v>1</v>
      </c>
      <c r="L60" s="99" t="s">
        <v>637</v>
      </c>
      <c r="M60" s="192">
        <v>-0.37</v>
      </c>
      <c r="N60" s="192">
        <v>-0.5</v>
      </c>
      <c r="O60" s="192">
        <v>-0.2</v>
      </c>
      <c r="Q60" s="95" t="s">
        <v>638</v>
      </c>
      <c r="AA60" s="97" t="s">
        <v>639</v>
      </c>
      <c r="AB60" s="97">
        <f>AB30/(AB30+AB31)</f>
        <v>0.69748220835744612</v>
      </c>
      <c r="AC60" s="97" t="s">
        <v>640</v>
      </c>
      <c r="AD60" s="97"/>
      <c r="AE60" s="97"/>
      <c r="AF60" s="97"/>
      <c r="AG60" s="97">
        <f>(AB30*0.8+AB31*0.46)/(AB30+AB31)</f>
        <v>0.69714395084153169</v>
      </c>
    </row>
    <row r="61" spans="1:48">
      <c r="A61" s="199" t="s">
        <v>16</v>
      </c>
      <c r="B61" s="97" t="s">
        <v>265</v>
      </c>
      <c r="C61" s="97" t="s">
        <v>266</v>
      </c>
      <c r="D61" s="110">
        <f t="shared" si="24"/>
        <v>9683.1090230750324</v>
      </c>
      <c r="E61" s="110">
        <f t="shared" si="24"/>
        <v>13273.861719969342</v>
      </c>
      <c r="F61" s="24">
        <f>'[6]TS BYDem'!$J15</f>
        <v>9.6831090230750316</v>
      </c>
      <c r="G61" s="95">
        <f>'[6]TS BYDem'!$O15</f>
        <v>13.273861719969341</v>
      </c>
      <c r="J61" s="94"/>
      <c r="K61" s="99">
        <v>2</v>
      </c>
      <c r="L61" s="99" t="s">
        <v>641</v>
      </c>
      <c r="M61" s="192">
        <v>-0.25</v>
      </c>
      <c r="N61" s="192">
        <v>-0.25</v>
      </c>
      <c r="O61" s="192">
        <v>-0.2</v>
      </c>
      <c r="Q61" s="95" t="s">
        <v>642</v>
      </c>
    </row>
    <row r="62" spans="1:48">
      <c r="A62" s="199" t="s">
        <v>16</v>
      </c>
      <c r="B62" s="97" t="s">
        <v>269</v>
      </c>
      <c r="C62" s="97" t="s">
        <v>270</v>
      </c>
      <c r="D62" s="110">
        <f t="shared" si="24"/>
        <v>10300.552873773209</v>
      </c>
      <c r="E62" s="110">
        <f t="shared" si="24"/>
        <v>8871.1579824850141</v>
      </c>
      <c r="F62" s="24">
        <f>'[6]TS BYDem'!$J16</f>
        <v>10.30055287377321</v>
      </c>
      <c r="G62" s="95">
        <f>'[6]TS BYDem'!$O16</f>
        <v>8.8711579824850144</v>
      </c>
      <c r="J62" s="94"/>
      <c r="K62" s="99">
        <v>3</v>
      </c>
      <c r="L62" s="191" t="s">
        <v>516</v>
      </c>
      <c r="M62" s="192">
        <v>-0.37</v>
      </c>
      <c r="N62" s="192">
        <v>-0.5</v>
      </c>
      <c r="O62" s="192">
        <v>-0.2</v>
      </c>
    </row>
    <row r="63" spans="1:48">
      <c r="A63" s="199" t="s">
        <v>16</v>
      </c>
      <c r="B63" s="97" t="s">
        <v>268</v>
      </c>
      <c r="C63" s="97" t="s">
        <v>221</v>
      </c>
      <c r="D63" s="110">
        <f t="shared" si="24"/>
        <v>3559.3512487513526</v>
      </c>
      <c r="E63" s="110">
        <f t="shared" si="24"/>
        <v>3065.4245097100388</v>
      </c>
      <c r="F63" s="24">
        <f>'[6]TS BYDem'!$J17</f>
        <v>3.5593512487513528</v>
      </c>
      <c r="G63" s="95">
        <f>'[6]TS BYDem'!$O17</f>
        <v>3.0654245097100388</v>
      </c>
      <c r="J63" s="94"/>
      <c r="K63" s="99">
        <v>4</v>
      </c>
      <c r="L63" s="191" t="s">
        <v>643</v>
      </c>
      <c r="M63" s="192">
        <v>-0.25</v>
      </c>
      <c r="N63" s="99"/>
      <c r="O63" s="99"/>
    </row>
    <row r="64" spans="1:48">
      <c r="A64" s="199" t="s">
        <v>16</v>
      </c>
      <c r="B64" s="97" t="s">
        <v>0</v>
      </c>
      <c r="C64" s="97" t="s">
        <v>119</v>
      </c>
      <c r="D64" s="110">
        <f t="shared" si="24"/>
        <v>18760.184357078931</v>
      </c>
      <c r="E64" s="110">
        <f t="shared" si="24"/>
        <v>16999.241745794043</v>
      </c>
      <c r="F64" s="24">
        <f>'[6]TS BYDem'!$J18</f>
        <v>18.760184357078931</v>
      </c>
      <c r="G64" s="95">
        <f>'[6]TS BYDem'!$O18</f>
        <v>16.999241745794041</v>
      </c>
      <c r="J64" s="94"/>
      <c r="K64" s="191">
        <v>4</v>
      </c>
      <c r="L64" s="191" t="s">
        <v>644</v>
      </c>
      <c r="M64" s="99"/>
      <c r="N64" s="192">
        <v>-0.25</v>
      </c>
      <c r="O64" s="192">
        <v>-0.2</v>
      </c>
    </row>
    <row r="65" spans="1:48">
      <c r="A65" s="199" t="s">
        <v>16</v>
      </c>
      <c r="B65" s="97"/>
      <c r="C65" s="97"/>
      <c r="D65" s="97"/>
      <c r="J65" s="94"/>
      <c r="K65" s="289">
        <v>3</v>
      </c>
      <c r="L65" s="99" t="s">
        <v>637</v>
      </c>
      <c r="M65" s="192">
        <v>-0.37</v>
      </c>
      <c r="N65" s="192">
        <v>-0.5</v>
      </c>
      <c r="O65" s="192">
        <v>-0.2</v>
      </c>
    </row>
    <row r="66" spans="1:48">
      <c r="A66" s="199" t="s">
        <v>16</v>
      </c>
      <c r="B66" s="97"/>
      <c r="F66" s="238"/>
      <c r="I66" s="165"/>
      <c r="K66" s="289">
        <v>2</v>
      </c>
      <c r="L66" s="99" t="s">
        <v>641</v>
      </c>
      <c r="M66" s="192">
        <v>-0.25</v>
      </c>
      <c r="N66" s="192">
        <v>-0.25</v>
      </c>
      <c r="O66" s="192">
        <v>-0.2</v>
      </c>
    </row>
    <row r="67" spans="1:48" ht="15.75" thickBot="1">
      <c r="A67" s="199" t="s">
        <v>16</v>
      </c>
      <c r="B67" s="162" t="s">
        <v>12</v>
      </c>
      <c r="C67" s="163"/>
      <c r="D67" s="93"/>
      <c r="E67" s="105">
        <v>2012</v>
      </c>
      <c r="F67" s="239">
        <v>2017</v>
      </c>
      <c r="G67" s="105">
        <f>G22</f>
        <v>2020</v>
      </c>
      <c r="H67" s="105">
        <f>H22</f>
        <v>2030</v>
      </c>
      <c r="I67" s="186">
        <f>I22</f>
        <v>2050</v>
      </c>
      <c r="J67" s="105">
        <f t="shared" ref="J67:AV67" si="25">J4</f>
        <v>2012</v>
      </c>
      <c r="K67" s="105">
        <f t="shared" si="25"/>
        <v>2013</v>
      </c>
      <c r="L67" s="105">
        <f t="shared" si="25"/>
        <v>2014</v>
      </c>
      <c r="M67" s="105">
        <f t="shared" si="25"/>
        <v>2015</v>
      </c>
      <c r="N67" s="105">
        <f t="shared" si="25"/>
        <v>2016</v>
      </c>
      <c r="O67" s="105">
        <f t="shared" si="25"/>
        <v>2017</v>
      </c>
      <c r="P67" s="105">
        <f t="shared" si="25"/>
        <v>2018</v>
      </c>
      <c r="Q67" s="105">
        <f t="shared" si="25"/>
        <v>2019</v>
      </c>
      <c r="R67" s="105">
        <f t="shared" si="25"/>
        <v>2020</v>
      </c>
      <c r="S67" s="105">
        <f t="shared" si="25"/>
        <v>2021</v>
      </c>
      <c r="T67" s="105">
        <f t="shared" si="25"/>
        <v>2022</v>
      </c>
      <c r="U67" s="105">
        <f t="shared" si="25"/>
        <v>2023</v>
      </c>
      <c r="V67" s="105">
        <f t="shared" si="25"/>
        <v>2024</v>
      </c>
      <c r="W67" s="105">
        <f t="shared" si="25"/>
        <v>2025</v>
      </c>
      <c r="X67" s="105">
        <f t="shared" si="25"/>
        <v>2026</v>
      </c>
      <c r="Y67" s="105">
        <f t="shared" si="25"/>
        <v>2027</v>
      </c>
      <c r="Z67" s="105">
        <f t="shared" si="25"/>
        <v>2028</v>
      </c>
      <c r="AA67" s="105">
        <f t="shared" si="25"/>
        <v>2029</v>
      </c>
      <c r="AB67" s="105">
        <f t="shared" si="25"/>
        <v>2030</v>
      </c>
      <c r="AC67" s="105">
        <f t="shared" si="25"/>
        <v>2031</v>
      </c>
      <c r="AD67" s="105">
        <f t="shared" si="25"/>
        <v>2032</v>
      </c>
      <c r="AE67" s="105">
        <f t="shared" si="25"/>
        <v>2033</v>
      </c>
      <c r="AF67" s="105">
        <f t="shared" si="25"/>
        <v>2034</v>
      </c>
      <c r="AG67" s="105">
        <f t="shared" si="25"/>
        <v>2035</v>
      </c>
      <c r="AH67" s="105">
        <f t="shared" si="25"/>
        <v>2036</v>
      </c>
      <c r="AI67" s="105">
        <f t="shared" si="25"/>
        <v>2037</v>
      </c>
      <c r="AJ67" s="105">
        <f t="shared" si="25"/>
        <v>2038</v>
      </c>
      <c r="AK67" s="105">
        <f t="shared" si="25"/>
        <v>2039</v>
      </c>
      <c r="AL67" s="105">
        <f t="shared" si="25"/>
        <v>2040</v>
      </c>
      <c r="AM67" s="105">
        <f t="shared" si="25"/>
        <v>2041</v>
      </c>
      <c r="AN67" s="105">
        <f t="shared" si="25"/>
        <v>2042</v>
      </c>
      <c r="AO67" s="105">
        <f t="shared" si="25"/>
        <v>2043</v>
      </c>
      <c r="AP67" s="105">
        <f t="shared" si="25"/>
        <v>2044</v>
      </c>
      <c r="AQ67" s="105">
        <f t="shared" si="25"/>
        <v>2045</v>
      </c>
      <c r="AR67" s="105">
        <f t="shared" si="25"/>
        <v>2046</v>
      </c>
      <c r="AS67" s="105">
        <f t="shared" si="25"/>
        <v>2047</v>
      </c>
      <c r="AT67" s="105">
        <f t="shared" si="25"/>
        <v>2048</v>
      </c>
      <c r="AU67" s="105">
        <f t="shared" si="25"/>
        <v>2049</v>
      </c>
      <c r="AV67" s="105">
        <f t="shared" si="25"/>
        <v>2050</v>
      </c>
    </row>
    <row r="68" spans="1:48">
      <c r="A68" s="199" t="s">
        <v>16</v>
      </c>
      <c r="I68" s="165"/>
      <c r="K68" s="95"/>
    </row>
    <row r="69" spans="1:48" ht="15.75" thickBot="1">
      <c r="A69" s="199" t="s">
        <v>16</v>
      </c>
      <c r="B69" s="111" t="s">
        <v>74</v>
      </c>
      <c r="C69" s="93"/>
      <c r="D69" s="93"/>
      <c r="H69" s="213">
        <f>VLOOKUP($L$57,$K$59:$O$66,3)</f>
        <v>0</v>
      </c>
      <c r="I69" s="165"/>
      <c r="K69" s="95"/>
    </row>
    <row r="70" spans="1:48">
      <c r="A70" s="199" t="s">
        <v>16</v>
      </c>
      <c r="B70" s="283" t="s">
        <v>239</v>
      </c>
      <c r="C70" s="95" t="str">
        <f t="shared" ref="C70:C78" si="26">"Commercial"&amp;" - "&amp;B56</f>
        <v>Commercial - Cooling</v>
      </c>
      <c r="D70" s="95" t="s">
        <v>75</v>
      </c>
      <c r="E70" s="104">
        <f>$D56/J$23</f>
        <v>1051.567060091292</v>
      </c>
      <c r="F70" s="112">
        <f>E56/$O$23</f>
        <v>863.60235202855756</v>
      </c>
      <c r="G70" s="112">
        <f t="shared" ref="G70:I78" si="27">F70</f>
        <v>863.60235202855756</v>
      </c>
      <c r="H70" s="112">
        <f>G70*(1+$H$69)</f>
        <v>863.60235202855756</v>
      </c>
      <c r="I70" s="164">
        <f t="shared" si="27"/>
        <v>863.60235202855756</v>
      </c>
      <c r="J70" s="8">
        <f>IF(J$8=-1,K70,IF(J$8=99,I70,IF(J$8=0,INDEX($E70:$I70,0,J$6),(INDEX($E70:$I70,0,J$8+1)-INDEX($E70:$I70,0,J$8))/(INDEX($D$5:$H$5,0,J$8+1)-INDEX($D$5:$H$5,0,J$8))+I70)))</f>
        <v>1051.567060091292</v>
      </c>
      <c r="K70" s="8">
        <f>IF(K$8=-1,L70,IF(K$8=99,J70,IF(K$8=0,INDEX($E70:$I70,0,K$6),(INDEX($E70:$I70,0,K$8+1)-INDEX($E70:$I70,0,K$8))/(INDEX($D$5:$H$5,0,K$8+1)-INDEX($D$5:$H$5,0,K$8))+J70)))</f>
        <v>1013.9741184787451</v>
      </c>
      <c r="L70" s="8">
        <f t="shared" ref="L70:AV78" si="28">IF(L$8=-1,M70,IF(L$8=99,K70,IF(L$8=0,INDEX($E70:$I70,0,L$6),(INDEX($E70:$I70,0,L$8+1)-INDEX($E70:$I70,0,L$8))/(INDEX($D$5:$H$5,0,L$8+1)-INDEX($D$5:$H$5,0,L$8))+K70)))</f>
        <v>976.3811768661983</v>
      </c>
      <c r="M70" s="8">
        <f t="shared" si="28"/>
        <v>938.78823525365146</v>
      </c>
      <c r="N70" s="8">
        <f t="shared" si="28"/>
        <v>901.19529364110463</v>
      </c>
      <c r="O70" s="8">
        <f t="shared" si="28"/>
        <v>863.60235202855756</v>
      </c>
      <c r="P70" s="8">
        <f t="shared" si="28"/>
        <v>863.60235202855756</v>
      </c>
      <c r="Q70" s="8">
        <f t="shared" si="28"/>
        <v>863.60235202855756</v>
      </c>
      <c r="R70" s="8">
        <f t="shared" si="28"/>
        <v>863.60235202855756</v>
      </c>
      <c r="S70" s="8">
        <f t="shared" si="28"/>
        <v>863.60235202855756</v>
      </c>
      <c r="T70" s="8">
        <f t="shared" si="28"/>
        <v>863.60235202855756</v>
      </c>
      <c r="U70" s="8">
        <f t="shared" si="28"/>
        <v>863.60235202855756</v>
      </c>
      <c r="V70" s="8">
        <f t="shared" si="28"/>
        <v>863.60235202855756</v>
      </c>
      <c r="W70" s="8">
        <f t="shared" si="28"/>
        <v>863.60235202855756</v>
      </c>
      <c r="X70" s="8">
        <f t="shared" si="28"/>
        <v>863.60235202855756</v>
      </c>
      <c r="Y70" s="8">
        <f t="shared" si="28"/>
        <v>863.60235202855756</v>
      </c>
      <c r="Z70" s="8">
        <f t="shared" si="28"/>
        <v>863.60235202855756</v>
      </c>
      <c r="AA70" s="8">
        <f t="shared" si="28"/>
        <v>863.60235202855756</v>
      </c>
      <c r="AB70" s="8">
        <f t="shared" si="28"/>
        <v>863.60235202855756</v>
      </c>
      <c r="AC70" s="8">
        <f t="shared" si="28"/>
        <v>863.60235202855756</v>
      </c>
      <c r="AD70" s="8">
        <f t="shared" si="28"/>
        <v>863.60235202855756</v>
      </c>
      <c r="AE70" s="8">
        <f t="shared" si="28"/>
        <v>863.60235202855756</v>
      </c>
      <c r="AF70" s="8">
        <f t="shared" si="28"/>
        <v>863.60235202855756</v>
      </c>
      <c r="AG70" s="8">
        <f t="shared" si="28"/>
        <v>863.60235202855756</v>
      </c>
      <c r="AH70" s="8">
        <f t="shared" si="28"/>
        <v>863.60235202855756</v>
      </c>
      <c r="AI70" s="8">
        <f t="shared" si="28"/>
        <v>863.60235202855756</v>
      </c>
      <c r="AJ70" s="8">
        <f t="shared" si="28"/>
        <v>863.60235202855756</v>
      </c>
      <c r="AK70" s="8">
        <f t="shared" si="28"/>
        <v>863.60235202855756</v>
      </c>
      <c r="AL70" s="8">
        <f t="shared" si="28"/>
        <v>863.60235202855756</v>
      </c>
      <c r="AM70" s="8">
        <f t="shared" si="28"/>
        <v>863.60235202855756</v>
      </c>
      <c r="AN70" s="8">
        <f t="shared" si="28"/>
        <v>863.60235202855756</v>
      </c>
      <c r="AO70" s="8">
        <f t="shared" si="28"/>
        <v>863.60235202855756</v>
      </c>
      <c r="AP70" s="8">
        <f t="shared" si="28"/>
        <v>863.60235202855756</v>
      </c>
      <c r="AQ70" s="8">
        <f t="shared" si="28"/>
        <v>863.60235202855756</v>
      </c>
      <c r="AR70" s="8">
        <f t="shared" si="28"/>
        <v>863.60235202855756</v>
      </c>
      <c r="AS70" s="8">
        <f t="shared" si="28"/>
        <v>863.60235202855756</v>
      </c>
      <c r="AT70" s="8">
        <f t="shared" si="28"/>
        <v>863.60235202855756</v>
      </c>
      <c r="AU70" s="8">
        <f t="shared" si="28"/>
        <v>863.60235202855756</v>
      </c>
      <c r="AV70" s="8">
        <f t="shared" si="28"/>
        <v>863.60235202855756</v>
      </c>
    </row>
    <row r="71" spans="1:48">
      <c r="A71" s="199" t="s">
        <v>16</v>
      </c>
      <c r="B71" s="283" t="s">
        <v>240</v>
      </c>
      <c r="C71" s="95" t="str">
        <f t="shared" si="26"/>
        <v>Commercial - Space Heating</v>
      </c>
      <c r="D71" s="95" t="s">
        <v>75</v>
      </c>
      <c r="E71" s="104">
        <f t="shared" ref="E71:E75" si="29">$D57/J$23</f>
        <v>59.117764859369188</v>
      </c>
      <c r="F71" s="112">
        <f t="shared" ref="F71:F78" si="30">E57/$O$23</f>
        <v>82.358593960978311</v>
      </c>
      <c r="G71" s="112">
        <f t="shared" si="27"/>
        <v>82.358593960978311</v>
      </c>
      <c r="H71" s="112">
        <f t="shared" ref="H71:H78" si="31">G71*(1+$H$69)</f>
        <v>82.358593960978311</v>
      </c>
      <c r="I71" s="164">
        <f t="shared" si="27"/>
        <v>82.358593960978311</v>
      </c>
      <c r="J71" s="8">
        <f t="shared" ref="J71:Y78" si="32">IF(J$8=-1,K71,IF(J$8=99,I71,IF(J$8=0,INDEX($E71:$I71,0,J$6),(INDEX($E71:$I71,0,J$8+1)-INDEX($E71:$I71,0,J$8))/(INDEX($D$5:$H$5,0,J$8+1)-INDEX($D$5:$H$5,0,J$8))+I71)))</f>
        <v>59.117764859369188</v>
      </c>
      <c r="K71" s="8">
        <f t="shared" si="32"/>
        <v>63.76593067969101</v>
      </c>
      <c r="L71" s="8">
        <f t="shared" si="32"/>
        <v>68.414096500012832</v>
      </c>
      <c r="M71" s="8">
        <f t="shared" si="32"/>
        <v>73.062262320334654</v>
      </c>
      <c r="N71" s="8">
        <f t="shared" si="32"/>
        <v>77.710428140656475</v>
      </c>
      <c r="O71" s="8">
        <f t="shared" si="32"/>
        <v>82.358593960978311</v>
      </c>
      <c r="P71" s="8">
        <f t="shared" si="32"/>
        <v>82.358593960978311</v>
      </c>
      <c r="Q71" s="8">
        <f t="shared" si="32"/>
        <v>82.358593960978311</v>
      </c>
      <c r="R71" s="8">
        <f t="shared" si="32"/>
        <v>82.358593960978311</v>
      </c>
      <c r="S71" s="8">
        <f t="shared" si="32"/>
        <v>82.358593960978311</v>
      </c>
      <c r="T71" s="8">
        <f t="shared" si="32"/>
        <v>82.358593960978311</v>
      </c>
      <c r="U71" s="8">
        <f t="shared" si="32"/>
        <v>82.358593960978311</v>
      </c>
      <c r="V71" s="8">
        <f t="shared" si="32"/>
        <v>82.358593960978311</v>
      </c>
      <c r="W71" s="8">
        <f t="shared" si="32"/>
        <v>82.358593960978311</v>
      </c>
      <c r="X71" s="8">
        <f t="shared" si="32"/>
        <v>82.358593960978311</v>
      </c>
      <c r="Y71" s="8">
        <f t="shared" si="32"/>
        <v>82.358593960978311</v>
      </c>
      <c r="Z71" s="8">
        <f t="shared" si="28"/>
        <v>82.358593960978311</v>
      </c>
      <c r="AA71" s="8">
        <f t="shared" si="28"/>
        <v>82.358593960978311</v>
      </c>
      <c r="AB71" s="8">
        <f t="shared" si="28"/>
        <v>82.358593960978311</v>
      </c>
      <c r="AC71" s="8">
        <f t="shared" si="28"/>
        <v>82.358593960978311</v>
      </c>
      <c r="AD71" s="8">
        <f t="shared" si="28"/>
        <v>82.358593960978311</v>
      </c>
      <c r="AE71" s="8">
        <f t="shared" si="28"/>
        <v>82.358593960978311</v>
      </c>
      <c r="AF71" s="8">
        <f t="shared" si="28"/>
        <v>82.358593960978311</v>
      </c>
      <c r="AG71" s="8">
        <f t="shared" si="28"/>
        <v>82.358593960978311</v>
      </c>
      <c r="AH71" s="8">
        <f t="shared" si="28"/>
        <v>82.358593960978311</v>
      </c>
      <c r="AI71" s="8">
        <f t="shared" si="28"/>
        <v>82.358593960978311</v>
      </c>
      <c r="AJ71" s="8">
        <f t="shared" si="28"/>
        <v>82.358593960978311</v>
      </c>
      <c r="AK71" s="8">
        <f t="shared" si="28"/>
        <v>82.358593960978311</v>
      </c>
      <c r="AL71" s="8">
        <f t="shared" si="28"/>
        <v>82.358593960978311</v>
      </c>
      <c r="AM71" s="8">
        <f t="shared" si="28"/>
        <v>82.358593960978311</v>
      </c>
      <c r="AN71" s="8">
        <f t="shared" si="28"/>
        <v>82.358593960978311</v>
      </c>
      <c r="AO71" s="8">
        <f t="shared" si="28"/>
        <v>82.358593960978311</v>
      </c>
      <c r="AP71" s="8">
        <f t="shared" si="28"/>
        <v>82.358593960978311</v>
      </c>
      <c r="AQ71" s="8">
        <f t="shared" si="28"/>
        <v>82.358593960978311</v>
      </c>
      <c r="AR71" s="8">
        <f t="shared" si="28"/>
        <v>82.358593960978311</v>
      </c>
      <c r="AS71" s="8">
        <f t="shared" si="28"/>
        <v>82.358593960978311</v>
      </c>
      <c r="AT71" s="8">
        <f t="shared" si="28"/>
        <v>82.358593960978311</v>
      </c>
      <c r="AU71" s="8">
        <f t="shared" si="28"/>
        <v>82.358593960978311</v>
      </c>
      <c r="AV71" s="8">
        <f t="shared" si="28"/>
        <v>82.358593960978311</v>
      </c>
    </row>
    <row r="72" spans="1:48">
      <c r="A72" s="199" t="s">
        <v>16</v>
      </c>
      <c r="B72" s="283" t="s">
        <v>241</v>
      </c>
      <c r="C72" s="95" t="str">
        <f t="shared" si="26"/>
        <v>Commercial - Cooking</v>
      </c>
      <c r="D72" s="95" t="s">
        <v>75</v>
      </c>
      <c r="E72" s="104">
        <f t="shared" si="29"/>
        <v>74.498085701673531</v>
      </c>
      <c r="F72" s="112">
        <f t="shared" si="30"/>
        <v>61.600009828485433</v>
      </c>
      <c r="G72" s="112">
        <f t="shared" si="27"/>
        <v>61.600009828485433</v>
      </c>
      <c r="H72" s="112">
        <f t="shared" si="31"/>
        <v>61.600009828485433</v>
      </c>
      <c r="I72" s="164">
        <f t="shared" si="27"/>
        <v>61.600009828485433</v>
      </c>
      <c r="J72" s="8">
        <f t="shared" si="32"/>
        <v>74.498085701673531</v>
      </c>
      <c r="K72" s="8">
        <f t="shared" si="32"/>
        <v>71.918470527035907</v>
      </c>
      <c r="L72" s="8">
        <f t="shared" si="32"/>
        <v>69.338855352398284</v>
      </c>
      <c r="M72" s="8">
        <f t="shared" si="32"/>
        <v>66.75924017776066</v>
      </c>
      <c r="N72" s="8">
        <f t="shared" si="32"/>
        <v>64.179625003123036</v>
      </c>
      <c r="O72" s="8">
        <f t="shared" si="32"/>
        <v>61.600009828485433</v>
      </c>
      <c r="P72" s="8">
        <f t="shared" si="32"/>
        <v>61.600009828485433</v>
      </c>
      <c r="Q72" s="8">
        <f t="shared" si="32"/>
        <v>61.600009828485433</v>
      </c>
      <c r="R72" s="8">
        <f t="shared" si="32"/>
        <v>61.600009828485433</v>
      </c>
      <c r="S72" s="8">
        <f t="shared" si="32"/>
        <v>61.600009828485433</v>
      </c>
      <c r="T72" s="8">
        <f t="shared" si="32"/>
        <v>61.600009828485433</v>
      </c>
      <c r="U72" s="8">
        <f t="shared" si="32"/>
        <v>61.600009828485433</v>
      </c>
      <c r="V72" s="8">
        <f t="shared" si="32"/>
        <v>61.600009828485433</v>
      </c>
      <c r="W72" s="8">
        <f t="shared" si="32"/>
        <v>61.600009828485433</v>
      </c>
      <c r="X72" s="8">
        <f t="shared" si="32"/>
        <v>61.600009828485433</v>
      </c>
      <c r="Y72" s="8">
        <f t="shared" si="32"/>
        <v>61.600009828485433</v>
      </c>
      <c r="Z72" s="8">
        <f t="shared" si="28"/>
        <v>61.600009828485433</v>
      </c>
      <c r="AA72" s="8">
        <f t="shared" si="28"/>
        <v>61.600009828485433</v>
      </c>
      <c r="AB72" s="8">
        <f t="shared" si="28"/>
        <v>61.600009828485433</v>
      </c>
      <c r="AC72" s="8">
        <f t="shared" si="28"/>
        <v>61.600009828485433</v>
      </c>
      <c r="AD72" s="8">
        <f t="shared" si="28"/>
        <v>61.600009828485433</v>
      </c>
      <c r="AE72" s="8">
        <f t="shared" si="28"/>
        <v>61.600009828485433</v>
      </c>
      <c r="AF72" s="8">
        <f t="shared" si="28"/>
        <v>61.600009828485433</v>
      </c>
      <c r="AG72" s="8">
        <f t="shared" si="28"/>
        <v>61.600009828485433</v>
      </c>
      <c r="AH72" s="8">
        <f t="shared" si="28"/>
        <v>61.600009828485433</v>
      </c>
      <c r="AI72" s="8">
        <f t="shared" si="28"/>
        <v>61.600009828485433</v>
      </c>
      <c r="AJ72" s="8">
        <f t="shared" si="28"/>
        <v>61.600009828485433</v>
      </c>
      <c r="AK72" s="8">
        <f t="shared" si="28"/>
        <v>61.600009828485433</v>
      </c>
      <c r="AL72" s="8">
        <f t="shared" si="28"/>
        <v>61.600009828485433</v>
      </c>
      <c r="AM72" s="8">
        <f t="shared" si="28"/>
        <v>61.600009828485433</v>
      </c>
      <c r="AN72" s="8">
        <f t="shared" si="28"/>
        <v>61.600009828485433</v>
      </c>
      <c r="AO72" s="8">
        <f t="shared" si="28"/>
        <v>61.600009828485433</v>
      </c>
      <c r="AP72" s="8">
        <f t="shared" si="28"/>
        <v>61.600009828485433</v>
      </c>
      <c r="AQ72" s="8">
        <f t="shared" si="28"/>
        <v>61.600009828485433</v>
      </c>
      <c r="AR72" s="8">
        <f t="shared" si="28"/>
        <v>61.600009828485433</v>
      </c>
      <c r="AS72" s="8">
        <f t="shared" si="28"/>
        <v>61.600009828485433</v>
      </c>
      <c r="AT72" s="8">
        <f t="shared" si="28"/>
        <v>61.600009828485433</v>
      </c>
      <c r="AU72" s="8">
        <f t="shared" si="28"/>
        <v>61.600009828485433</v>
      </c>
      <c r="AV72" s="8">
        <f t="shared" si="28"/>
        <v>61.600009828485433</v>
      </c>
    </row>
    <row r="73" spans="1:48">
      <c r="A73" s="199" t="s">
        <v>16</v>
      </c>
      <c r="B73" s="283" t="s">
        <v>242</v>
      </c>
      <c r="C73" s="95" t="str">
        <f t="shared" si="26"/>
        <v>Commercial - Lighting</v>
      </c>
      <c r="D73" s="95" t="s">
        <v>75</v>
      </c>
      <c r="E73" s="104">
        <f t="shared" si="29"/>
        <v>915.10615144128838</v>
      </c>
      <c r="F73" s="112">
        <f t="shared" si="30"/>
        <v>751.53345395954977</v>
      </c>
      <c r="G73" s="112">
        <f t="shared" si="27"/>
        <v>751.53345395954977</v>
      </c>
      <c r="H73" s="112">
        <f t="shared" si="31"/>
        <v>751.53345395954977</v>
      </c>
      <c r="I73" s="164">
        <f t="shared" si="27"/>
        <v>751.53345395954977</v>
      </c>
      <c r="J73" s="8">
        <f t="shared" si="32"/>
        <v>915.10615144128838</v>
      </c>
      <c r="K73" s="8">
        <f t="shared" si="32"/>
        <v>882.39161194494068</v>
      </c>
      <c r="L73" s="8">
        <f t="shared" si="32"/>
        <v>849.67707244859298</v>
      </c>
      <c r="M73" s="8">
        <f t="shared" si="32"/>
        <v>816.96253295224528</v>
      </c>
      <c r="N73" s="8">
        <f t="shared" si="32"/>
        <v>784.24799345589759</v>
      </c>
      <c r="O73" s="8">
        <f t="shared" si="32"/>
        <v>751.53345395954977</v>
      </c>
      <c r="P73" s="8">
        <f t="shared" si="32"/>
        <v>751.53345395954977</v>
      </c>
      <c r="Q73" s="8">
        <f t="shared" si="32"/>
        <v>751.53345395954977</v>
      </c>
      <c r="R73" s="8">
        <f t="shared" si="32"/>
        <v>751.53345395954977</v>
      </c>
      <c r="S73" s="8">
        <f t="shared" si="32"/>
        <v>751.53345395954977</v>
      </c>
      <c r="T73" s="8">
        <f t="shared" si="32"/>
        <v>751.53345395954977</v>
      </c>
      <c r="U73" s="8">
        <f t="shared" si="32"/>
        <v>751.53345395954977</v>
      </c>
      <c r="V73" s="8">
        <f t="shared" si="32"/>
        <v>751.53345395954977</v>
      </c>
      <c r="W73" s="8">
        <f t="shared" si="32"/>
        <v>751.53345395954977</v>
      </c>
      <c r="X73" s="8">
        <f t="shared" si="32"/>
        <v>751.53345395954977</v>
      </c>
      <c r="Y73" s="8">
        <f t="shared" si="32"/>
        <v>751.53345395954977</v>
      </c>
      <c r="Z73" s="8">
        <f t="shared" si="28"/>
        <v>751.53345395954977</v>
      </c>
      <c r="AA73" s="8">
        <f t="shared" si="28"/>
        <v>751.53345395954977</v>
      </c>
      <c r="AB73" s="8">
        <f t="shared" si="28"/>
        <v>751.53345395954977</v>
      </c>
      <c r="AC73" s="8">
        <f t="shared" si="28"/>
        <v>751.53345395954977</v>
      </c>
      <c r="AD73" s="8">
        <f t="shared" si="28"/>
        <v>751.53345395954977</v>
      </c>
      <c r="AE73" s="8">
        <f t="shared" si="28"/>
        <v>751.53345395954977</v>
      </c>
      <c r="AF73" s="8">
        <f t="shared" si="28"/>
        <v>751.53345395954977</v>
      </c>
      <c r="AG73" s="8">
        <f t="shared" si="28"/>
        <v>751.53345395954977</v>
      </c>
      <c r="AH73" s="8">
        <f t="shared" si="28"/>
        <v>751.53345395954977</v>
      </c>
      <c r="AI73" s="8">
        <f t="shared" si="28"/>
        <v>751.53345395954977</v>
      </c>
      <c r="AJ73" s="8">
        <f t="shared" si="28"/>
        <v>751.53345395954977</v>
      </c>
      <c r="AK73" s="8">
        <f t="shared" si="28"/>
        <v>751.53345395954977</v>
      </c>
      <c r="AL73" s="8">
        <f t="shared" si="28"/>
        <v>751.53345395954977</v>
      </c>
      <c r="AM73" s="8">
        <f t="shared" si="28"/>
        <v>751.53345395954977</v>
      </c>
      <c r="AN73" s="8">
        <f t="shared" si="28"/>
        <v>751.53345395954977</v>
      </c>
      <c r="AO73" s="8">
        <f t="shared" si="28"/>
        <v>751.53345395954977</v>
      </c>
      <c r="AP73" s="8">
        <f t="shared" si="28"/>
        <v>751.53345395954977</v>
      </c>
      <c r="AQ73" s="8">
        <f t="shared" si="28"/>
        <v>751.53345395954977</v>
      </c>
      <c r="AR73" s="8">
        <f t="shared" si="28"/>
        <v>751.53345395954977</v>
      </c>
      <c r="AS73" s="8">
        <f t="shared" si="28"/>
        <v>751.53345395954977</v>
      </c>
      <c r="AT73" s="8">
        <f t="shared" si="28"/>
        <v>751.53345395954977</v>
      </c>
      <c r="AU73" s="8">
        <f t="shared" si="28"/>
        <v>751.53345395954977</v>
      </c>
      <c r="AV73" s="8">
        <f t="shared" si="28"/>
        <v>751.53345395954977</v>
      </c>
    </row>
    <row r="74" spans="1:48">
      <c r="A74" s="199" t="s">
        <v>16</v>
      </c>
      <c r="B74" s="283" t="s">
        <v>243</v>
      </c>
      <c r="C74" s="95" t="str">
        <f t="shared" si="26"/>
        <v>Commercial - Refrigeration</v>
      </c>
      <c r="D74" s="95" t="s">
        <v>75</v>
      </c>
      <c r="E74" s="104">
        <f t="shared" si="29"/>
        <v>222.61251585750318</v>
      </c>
      <c r="F74" s="112">
        <f t="shared" si="30"/>
        <v>182.82114339797238</v>
      </c>
      <c r="G74" s="112">
        <f t="shared" si="27"/>
        <v>182.82114339797238</v>
      </c>
      <c r="H74" s="112">
        <f t="shared" si="31"/>
        <v>182.82114339797238</v>
      </c>
      <c r="I74" s="164">
        <f t="shared" si="27"/>
        <v>182.82114339797238</v>
      </c>
      <c r="J74" s="8">
        <f t="shared" si="32"/>
        <v>222.61251585750318</v>
      </c>
      <c r="K74" s="8">
        <f t="shared" si="32"/>
        <v>214.65424136559702</v>
      </c>
      <c r="L74" s="8">
        <f t="shared" si="32"/>
        <v>206.69596687369085</v>
      </c>
      <c r="M74" s="8">
        <f t="shared" si="32"/>
        <v>198.73769238178468</v>
      </c>
      <c r="N74" s="8">
        <f t="shared" si="32"/>
        <v>190.77941788987852</v>
      </c>
      <c r="O74" s="8">
        <f t="shared" si="32"/>
        <v>182.82114339797238</v>
      </c>
      <c r="P74" s="8">
        <f t="shared" si="32"/>
        <v>182.82114339797238</v>
      </c>
      <c r="Q74" s="8">
        <f t="shared" si="32"/>
        <v>182.82114339797238</v>
      </c>
      <c r="R74" s="8">
        <f t="shared" si="32"/>
        <v>182.82114339797238</v>
      </c>
      <c r="S74" s="8">
        <f t="shared" si="32"/>
        <v>182.82114339797238</v>
      </c>
      <c r="T74" s="8">
        <f t="shared" si="32"/>
        <v>182.82114339797238</v>
      </c>
      <c r="U74" s="8">
        <f t="shared" si="32"/>
        <v>182.82114339797238</v>
      </c>
      <c r="V74" s="8">
        <f t="shared" si="32"/>
        <v>182.82114339797238</v>
      </c>
      <c r="W74" s="8">
        <f t="shared" si="32"/>
        <v>182.82114339797238</v>
      </c>
      <c r="X74" s="8">
        <f t="shared" si="32"/>
        <v>182.82114339797238</v>
      </c>
      <c r="Y74" s="8">
        <f t="shared" si="32"/>
        <v>182.82114339797238</v>
      </c>
      <c r="Z74" s="8">
        <f t="shared" si="28"/>
        <v>182.82114339797238</v>
      </c>
      <c r="AA74" s="8">
        <f t="shared" si="28"/>
        <v>182.82114339797238</v>
      </c>
      <c r="AB74" s="8">
        <f t="shared" si="28"/>
        <v>182.82114339797238</v>
      </c>
      <c r="AC74" s="8">
        <f t="shared" si="28"/>
        <v>182.82114339797238</v>
      </c>
      <c r="AD74" s="8">
        <f t="shared" si="28"/>
        <v>182.82114339797238</v>
      </c>
      <c r="AE74" s="8">
        <f t="shared" si="28"/>
        <v>182.82114339797238</v>
      </c>
      <c r="AF74" s="8">
        <f t="shared" si="28"/>
        <v>182.82114339797238</v>
      </c>
      <c r="AG74" s="8">
        <f t="shared" si="28"/>
        <v>182.82114339797238</v>
      </c>
      <c r="AH74" s="8">
        <f t="shared" si="28"/>
        <v>182.82114339797238</v>
      </c>
      <c r="AI74" s="8">
        <f t="shared" si="28"/>
        <v>182.82114339797238</v>
      </c>
      <c r="AJ74" s="8">
        <f t="shared" si="28"/>
        <v>182.82114339797238</v>
      </c>
      <c r="AK74" s="8">
        <f t="shared" si="28"/>
        <v>182.82114339797238</v>
      </c>
      <c r="AL74" s="8">
        <f t="shared" si="28"/>
        <v>182.82114339797238</v>
      </c>
      <c r="AM74" s="8">
        <f t="shared" si="28"/>
        <v>182.82114339797238</v>
      </c>
      <c r="AN74" s="8">
        <f t="shared" si="28"/>
        <v>182.82114339797238</v>
      </c>
      <c r="AO74" s="8">
        <f t="shared" si="28"/>
        <v>182.82114339797238</v>
      </c>
      <c r="AP74" s="8">
        <f t="shared" si="28"/>
        <v>182.82114339797238</v>
      </c>
      <c r="AQ74" s="8">
        <f t="shared" si="28"/>
        <v>182.82114339797238</v>
      </c>
      <c r="AR74" s="8">
        <f t="shared" si="28"/>
        <v>182.82114339797238</v>
      </c>
      <c r="AS74" s="8">
        <f t="shared" si="28"/>
        <v>182.82114339797238</v>
      </c>
      <c r="AT74" s="8">
        <f t="shared" si="28"/>
        <v>182.82114339797238</v>
      </c>
      <c r="AU74" s="8">
        <f t="shared" si="28"/>
        <v>182.82114339797238</v>
      </c>
      <c r="AV74" s="8">
        <f t="shared" si="28"/>
        <v>182.82114339797238</v>
      </c>
    </row>
    <row r="75" spans="1:48">
      <c r="A75" s="199" t="s">
        <v>16</v>
      </c>
      <c r="B75" s="283" t="s">
        <v>244</v>
      </c>
      <c r="C75" s="95" t="str">
        <f t="shared" si="26"/>
        <v>Commercial - Water Heating</v>
      </c>
      <c r="D75" s="95" t="s">
        <v>75</v>
      </c>
      <c r="E75" s="104">
        <f t="shared" si="29"/>
        <v>72.906473658117989</v>
      </c>
      <c r="F75" s="112">
        <f t="shared" si="30"/>
        <v>95.302792315124151</v>
      </c>
      <c r="G75" s="112">
        <f t="shared" si="27"/>
        <v>95.302792315124151</v>
      </c>
      <c r="H75" s="112">
        <f t="shared" si="31"/>
        <v>95.302792315124151</v>
      </c>
      <c r="I75" s="164">
        <f t="shared" si="27"/>
        <v>95.302792315124151</v>
      </c>
      <c r="J75" s="8">
        <f t="shared" si="32"/>
        <v>72.906473658117989</v>
      </c>
      <c r="K75" s="8">
        <f t="shared" si="32"/>
        <v>77.385737389519221</v>
      </c>
      <c r="L75" s="8">
        <f t="shared" si="32"/>
        <v>81.865001120920454</v>
      </c>
      <c r="M75" s="8">
        <f t="shared" si="32"/>
        <v>86.344264852321686</v>
      </c>
      <c r="N75" s="8">
        <f t="shared" si="32"/>
        <v>90.823528583722918</v>
      </c>
      <c r="O75" s="8">
        <f t="shared" si="32"/>
        <v>95.302792315124151</v>
      </c>
      <c r="P75" s="8">
        <f t="shared" si="32"/>
        <v>95.302792315124151</v>
      </c>
      <c r="Q75" s="8">
        <f t="shared" si="32"/>
        <v>95.302792315124151</v>
      </c>
      <c r="R75" s="8">
        <f t="shared" si="32"/>
        <v>95.302792315124151</v>
      </c>
      <c r="S75" s="8">
        <f t="shared" si="32"/>
        <v>95.302792315124151</v>
      </c>
      <c r="T75" s="8">
        <f t="shared" si="32"/>
        <v>95.302792315124151</v>
      </c>
      <c r="U75" s="8">
        <f t="shared" si="32"/>
        <v>95.302792315124151</v>
      </c>
      <c r="V75" s="8">
        <f t="shared" si="32"/>
        <v>95.302792315124151</v>
      </c>
      <c r="W75" s="8">
        <f t="shared" si="32"/>
        <v>95.302792315124151</v>
      </c>
      <c r="X75" s="8">
        <f t="shared" si="32"/>
        <v>95.302792315124151</v>
      </c>
      <c r="Y75" s="8">
        <f t="shared" si="32"/>
        <v>95.302792315124151</v>
      </c>
      <c r="Z75" s="8">
        <f t="shared" si="28"/>
        <v>95.302792315124151</v>
      </c>
      <c r="AA75" s="8">
        <f t="shared" si="28"/>
        <v>95.302792315124151</v>
      </c>
      <c r="AB75" s="8">
        <f t="shared" si="28"/>
        <v>95.302792315124151</v>
      </c>
      <c r="AC75" s="8">
        <f t="shared" si="28"/>
        <v>95.302792315124151</v>
      </c>
      <c r="AD75" s="8">
        <f t="shared" si="28"/>
        <v>95.302792315124151</v>
      </c>
      <c r="AE75" s="8">
        <f t="shared" si="28"/>
        <v>95.302792315124151</v>
      </c>
      <c r="AF75" s="8">
        <f t="shared" si="28"/>
        <v>95.302792315124151</v>
      </c>
      <c r="AG75" s="8">
        <f t="shared" si="28"/>
        <v>95.302792315124151</v>
      </c>
      <c r="AH75" s="8">
        <f t="shared" si="28"/>
        <v>95.302792315124151</v>
      </c>
      <c r="AI75" s="8">
        <f t="shared" si="28"/>
        <v>95.302792315124151</v>
      </c>
      <c r="AJ75" s="8">
        <f t="shared" si="28"/>
        <v>95.302792315124151</v>
      </c>
      <c r="AK75" s="8">
        <f t="shared" si="28"/>
        <v>95.302792315124151</v>
      </c>
      <c r="AL75" s="8">
        <f t="shared" si="28"/>
        <v>95.302792315124151</v>
      </c>
      <c r="AM75" s="8">
        <f t="shared" si="28"/>
        <v>95.302792315124151</v>
      </c>
      <c r="AN75" s="8">
        <f t="shared" si="28"/>
        <v>95.302792315124151</v>
      </c>
      <c r="AO75" s="8">
        <f t="shared" si="28"/>
        <v>95.302792315124151</v>
      </c>
      <c r="AP75" s="8">
        <f t="shared" si="28"/>
        <v>95.302792315124151</v>
      </c>
      <c r="AQ75" s="8">
        <f t="shared" si="28"/>
        <v>95.302792315124151</v>
      </c>
      <c r="AR75" s="8">
        <f t="shared" si="28"/>
        <v>95.302792315124151</v>
      </c>
      <c r="AS75" s="8">
        <f t="shared" si="28"/>
        <v>95.302792315124151</v>
      </c>
      <c r="AT75" s="8">
        <f t="shared" si="28"/>
        <v>95.302792315124151</v>
      </c>
      <c r="AU75" s="8">
        <f t="shared" si="28"/>
        <v>95.302792315124151</v>
      </c>
      <c r="AV75" s="8">
        <f t="shared" si="28"/>
        <v>95.302792315124151</v>
      </c>
    </row>
    <row r="76" spans="1:48">
      <c r="A76" s="199" t="s">
        <v>16</v>
      </c>
      <c r="B76" s="283" t="s">
        <v>245</v>
      </c>
      <c r="C76" s="115" t="str">
        <f t="shared" si="26"/>
        <v>Commercial - Public lights</v>
      </c>
      <c r="D76" s="115" t="s">
        <v>75</v>
      </c>
      <c r="E76" s="181">
        <v>0</v>
      </c>
      <c r="F76" s="112">
        <v>0</v>
      </c>
      <c r="G76" s="182">
        <f t="shared" si="27"/>
        <v>0</v>
      </c>
      <c r="H76" s="112">
        <f t="shared" si="31"/>
        <v>0</v>
      </c>
      <c r="I76" s="183">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199" t="s">
        <v>16</v>
      </c>
      <c r="B77" s="283" t="s">
        <v>246</v>
      </c>
      <c r="C77" s="115" t="str">
        <f t="shared" si="26"/>
        <v>Commercial - Public Water</v>
      </c>
      <c r="D77" s="115" t="s">
        <v>75</v>
      </c>
      <c r="E77" s="181">
        <v>0</v>
      </c>
      <c r="F77" s="112">
        <v>0</v>
      </c>
      <c r="G77" s="182">
        <f t="shared" si="27"/>
        <v>0</v>
      </c>
      <c r="H77" s="112">
        <f t="shared" si="31"/>
        <v>0</v>
      </c>
      <c r="I77" s="183">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199" t="s">
        <v>16</v>
      </c>
      <c r="B78" s="283" t="s">
        <v>247</v>
      </c>
      <c r="C78" s="95" t="str">
        <f t="shared" si="26"/>
        <v>Commercial - Other</v>
      </c>
      <c r="D78" s="95" t="s">
        <v>75</v>
      </c>
      <c r="E78" s="104">
        <f>$D64/J$23</f>
        <v>141.24997285391134</v>
      </c>
      <c r="F78" s="112">
        <f t="shared" si="30"/>
        <v>122.0500288304751</v>
      </c>
      <c r="G78" s="112">
        <f t="shared" si="27"/>
        <v>122.0500288304751</v>
      </c>
      <c r="H78" s="112">
        <f t="shared" si="31"/>
        <v>122.0500288304751</v>
      </c>
      <c r="I78" s="164">
        <f t="shared" si="27"/>
        <v>122.0500288304751</v>
      </c>
      <c r="J78" s="8">
        <f t="shared" si="32"/>
        <v>141.24997285391134</v>
      </c>
      <c r="K78" s="8">
        <f t="shared" si="32"/>
        <v>137.40998404922411</v>
      </c>
      <c r="L78" s="8">
        <f t="shared" si="32"/>
        <v>133.56999524453687</v>
      </c>
      <c r="M78" s="8">
        <f t="shared" si="32"/>
        <v>129.73000643984963</v>
      </c>
      <c r="N78" s="8">
        <f t="shared" si="32"/>
        <v>125.89001763516238</v>
      </c>
      <c r="O78" s="8">
        <f t="shared" si="32"/>
        <v>122.0500288304751</v>
      </c>
      <c r="P78" s="8">
        <f t="shared" si="32"/>
        <v>122.0500288304751</v>
      </c>
      <c r="Q78" s="8">
        <f t="shared" si="32"/>
        <v>122.0500288304751</v>
      </c>
      <c r="R78" s="8">
        <f t="shared" si="32"/>
        <v>122.0500288304751</v>
      </c>
      <c r="S78" s="8">
        <f t="shared" si="32"/>
        <v>122.0500288304751</v>
      </c>
      <c r="T78" s="8">
        <f t="shared" si="32"/>
        <v>122.0500288304751</v>
      </c>
      <c r="U78" s="8">
        <f t="shared" si="32"/>
        <v>122.0500288304751</v>
      </c>
      <c r="V78" s="8">
        <f t="shared" si="32"/>
        <v>122.0500288304751</v>
      </c>
      <c r="W78" s="8">
        <f t="shared" si="32"/>
        <v>122.0500288304751</v>
      </c>
      <c r="X78" s="8">
        <f t="shared" si="32"/>
        <v>122.0500288304751</v>
      </c>
      <c r="Y78" s="8">
        <f t="shared" si="32"/>
        <v>122.0500288304751</v>
      </c>
      <c r="Z78" s="8">
        <f t="shared" si="28"/>
        <v>122.0500288304751</v>
      </c>
      <c r="AA78" s="8">
        <f t="shared" si="28"/>
        <v>122.0500288304751</v>
      </c>
      <c r="AB78" s="8">
        <f t="shared" si="28"/>
        <v>122.0500288304751</v>
      </c>
      <c r="AC78" s="8">
        <f t="shared" si="28"/>
        <v>122.0500288304751</v>
      </c>
      <c r="AD78" s="8">
        <f t="shared" si="28"/>
        <v>122.0500288304751</v>
      </c>
      <c r="AE78" s="8">
        <f t="shared" si="28"/>
        <v>122.0500288304751</v>
      </c>
      <c r="AF78" s="8">
        <f t="shared" si="28"/>
        <v>122.0500288304751</v>
      </c>
      <c r="AG78" s="8">
        <f t="shared" si="28"/>
        <v>122.0500288304751</v>
      </c>
      <c r="AH78" s="8">
        <f t="shared" si="28"/>
        <v>122.0500288304751</v>
      </c>
      <c r="AI78" s="8">
        <f t="shared" si="28"/>
        <v>122.0500288304751</v>
      </c>
      <c r="AJ78" s="8">
        <f t="shared" si="28"/>
        <v>122.0500288304751</v>
      </c>
      <c r="AK78" s="8">
        <f t="shared" si="28"/>
        <v>122.0500288304751</v>
      </c>
      <c r="AL78" s="8">
        <f t="shared" si="28"/>
        <v>122.0500288304751</v>
      </c>
      <c r="AM78" s="8">
        <f t="shared" si="28"/>
        <v>122.0500288304751</v>
      </c>
      <c r="AN78" s="8">
        <f t="shared" si="28"/>
        <v>122.0500288304751</v>
      </c>
      <c r="AO78" s="8">
        <f t="shared" si="28"/>
        <v>122.0500288304751</v>
      </c>
      <c r="AP78" s="8">
        <f t="shared" si="28"/>
        <v>122.0500288304751</v>
      </c>
      <c r="AQ78" s="8">
        <f t="shared" si="28"/>
        <v>122.0500288304751</v>
      </c>
      <c r="AR78" s="8">
        <f t="shared" si="28"/>
        <v>122.0500288304751</v>
      </c>
      <c r="AS78" s="8">
        <f t="shared" si="28"/>
        <v>122.0500288304751</v>
      </c>
      <c r="AT78" s="8">
        <f t="shared" si="28"/>
        <v>122.0500288304751</v>
      </c>
      <c r="AU78" s="8">
        <f t="shared" si="28"/>
        <v>122.0500288304751</v>
      </c>
      <c r="AV78" s="8">
        <f t="shared" si="28"/>
        <v>122.0500288304751</v>
      </c>
    </row>
    <row r="79" spans="1:48">
      <c r="A79" s="199" t="s">
        <v>16</v>
      </c>
      <c r="B79" s="283"/>
      <c r="I79" s="184"/>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row>
    <row r="80" spans="1:48" ht="15.75" thickBot="1">
      <c r="A80" s="199" t="s">
        <v>16</v>
      </c>
      <c r="B80" s="111" t="s">
        <v>77</v>
      </c>
      <c r="C80" s="92"/>
      <c r="D80" s="93"/>
      <c r="H80" s="155"/>
      <c r="I80" s="165"/>
      <c r="K80" s="95"/>
    </row>
    <row r="81" spans="1:48">
      <c r="A81" s="199" t="s">
        <v>16</v>
      </c>
      <c r="B81" s="283" t="s">
        <v>248</v>
      </c>
      <c r="C81" s="95" t="str">
        <f t="shared" ref="C81:C89" si="33">C70</f>
        <v>Commercial - Cooling</v>
      </c>
      <c r="D81" s="95" t="s">
        <v>75</v>
      </c>
      <c r="E81" s="104">
        <f>E70</f>
        <v>1051.567060091292</v>
      </c>
      <c r="F81" s="112">
        <f>F70</f>
        <v>863.60235202855756</v>
      </c>
      <c r="G81" s="112">
        <f t="shared" ref="G81:G89" si="34">F81</f>
        <v>863.60235202855756</v>
      </c>
      <c r="H81" s="112">
        <f>G81*(1+$H$69)</f>
        <v>863.60235202855756</v>
      </c>
      <c r="I81" s="164">
        <f t="shared" ref="I81:I89" si="35">H81</f>
        <v>863.60235202855756</v>
      </c>
      <c r="J81" s="8">
        <f>IF(J$8=-1,K81,IF(J$8=99,I81,IF(J$8=0,INDEX($E81:$I81,0,J$6),(INDEX($E81:$I81,0,J$8+1)-INDEX($E81:$I81,0,J$8))/(INDEX($D$5:$H$5,0,J$8+1)-INDEX($D$5:$H$5,0,J$8))+I81)))</f>
        <v>1051.567060091292</v>
      </c>
      <c r="K81" s="8">
        <f>IF(K$8=-1,L81,IF(K$8=99,J81,IF(K$8=0,INDEX($E81:$I81,0,K$6),(INDEX($E81:$I81,0,K$8+1)-INDEX($E81:$I81,0,K$8))/(INDEX($D$5:$H$5,0,K$8+1)-INDEX($D$5:$H$5,0,K$8))+J81)))</f>
        <v>1013.9741184787451</v>
      </c>
      <c r="L81" s="8">
        <f t="shared" ref="L81:AA89" si="36">IF(L$8=-1,M81,IF(L$8=99,K81,IF(L$8=0,INDEX($E81:$I81,0,L$6),(INDEX($E81:$I81,0,L$8+1)-INDEX($E81:$I81,0,L$8))/(INDEX($D$5:$H$5,0,L$8+1)-INDEX($D$5:$H$5,0,L$8))+K81)))</f>
        <v>976.3811768661983</v>
      </c>
      <c r="M81" s="8">
        <f t="shared" si="36"/>
        <v>938.78823525365146</v>
      </c>
      <c r="N81" s="8">
        <f t="shared" si="36"/>
        <v>901.19529364110463</v>
      </c>
      <c r="O81" s="8">
        <f t="shared" si="36"/>
        <v>863.60235202855756</v>
      </c>
      <c r="P81" s="8">
        <f t="shared" si="36"/>
        <v>863.60235202855756</v>
      </c>
      <c r="Q81" s="8">
        <f t="shared" si="36"/>
        <v>863.60235202855756</v>
      </c>
      <c r="R81" s="8">
        <f t="shared" si="36"/>
        <v>863.60235202855756</v>
      </c>
      <c r="S81" s="8">
        <f t="shared" si="36"/>
        <v>863.60235202855756</v>
      </c>
      <c r="T81" s="8">
        <f t="shared" si="36"/>
        <v>863.60235202855756</v>
      </c>
      <c r="U81" s="8">
        <f t="shared" si="36"/>
        <v>863.60235202855756</v>
      </c>
      <c r="V81" s="8">
        <f t="shared" si="36"/>
        <v>863.60235202855756</v>
      </c>
      <c r="W81" s="8">
        <f t="shared" si="36"/>
        <v>863.60235202855756</v>
      </c>
      <c r="X81" s="8">
        <f t="shared" si="36"/>
        <v>863.60235202855756</v>
      </c>
      <c r="Y81" s="8">
        <f t="shared" si="36"/>
        <v>863.60235202855756</v>
      </c>
      <c r="Z81" s="8">
        <f t="shared" si="36"/>
        <v>863.60235202855756</v>
      </c>
      <c r="AA81" s="8">
        <f t="shared" si="36"/>
        <v>863.60235202855756</v>
      </c>
      <c r="AB81" s="8">
        <f t="shared" ref="AB81:AQ89" si="37">IF(AB$8=-1,AC81,IF(AB$8=99,AA81,IF(AB$8=0,INDEX($E81:$I81,0,AB$6),(INDEX($E81:$I81,0,AB$8+1)-INDEX($E81:$I81,0,AB$8))/(INDEX($D$5:$H$5,0,AB$8+1)-INDEX($D$5:$H$5,0,AB$8))+AA81)))</f>
        <v>863.60235202855756</v>
      </c>
      <c r="AC81" s="8">
        <f t="shared" si="37"/>
        <v>863.60235202855756</v>
      </c>
      <c r="AD81" s="8">
        <f t="shared" si="37"/>
        <v>863.60235202855756</v>
      </c>
      <c r="AE81" s="8">
        <f t="shared" si="37"/>
        <v>863.60235202855756</v>
      </c>
      <c r="AF81" s="8">
        <f t="shared" si="37"/>
        <v>863.60235202855756</v>
      </c>
      <c r="AG81" s="8">
        <f t="shared" si="37"/>
        <v>863.60235202855756</v>
      </c>
      <c r="AH81" s="8">
        <f t="shared" si="37"/>
        <v>863.60235202855756</v>
      </c>
      <c r="AI81" s="8">
        <f t="shared" si="37"/>
        <v>863.60235202855756</v>
      </c>
      <c r="AJ81" s="8">
        <f t="shared" si="37"/>
        <v>863.60235202855756</v>
      </c>
      <c r="AK81" s="8">
        <f t="shared" si="37"/>
        <v>863.60235202855756</v>
      </c>
      <c r="AL81" s="8">
        <f t="shared" si="37"/>
        <v>863.60235202855756</v>
      </c>
      <c r="AM81" s="8">
        <f t="shared" si="37"/>
        <v>863.60235202855756</v>
      </c>
      <c r="AN81" s="8">
        <f t="shared" si="37"/>
        <v>863.60235202855756</v>
      </c>
      <c r="AO81" s="8">
        <f t="shared" si="37"/>
        <v>863.60235202855756</v>
      </c>
      <c r="AP81" s="8">
        <f t="shared" si="37"/>
        <v>863.60235202855756</v>
      </c>
      <c r="AQ81" s="8">
        <f t="shared" si="37"/>
        <v>863.60235202855756</v>
      </c>
      <c r="AR81" s="8">
        <f t="shared" ref="AR81:AV89" si="38">IF(AR$8=-1,AS81,IF(AR$8=99,AQ81,IF(AR$8=0,INDEX($E81:$I81,0,AR$6),(INDEX($E81:$I81,0,AR$8+1)-INDEX($E81:$I81,0,AR$8))/(INDEX($D$5:$H$5,0,AR$8+1)-INDEX($D$5:$H$5,0,AR$8))+AQ81)))</f>
        <v>863.60235202855756</v>
      </c>
      <c r="AS81" s="8">
        <f t="shared" si="38"/>
        <v>863.60235202855756</v>
      </c>
      <c r="AT81" s="8">
        <f t="shared" si="38"/>
        <v>863.60235202855756</v>
      </c>
      <c r="AU81" s="8">
        <f t="shared" si="38"/>
        <v>863.60235202855756</v>
      </c>
      <c r="AV81" s="8">
        <f t="shared" si="38"/>
        <v>863.60235202855756</v>
      </c>
    </row>
    <row r="82" spans="1:48">
      <c r="A82" s="199" t="s">
        <v>16</v>
      </c>
      <c r="B82" s="283" t="s">
        <v>249</v>
      </c>
      <c r="C82" s="95" t="str">
        <f t="shared" si="33"/>
        <v>Commercial - Space Heating</v>
      </c>
      <c r="D82" s="95" t="s">
        <v>75</v>
      </c>
      <c r="E82" s="104">
        <f t="shared" ref="E82:F89" si="39">E71</f>
        <v>59.117764859369188</v>
      </c>
      <c r="F82" s="112">
        <f t="shared" si="39"/>
        <v>82.358593960978311</v>
      </c>
      <c r="G82" s="112">
        <f t="shared" si="34"/>
        <v>82.358593960978311</v>
      </c>
      <c r="H82" s="112">
        <f t="shared" ref="H82:H89" si="40">G82*(1+$H$69)</f>
        <v>82.358593960978311</v>
      </c>
      <c r="I82" s="164">
        <f t="shared" si="35"/>
        <v>82.358593960978311</v>
      </c>
      <c r="J82" s="8">
        <f t="shared" ref="J82:K89" si="41">IF(J$8=-1,K82,IF(J$8=99,I82,IF(J$8=0,INDEX($E82:$I82,0,J$6),(INDEX($E82:$I82,0,J$8+1)-INDEX($E82:$I82,0,J$8))/(INDEX($D$5:$H$5,0,J$8+1)-INDEX($D$5:$H$5,0,J$8))+I82)))</f>
        <v>59.117764859369188</v>
      </c>
      <c r="K82" s="8">
        <f t="shared" si="41"/>
        <v>63.76593067969101</v>
      </c>
      <c r="L82" s="8">
        <f t="shared" si="36"/>
        <v>68.414096500012832</v>
      </c>
      <c r="M82" s="8">
        <f t="shared" si="36"/>
        <v>73.062262320334654</v>
      </c>
      <c r="N82" s="8">
        <f t="shared" si="36"/>
        <v>77.710428140656475</v>
      </c>
      <c r="O82" s="8">
        <f t="shared" si="36"/>
        <v>82.358593960978311</v>
      </c>
      <c r="P82" s="8">
        <f t="shared" si="36"/>
        <v>82.358593960978311</v>
      </c>
      <c r="Q82" s="8">
        <f t="shared" si="36"/>
        <v>82.358593960978311</v>
      </c>
      <c r="R82" s="8">
        <f t="shared" si="36"/>
        <v>82.358593960978311</v>
      </c>
      <c r="S82" s="8">
        <f t="shared" si="36"/>
        <v>82.358593960978311</v>
      </c>
      <c r="T82" s="8">
        <f t="shared" si="36"/>
        <v>82.358593960978311</v>
      </c>
      <c r="U82" s="8">
        <f t="shared" si="36"/>
        <v>82.358593960978311</v>
      </c>
      <c r="V82" s="8">
        <f t="shared" si="36"/>
        <v>82.358593960978311</v>
      </c>
      <c r="W82" s="8">
        <f t="shared" si="36"/>
        <v>82.358593960978311</v>
      </c>
      <c r="X82" s="8">
        <f t="shared" si="36"/>
        <v>82.358593960978311</v>
      </c>
      <c r="Y82" s="8">
        <f t="shared" si="36"/>
        <v>82.358593960978311</v>
      </c>
      <c r="Z82" s="8">
        <f t="shared" si="36"/>
        <v>82.358593960978311</v>
      </c>
      <c r="AA82" s="8">
        <f t="shared" si="36"/>
        <v>82.358593960978311</v>
      </c>
      <c r="AB82" s="8">
        <f t="shared" si="37"/>
        <v>82.358593960978311</v>
      </c>
      <c r="AC82" s="8">
        <f t="shared" si="37"/>
        <v>82.358593960978311</v>
      </c>
      <c r="AD82" s="8">
        <f t="shared" si="37"/>
        <v>82.358593960978311</v>
      </c>
      <c r="AE82" s="8">
        <f t="shared" si="37"/>
        <v>82.358593960978311</v>
      </c>
      <c r="AF82" s="8">
        <f t="shared" si="37"/>
        <v>82.358593960978311</v>
      </c>
      <c r="AG82" s="8">
        <f t="shared" si="37"/>
        <v>82.358593960978311</v>
      </c>
      <c r="AH82" s="8">
        <f t="shared" si="37"/>
        <v>82.358593960978311</v>
      </c>
      <c r="AI82" s="8">
        <f t="shared" si="37"/>
        <v>82.358593960978311</v>
      </c>
      <c r="AJ82" s="8">
        <f t="shared" si="37"/>
        <v>82.358593960978311</v>
      </c>
      <c r="AK82" s="8">
        <f t="shared" si="37"/>
        <v>82.358593960978311</v>
      </c>
      <c r="AL82" s="8">
        <f t="shared" si="37"/>
        <v>82.358593960978311</v>
      </c>
      <c r="AM82" s="8">
        <f t="shared" si="37"/>
        <v>82.358593960978311</v>
      </c>
      <c r="AN82" s="8">
        <f t="shared" si="37"/>
        <v>82.358593960978311</v>
      </c>
      <c r="AO82" s="8">
        <f t="shared" si="37"/>
        <v>82.358593960978311</v>
      </c>
      <c r="AP82" s="8">
        <f t="shared" si="37"/>
        <v>82.358593960978311</v>
      </c>
      <c r="AQ82" s="8">
        <f t="shared" si="37"/>
        <v>82.358593960978311</v>
      </c>
      <c r="AR82" s="8">
        <f t="shared" si="38"/>
        <v>82.358593960978311</v>
      </c>
      <c r="AS82" s="8">
        <f t="shared" si="38"/>
        <v>82.358593960978311</v>
      </c>
      <c r="AT82" s="8">
        <f t="shared" si="38"/>
        <v>82.358593960978311</v>
      </c>
      <c r="AU82" s="8">
        <f t="shared" si="38"/>
        <v>82.358593960978311</v>
      </c>
      <c r="AV82" s="8">
        <f t="shared" si="38"/>
        <v>82.358593960978311</v>
      </c>
    </row>
    <row r="83" spans="1:48">
      <c r="A83" s="199" t="s">
        <v>16</v>
      </c>
      <c r="B83" s="283" t="s">
        <v>250</v>
      </c>
      <c r="C83" s="95" t="str">
        <f t="shared" si="33"/>
        <v>Commercial - Cooking</v>
      </c>
      <c r="D83" s="95" t="s">
        <v>75</v>
      </c>
      <c r="E83" s="104">
        <f t="shared" si="39"/>
        <v>74.498085701673531</v>
      </c>
      <c r="F83" s="112">
        <f t="shared" si="39"/>
        <v>61.600009828485433</v>
      </c>
      <c r="G83" s="112">
        <f t="shared" si="34"/>
        <v>61.600009828485433</v>
      </c>
      <c r="H83" s="112">
        <f t="shared" si="40"/>
        <v>61.600009828485433</v>
      </c>
      <c r="I83" s="164">
        <f t="shared" si="35"/>
        <v>61.600009828485433</v>
      </c>
      <c r="J83" s="8">
        <f t="shared" si="41"/>
        <v>74.498085701673531</v>
      </c>
      <c r="K83" s="8">
        <f t="shared" si="41"/>
        <v>71.918470527035907</v>
      </c>
      <c r="L83" s="8">
        <f t="shared" si="36"/>
        <v>69.338855352398284</v>
      </c>
      <c r="M83" s="8">
        <f t="shared" si="36"/>
        <v>66.75924017776066</v>
      </c>
      <c r="N83" s="8">
        <f t="shared" si="36"/>
        <v>64.179625003123036</v>
      </c>
      <c r="O83" s="8">
        <f t="shared" si="36"/>
        <v>61.600009828485433</v>
      </c>
      <c r="P83" s="8">
        <f t="shared" si="36"/>
        <v>61.600009828485433</v>
      </c>
      <c r="Q83" s="8">
        <f t="shared" si="36"/>
        <v>61.600009828485433</v>
      </c>
      <c r="R83" s="8">
        <f t="shared" si="36"/>
        <v>61.600009828485433</v>
      </c>
      <c r="S83" s="8">
        <f t="shared" si="36"/>
        <v>61.600009828485433</v>
      </c>
      <c r="T83" s="8">
        <f t="shared" si="36"/>
        <v>61.600009828485433</v>
      </c>
      <c r="U83" s="8">
        <f t="shared" si="36"/>
        <v>61.600009828485433</v>
      </c>
      <c r="V83" s="8">
        <f t="shared" si="36"/>
        <v>61.600009828485433</v>
      </c>
      <c r="W83" s="8">
        <f t="shared" si="36"/>
        <v>61.600009828485433</v>
      </c>
      <c r="X83" s="8">
        <f t="shared" si="36"/>
        <v>61.600009828485433</v>
      </c>
      <c r="Y83" s="8">
        <f t="shared" si="36"/>
        <v>61.600009828485433</v>
      </c>
      <c r="Z83" s="8">
        <f t="shared" si="36"/>
        <v>61.600009828485433</v>
      </c>
      <c r="AA83" s="8">
        <f t="shared" si="36"/>
        <v>61.600009828485433</v>
      </c>
      <c r="AB83" s="8">
        <f t="shared" si="37"/>
        <v>61.600009828485433</v>
      </c>
      <c r="AC83" s="8">
        <f t="shared" si="37"/>
        <v>61.600009828485433</v>
      </c>
      <c r="AD83" s="8">
        <f t="shared" si="37"/>
        <v>61.600009828485433</v>
      </c>
      <c r="AE83" s="8">
        <f t="shared" si="37"/>
        <v>61.600009828485433</v>
      </c>
      <c r="AF83" s="8">
        <f t="shared" si="37"/>
        <v>61.600009828485433</v>
      </c>
      <c r="AG83" s="8">
        <f t="shared" si="37"/>
        <v>61.600009828485433</v>
      </c>
      <c r="AH83" s="8">
        <f t="shared" si="37"/>
        <v>61.600009828485433</v>
      </c>
      <c r="AI83" s="8">
        <f t="shared" si="37"/>
        <v>61.600009828485433</v>
      </c>
      <c r="AJ83" s="8">
        <f t="shared" si="37"/>
        <v>61.600009828485433</v>
      </c>
      <c r="AK83" s="8">
        <f t="shared" si="37"/>
        <v>61.600009828485433</v>
      </c>
      <c r="AL83" s="8">
        <f t="shared" si="37"/>
        <v>61.600009828485433</v>
      </c>
      <c r="AM83" s="8">
        <f t="shared" si="37"/>
        <v>61.600009828485433</v>
      </c>
      <c r="AN83" s="8">
        <f t="shared" si="37"/>
        <v>61.600009828485433</v>
      </c>
      <c r="AO83" s="8">
        <f t="shared" si="37"/>
        <v>61.600009828485433</v>
      </c>
      <c r="AP83" s="8">
        <f t="shared" si="37"/>
        <v>61.600009828485433</v>
      </c>
      <c r="AQ83" s="8">
        <f t="shared" si="37"/>
        <v>61.600009828485433</v>
      </c>
      <c r="AR83" s="8">
        <f t="shared" si="38"/>
        <v>61.600009828485433</v>
      </c>
      <c r="AS83" s="8">
        <f t="shared" si="38"/>
        <v>61.600009828485433</v>
      </c>
      <c r="AT83" s="8">
        <f t="shared" si="38"/>
        <v>61.600009828485433</v>
      </c>
      <c r="AU83" s="8">
        <f t="shared" si="38"/>
        <v>61.600009828485433</v>
      </c>
      <c r="AV83" s="8">
        <f t="shared" si="38"/>
        <v>61.600009828485433</v>
      </c>
    </row>
    <row r="84" spans="1:48">
      <c r="A84" s="199" t="s">
        <v>16</v>
      </c>
      <c r="B84" s="283" t="s">
        <v>251</v>
      </c>
      <c r="C84" s="95" t="str">
        <f t="shared" si="33"/>
        <v>Commercial - Lighting</v>
      </c>
      <c r="D84" s="95" t="s">
        <v>75</v>
      </c>
      <c r="E84" s="104">
        <f t="shared" si="39"/>
        <v>915.10615144128838</v>
      </c>
      <c r="F84" s="112">
        <f t="shared" si="39"/>
        <v>751.53345395954977</v>
      </c>
      <c r="G84" s="112">
        <f t="shared" si="34"/>
        <v>751.53345395954977</v>
      </c>
      <c r="H84" s="112">
        <f t="shared" si="40"/>
        <v>751.53345395954977</v>
      </c>
      <c r="I84" s="164">
        <f t="shared" si="35"/>
        <v>751.53345395954977</v>
      </c>
      <c r="J84" s="8">
        <f t="shared" si="41"/>
        <v>915.10615144128838</v>
      </c>
      <c r="K84" s="8">
        <f t="shared" si="41"/>
        <v>882.39161194494068</v>
      </c>
      <c r="L84" s="8">
        <f t="shared" si="36"/>
        <v>849.67707244859298</v>
      </c>
      <c r="M84" s="8">
        <f t="shared" si="36"/>
        <v>816.96253295224528</v>
      </c>
      <c r="N84" s="8">
        <f t="shared" si="36"/>
        <v>784.24799345589759</v>
      </c>
      <c r="O84" s="8">
        <f t="shared" si="36"/>
        <v>751.53345395954977</v>
      </c>
      <c r="P84" s="8">
        <f t="shared" si="36"/>
        <v>751.53345395954977</v>
      </c>
      <c r="Q84" s="8">
        <f t="shared" si="36"/>
        <v>751.53345395954977</v>
      </c>
      <c r="R84" s="8">
        <f t="shared" si="36"/>
        <v>751.53345395954977</v>
      </c>
      <c r="S84" s="8">
        <f t="shared" si="36"/>
        <v>751.53345395954977</v>
      </c>
      <c r="T84" s="8">
        <f t="shared" si="36"/>
        <v>751.53345395954977</v>
      </c>
      <c r="U84" s="8">
        <f t="shared" si="36"/>
        <v>751.53345395954977</v>
      </c>
      <c r="V84" s="8">
        <f t="shared" si="36"/>
        <v>751.53345395954977</v>
      </c>
      <c r="W84" s="8">
        <f t="shared" si="36"/>
        <v>751.53345395954977</v>
      </c>
      <c r="X84" s="8">
        <f t="shared" si="36"/>
        <v>751.53345395954977</v>
      </c>
      <c r="Y84" s="8">
        <f t="shared" si="36"/>
        <v>751.53345395954977</v>
      </c>
      <c r="Z84" s="8">
        <f t="shared" si="36"/>
        <v>751.53345395954977</v>
      </c>
      <c r="AA84" s="8">
        <f t="shared" si="36"/>
        <v>751.53345395954977</v>
      </c>
      <c r="AB84" s="8">
        <f t="shared" si="37"/>
        <v>751.53345395954977</v>
      </c>
      <c r="AC84" s="8">
        <f t="shared" si="37"/>
        <v>751.53345395954977</v>
      </c>
      <c r="AD84" s="8">
        <f t="shared" si="37"/>
        <v>751.53345395954977</v>
      </c>
      <c r="AE84" s="8">
        <f t="shared" si="37"/>
        <v>751.53345395954977</v>
      </c>
      <c r="AF84" s="8">
        <f t="shared" si="37"/>
        <v>751.53345395954977</v>
      </c>
      <c r="AG84" s="8">
        <f t="shared" si="37"/>
        <v>751.53345395954977</v>
      </c>
      <c r="AH84" s="8">
        <f t="shared" si="37"/>
        <v>751.53345395954977</v>
      </c>
      <c r="AI84" s="8">
        <f t="shared" si="37"/>
        <v>751.53345395954977</v>
      </c>
      <c r="AJ84" s="8">
        <f t="shared" si="37"/>
        <v>751.53345395954977</v>
      </c>
      <c r="AK84" s="8">
        <f t="shared" si="37"/>
        <v>751.53345395954977</v>
      </c>
      <c r="AL84" s="8">
        <f t="shared" si="37"/>
        <v>751.53345395954977</v>
      </c>
      <c r="AM84" s="8">
        <f t="shared" si="37"/>
        <v>751.53345395954977</v>
      </c>
      <c r="AN84" s="8">
        <f t="shared" si="37"/>
        <v>751.53345395954977</v>
      </c>
      <c r="AO84" s="8">
        <f t="shared" si="37"/>
        <v>751.53345395954977</v>
      </c>
      <c r="AP84" s="8">
        <f t="shared" si="37"/>
        <v>751.53345395954977</v>
      </c>
      <c r="AQ84" s="8">
        <f t="shared" si="37"/>
        <v>751.53345395954977</v>
      </c>
      <c r="AR84" s="8">
        <f t="shared" si="38"/>
        <v>751.53345395954977</v>
      </c>
      <c r="AS84" s="8">
        <f t="shared" si="38"/>
        <v>751.53345395954977</v>
      </c>
      <c r="AT84" s="8">
        <f t="shared" si="38"/>
        <v>751.53345395954977</v>
      </c>
      <c r="AU84" s="8">
        <f t="shared" si="38"/>
        <v>751.53345395954977</v>
      </c>
      <c r="AV84" s="8">
        <f t="shared" si="38"/>
        <v>751.53345395954977</v>
      </c>
    </row>
    <row r="85" spans="1:48">
      <c r="A85" s="199" t="s">
        <v>16</v>
      </c>
      <c r="B85" s="283" t="s">
        <v>252</v>
      </c>
      <c r="C85" s="95" t="str">
        <f t="shared" si="33"/>
        <v>Commercial - Refrigeration</v>
      </c>
      <c r="D85" s="95" t="s">
        <v>75</v>
      </c>
      <c r="E85" s="104">
        <f t="shared" si="39"/>
        <v>222.61251585750318</v>
      </c>
      <c r="F85" s="112">
        <f t="shared" si="39"/>
        <v>182.82114339797238</v>
      </c>
      <c r="G85" s="112">
        <f t="shared" si="34"/>
        <v>182.82114339797238</v>
      </c>
      <c r="H85" s="112">
        <f t="shared" si="40"/>
        <v>182.82114339797238</v>
      </c>
      <c r="I85" s="164">
        <f t="shared" si="35"/>
        <v>182.82114339797238</v>
      </c>
      <c r="J85" s="8">
        <f t="shared" si="41"/>
        <v>222.61251585750318</v>
      </c>
      <c r="K85" s="8">
        <f t="shared" si="41"/>
        <v>214.65424136559702</v>
      </c>
      <c r="L85" s="8">
        <f t="shared" si="36"/>
        <v>206.69596687369085</v>
      </c>
      <c r="M85" s="8">
        <f t="shared" si="36"/>
        <v>198.73769238178468</v>
      </c>
      <c r="N85" s="8">
        <f t="shared" si="36"/>
        <v>190.77941788987852</v>
      </c>
      <c r="O85" s="8">
        <f t="shared" si="36"/>
        <v>182.82114339797238</v>
      </c>
      <c r="P85" s="8">
        <f t="shared" si="36"/>
        <v>182.82114339797238</v>
      </c>
      <c r="Q85" s="8">
        <f t="shared" si="36"/>
        <v>182.82114339797238</v>
      </c>
      <c r="R85" s="8">
        <f t="shared" si="36"/>
        <v>182.82114339797238</v>
      </c>
      <c r="S85" s="8">
        <f t="shared" si="36"/>
        <v>182.82114339797238</v>
      </c>
      <c r="T85" s="8">
        <f t="shared" si="36"/>
        <v>182.82114339797238</v>
      </c>
      <c r="U85" s="8">
        <f t="shared" si="36"/>
        <v>182.82114339797238</v>
      </c>
      <c r="V85" s="8">
        <f t="shared" si="36"/>
        <v>182.82114339797238</v>
      </c>
      <c r="W85" s="8">
        <f t="shared" si="36"/>
        <v>182.82114339797238</v>
      </c>
      <c r="X85" s="8">
        <f t="shared" si="36"/>
        <v>182.82114339797238</v>
      </c>
      <c r="Y85" s="8">
        <f t="shared" si="36"/>
        <v>182.82114339797238</v>
      </c>
      <c r="Z85" s="8">
        <f t="shared" si="36"/>
        <v>182.82114339797238</v>
      </c>
      <c r="AA85" s="8">
        <f t="shared" si="36"/>
        <v>182.82114339797238</v>
      </c>
      <c r="AB85" s="8">
        <f t="shared" si="37"/>
        <v>182.82114339797238</v>
      </c>
      <c r="AC85" s="8">
        <f t="shared" si="37"/>
        <v>182.82114339797238</v>
      </c>
      <c r="AD85" s="8">
        <f t="shared" si="37"/>
        <v>182.82114339797238</v>
      </c>
      <c r="AE85" s="8">
        <f t="shared" si="37"/>
        <v>182.82114339797238</v>
      </c>
      <c r="AF85" s="8">
        <f t="shared" si="37"/>
        <v>182.82114339797238</v>
      </c>
      <c r="AG85" s="8">
        <f t="shared" si="37"/>
        <v>182.82114339797238</v>
      </c>
      <c r="AH85" s="8">
        <f t="shared" si="37"/>
        <v>182.82114339797238</v>
      </c>
      <c r="AI85" s="8">
        <f t="shared" si="37"/>
        <v>182.82114339797238</v>
      </c>
      <c r="AJ85" s="8">
        <f t="shared" si="37"/>
        <v>182.82114339797238</v>
      </c>
      <c r="AK85" s="8">
        <f t="shared" si="37"/>
        <v>182.82114339797238</v>
      </c>
      <c r="AL85" s="8">
        <f t="shared" si="37"/>
        <v>182.82114339797238</v>
      </c>
      <c r="AM85" s="8">
        <f t="shared" si="37"/>
        <v>182.82114339797238</v>
      </c>
      <c r="AN85" s="8">
        <f t="shared" si="37"/>
        <v>182.82114339797238</v>
      </c>
      <c r="AO85" s="8">
        <f t="shared" si="37"/>
        <v>182.82114339797238</v>
      </c>
      <c r="AP85" s="8">
        <f t="shared" si="37"/>
        <v>182.82114339797238</v>
      </c>
      <c r="AQ85" s="8">
        <f t="shared" si="37"/>
        <v>182.82114339797238</v>
      </c>
      <c r="AR85" s="8">
        <f t="shared" si="38"/>
        <v>182.82114339797238</v>
      </c>
      <c r="AS85" s="8">
        <f t="shared" si="38"/>
        <v>182.82114339797238</v>
      </c>
      <c r="AT85" s="8">
        <f t="shared" si="38"/>
        <v>182.82114339797238</v>
      </c>
      <c r="AU85" s="8">
        <f t="shared" si="38"/>
        <v>182.82114339797238</v>
      </c>
      <c r="AV85" s="8">
        <f t="shared" si="38"/>
        <v>182.82114339797238</v>
      </c>
    </row>
    <row r="86" spans="1:48">
      <c r="A86" s="199" t="s">
        <v>16</v>
      </c>
      <c r="B86" s="283" t="s">
        <v>253</v>
      </c>
      <c r="C86" s="95" t="str">
        <f t="shared" si="33"/>
        <v>Commercial - Water Heating</v>
      </c>
      <c r="D86" s="95" t="s">
        <v>75</v>
      </c>
      <c r="E86" s="104">
        <f t="shared" si="39"/>
        <v>72.906473658117989</v>
      </c>
      <c r="F86" s="112">
        <f t="shared" si="39"/>
        <v>95.302792315124151</v>
      </c>
      <c r="G86" s="112">
        <f t="shared" si="34"/>
        <v>95.302792315124151</v>
      </c>
      <c r="H86" s="112">
        <f t="shared" si="40"/>
        <v>95.302792315124151</v>
      </c>
      <c r="I86" s="164">
        <f t="shared" si="35"/>
        <v>95.302792315124151</v>
      </c>
      <c r="J86" s="8">
        <f t="shared" si="41"/>
        <v>72.906473658117989</v>
      </c>
      <c r="K86" s="8">
        <f t="shared" si="41"/>
        <v>77.385737389519221</v>
      </c>
      <c r="L86" s="8">
        <f t="shared" si="36"/>
        <v>81.865001120920454</v>
      </c>
      <c r="M86" s="8">
        <f t="shared" si="36"/>
        <v>86.344264852321686</v>
      </c>
      <c r="N86" s="8">
        <f t="shared" si="36"/>
        <v>90.823528583722918</v>
      </c>
      <c r="O86" s="8">
        <f t="shared" si="36"/>
        <v>95.302792315124151</v>
      </c>
      <c r="P86" s="8">
        <f t="shared" si="36"/>
        <v>95.302792315124151</v>
      </c>
      <c r="Q86" s="8">
        <f t="shared" si="36"/>
        <v>95.302792315124151</v>
      </c>
      <c r="R86" s="8">
        <f t="shared" si="36"/>
        <v>95.302792315124151</v>
      </c>
      <c r="S86" s="8">
        <f t="shared" si="36"/>
        <v>95.302792315124151</v>
      </c>
      <c r="T86" s="8">
        <f t="shared" si="36"/>
        <v>95.302792315124151</v>
      </c>
      <c r="U86" s="8">
        <f t="shared" si="36"/>
        <v>95.302792315124151</v>
      </c>
      <c r="V86" s="8">
        <f t="shared" si="36"/>
        <v>95.302792315124151</v>
      </c>
      <c r="W86" s="8">
        <f t="shared" si="36"/>
        <v>95.302792315124151</v>
      </c>
      <c r="X86" s="8">
        <f t="shared" si="36"/>
        <v>95.302792315124151</v>
      </c>
      <c r="Y86" s="8">
        <f t="shared" si="36"/>
        <v>95.302792315124151</v>
      </c>
      <c r="Z86" s="8">
        <f t="shared" si="36"/>
        <v>95.302792315124151</v>
      </c>
      <c r="AA86" s="8">
        <f t="shared" si="36"/>
        <v>95.302792315124151</v>
      </c>
      <c r="AB86" s="8">
        <f t="shared" si="37"/>
        <v>95.302792315124151</v>
      </c>
      <c r="AC86" s="8">
        <f t="shared" si="37"/>
        <v>95.302792315124151</v>
      </c>
      <c r="AD86" s="8">
        <f t="shared" si="37"/>
        <v>95.302792315124151</v>
      </c>
      <c r="AE86" s="8">
        <f t="shared" si="37"/>
        <v>95.302792315124151</v>
      </c>
      <c r="AF86" s="8">
        <f t="shared" si="37"/>
        <v>95.302792315124151</v>
      </c>
      <c r="AG86" s="8">
        <f t="shared" si="37"/>
        <v>95.302792315124151</v>
      </c>
      <c r="AH86" s="8">
        <f t="shared" si="37"/>
        <v>95.302792315124151</v>
      </c>
      <c r="AI86" s="8">
        <f t="shared" si="37"/>
        <v>95.302792315124151</v>
      </c>
      <c r="AJ86" s="8">
        <f t="shared" si="37"/>
        <v>95.302792315124151</v>
      </c>
      <c r="AK86" s="8">
        <f t="shared" si="37"/>
        <v>95.302792315124151</v>
      </c>
      <c r="AL86" s="8">
        <f t="shared" si="37"/>
        <v>95.302792315124151</v>
      </c>
      <c r="AM86" s="8">
        <f t="shared" si="37"/>
        <v>95.302792315124151</v>
      </c>
      <c r="AN86" s="8">
        <f t="shared" si="37"/>
        <v>95.302792315124151</v>
      </c>
      <c r="AO86" s="8">
        <f t="shared" si="37"/>
        <v>95.302792315124151</v>
      </c>
      <c r="AP86" s="8">
        <f t="shared" si="37"/>
        <v>95.302792315124151</v>
      </c>
      <c r="AQ86" s="8">
        <f t="shared" si="37"/>
        <v>95.302792315124151</v>
      </c>
      <c r="AR86" s="8">
        <f t="shared" si="38"/>
        <v>95.302792315124151</v>
      </c>
      <c r="AS86" s="8">
        <f t="shared" si="38"/>
        <v>95.302792315124151</v>
      </c>
      <c r="AT86" s="8">
        <f t="shared" si="38"/>
        <v>95.302792315124151</v>
      </c>
      <c r="AU86" s="8">
        <f t="shared" si="38"/>
        <v>95.302792315124151</v>
      </c>
      <c r="AV86" s="8">
        <f t="shared" si="38"/>
        <v>95.302792315124151</v>
      </c>
    </row>
    <row r="87" spans="1:48">
      <c r="A87" s="199" t="s">
        <v>16</v>
      </c>
      <c r="B87" s="283" t="s">
        <v>254</v>
      </c>
      <c r="C87" s="115" t="str">
        <f t="shared" si="33"/>
        <v>Commercial - Public lights</v>
      </c>
      <c r="D87" s="115" t="s">
        <v>75</v>
      </c>
      <c r="E87" s="181">
        <f t="shared" si="39"/>
        <v>0</v>
      </c>
      <c r="F87" s="112">
        <f t="shared" si="39"/>
        <v>0</v>
      </c>
      <c r="G87" s="182">
        <f t="shared" si="34"/>
        <v>0</v>
      </c>
      <c r="H87" s="112">
        <f t="shared" si="40"/>
        <v>0</v>
      </c>
      <c r="I87" s="183">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199" t="s">
        <v>16</v>
      </c>
      <c r="B88" s="283" t="s">
        <v>255</v>
      </c>
      <c r="C88" s="115" t="str">
        <f t="shared" si="33"/>
        <v>Commercial - Public Water</v>
      </c>
      <c r="D88" s="115" t="s">
        <v>75</v>
      </c>
      <c r="E88" s="181">
        <f t="shared" si="39"/>
        <v>0</v>
      </c>
      <c r="F88" s="112">
        <f t="shared" si="39"/>
        <v>0</v>
      </c>
      <c r="G88" s="182">
        <f t="shared" si="34"/>
        <v>0</v>
      </c>
      <c r="H88" s="112">
        <f t="shared" si="40"/>
        <v>0</v>
      </c>
      <c r="I88" s="183">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199" t="s">
        <v>16</v>
      </c>
      <c r="B89" s="283" t="s">
        <v>256</v>
      </c>
      <c r="C89" s="95" t="str">
        <f t="shared" si="33"/>
        <v>Commercial - Other</v>
      </c>
      <c r="D89" s="95" t="s">
        <v>75</v>
      </c>
      <c r="E89" s="104">
        <f t="shared" si="39"/>
        <v>141.24997285391134</v>
      </c>
      <c r="F89" s="112">
        <f t="shared" si="39"/>
        <v>122.0500288304751</v>
      </c>
      <c r="G89" s="112">
        <f t="shared" si="34"/>
        <v>122.0500288304751</v>
      </c>
      <c r="H89" s="112">
        <f t="shared" si="40"/>
        <v>122.0500288304751</v>
      </c>
      <c r="I89" s="164">
        <f t="shared" si="35"/>
        <v>122.0500288304751</v>
      </c>
      <c r="J89" s="8">
        <f t="shared" si="41"/>
        <v>141.24997285391134</v>
      </c>
      <c r="K89" s="8">
        <f t="shared" si="41"/>
        <v>137.40998404922411</v>
      </c>
      <c r="L89" s="8">
        <f t="shared" si="36"/>
        <v>133.56999524453687</v>
      </c>
      <c r="M89" s="8">
        <f>IF(M$8=-1,N89,IF(M$8=99,L89,IF(M$8=0,INDEX($E89:$I89,0,M$6),(INDEX($E89:$I89,0,M$8+1)-INDEX($E89:$I89,0,M$8))/(INDEX($D$5:$H$5,0,M$8+1)-INDEX($D$5:$H$5,0,M$8))+L89)))</f>
        <v>129.73000643984963</v>
      </c>
      <c r="N89" s="8">
        <f t="shared" si="36"/>
        <v>125.89001763516238</v>
      </c>
      <c r="O89" s="8">
        <f t="shared" si="36"/>
        <v>122.0500288304751</v>
      </c>
      <c r="P89" s="8">
        <f t="shared" si="36"/>
        <v>122.0500288304751</v>
      </c>
      <c r="Q89" s="8">
        <f t="shared" si="36"/>
        <v>122.0500288304751</v>
      </c>
      <c r="R89" s="8">
        <f t="shared" si="36"/>
        <v>122.0500288304751</v>
      </c>
      <c r="S89" s="8">
        <f t="shared" si="36"/>
        <v>122.0500288304751</v>
      </c>
      <c r="T89" s="8">
        <f t="shared" si="36"/>
        <v>122.0500288304751</v>
      </c>
      <c r="U89" s="8">
        <f t="shared" si="36"/>
        <v>122.0500288304751</v>
      </c>
      <c r="V89" s="8">
        <f t="shared" si="36"/>
        <v>122.0500288304751</v>
      </c>
      <c r="W89" s="8">
        <f t="shared" si="36"/>
        <v>122.0500288304751</v>
      </c>
      <c r="X89" s="8">
        <f t="shared" si="36"/>
        <v>122.0500288304751</v>
      </c>
      <c r="Y89" s="8">
        <f t="shared" si="36"/>
        <v>122.0500288304751</v>
      </c>
      <c r="Z89" s="8">
        <f t="shared" si="36"/>
        <v>122.0500288304751</v>
      </c>
      <c r="AA89" s="8">
        <f t="shared" si="36"/>
        <v>122.0500288304751</v>
      </c>
      <c r="AB89" s="8">
        <f t="shared" si="37"/>
        <v>122.0500288304751</v>
      </c>
      <c r="AC89" s="8">
        <f t="shared" si="37"/>
        <v>122.0500288304751</v>
      </c>
      <c r="AD89" s="8">
        <f t="shared" si="37"/>
        <v>122.0500288304751</v>
      </c>
      <c r="AE89" s="8">
        <f t="shared" si="37"/>
        <v>122.0500288304751</v>
      </c>
      <c r="AF89" s="8">
        <f t="shared" si="37"/>
        <v>122.0500288304751</v>
      </c>
      <c r="AG89" s="8">
        <f t="shared" si="37"/>
        <v>122.0500288304751</v>
      </c>
      <c r="AH89" s="8">
        <f t="shared" si="37"/>
        <v>122.0500288304751</v>
      </c>
      <c r="AI89" s="8">
        <f t="shared" si="37"/>
        <v>122.0500288304751</v>
      </c>
      <c r="AJ89" s="8">
        <f t="shared" si="37"/>
        <v>122.0500288304751</v>
      </c>
      <c r="AK89" s="8">
        <f t="shared" si="37"/>
        <v>122.0500288304751</v>
      </c>
      <c r="AL89" s="8">
        <f t="shared" si="37"/>
        <v>122.0500288304751</v>
      </c>
      <c r="AM89" s="8">
        <f t="shared" si="37"/>
        <v>122.0500288304751</v>
      </c>
      <c r="AN89" s="8">
        <f t="shared" si="37"/>
        <v>122.0500288304751</v>
      </c>
      <c r="AO89" s="8">
        <f t="shared" si="37"/>
        <v>122.0500288304751</v>
      </c>
      <c r="AP89" s="8">
        <f t="shared" si="37"/>
        <v>122.0500288304751</v>
      </c>
      <c r="AQ89" s="8">
        <f t="shared" si="37"/>
        <v>122.0500288304751</v>
      </c>
      <c r="AR89" s="8">
        <f t="shared" si="38"/>
        <v>122.0500288304751</v>
      </c>
      <c r="AS89" s="8">
        <f t="shared" si="38"/>
        <v>122.0500288304751</v>
      </c>
      <c r="AT89" s="8">
        <f t="shared" si="38"/>
        <v>122.0500288304751</v>
      </c>
      <c r="AU89" s="8">
        <f t="shared" si="38"/>
        <v>122.0500288304751</v>
      </c>
      <c r="AV89" s="8">
        <f t="shared" si="38"/>
        <v>122.0500288304751</v>
      </c>
    </row>
    <row r="90" spans="1:48">
      <c r="A90" s="199" t="s">
        <v>16</v>
      </c>
      <c r="B90" s="283"/>
      <c r="I90" s="165"/>
      <c r="K90" s="95"/>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99" t="s">
        <v>16</v>
      </c>
      <c r="B91" s="111" t="s">
        <v>485</v>
      </c>
      <c r="C91" s="92"/>
      <c r="D91" s="93"/>
      <c r="H91" s="189">
        <f>VLOOKUP($L$57,$K$59:$O$66,4)</f>
        <v>-0.25</v>
      </c>
      <c r="I91" s="190">
        <f>VLOOKUP($L$57,$K$59:$O$66,5)</f>
        <v>-0.2</v>
      </c>
      <c r="K91" s="95"/>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99" t="s">
        <v>16</v>
      </c>
      <c r="B92" s="283" t="str">
        <f>B70</f>
        <v>CEC</v>
      </c>
      <c r="C92" s="95" t="str">
        <f t="shared" ref="C92:C100" si="42">C81</f>
        <v>Commercial - Cooling</v>
      </c>
      <c r="D92" s="95" t="s">
        <v>75</v>
      </c>
      <c r="E92" s="104">
        <f>E81</f>
        <v>1051.567060091292</v>
      </c>
      <c r="F92" s="112">
        <f>F81</f>
        <v>863.60235202855756</v>
      </c>
      <c r="G92" s="112">
        <f t="shared" ref="G92:G100" si="43">F92</f>
        <v>863.60235202855756</v>
      </c>
      <c r="H92" s="112">
        <f t="shared" ref="H92:H97" si="44">G92*(1+$H$91)</f>
        <v>647.70176402141817</v>
      </c>
      <c r="I92" s="164">
        <f>H92</f>
        <v>647.70176402141817</v>
      </c>
      <c r="J92" s="8">
        <f>IF(J$8=-1,K92,IF(J$8=99,I92,IF(J$8=0,INDEX($E92:$I92,0,J$6),(INDEX($E92:$I92,0,J$8+1)-INDEX($E92:$I92,0,J$8))/(INDEX($D$5:$H$5,0,J$8+1)-INDEX($D$5:$H$5,0,J$8))+I92)))</f>
        <v>1051.567060091292</v>
      </c>
      <c r="K92" s="8">
        <f>IF(K$8=-1,L92,IF(K$8=99,J92,IF(K$8=0,INDEX($E92:$I92,0,K$6),(INDEX($E92:$I92,0,K$8+1)-INDEX($E92:$I92,0,K$8))/(INDEX($D$5:$H$5,0,K$8+1)-INDEX($D$5:$H$5,0,K$8))+J92)))</f>
        <v>1013.9741184787451</v>
      </c>
      <c r="L92" s="8">
        <f t="shared" ref="L92:AA100" si="45">IF(L$8=-1,M92,IF(L$8=99,K92,IF(L$8=0,INDEX($E92:$I92,0,L$6),(INDEX($E92:$I92,0,L$8+1)-INDEX($E92:$I92,0,L$8))/(INDEX($D$5:$H$5,0,L$8+1)-INDEX($D$5:$H$5,0,L$8))+K92)))</f>
        <v>976.3811768661983</v>
      </c>
      <c r="M92" s="8">
        <f t="shared" si="45"/>
        <v>938.78823525365146</v>
      </c>
      <c r="N92" s="8">
        <f t="shared" si="45"/>
        <v>901.19529364110463</v>
      </c>
      <c r="O92" s="8">
        <f t="shared" si="45"/>
        <v>863.60235202855756</v>
      </c>
      <c r="P92" s="8">
        <f t="shared" si="45"/>
        <v>863.60235202855756</v>
      </c>
      <c r="Q92" s="8">
        <f t="shared" si="45"/>
        <v>863.60235202855756</v>
      </c>
      <c r="R92" s="8">
        <f t="shared" si="45"/>
        <v>863.60235202855756</v>
      </c>
      <c r="S92" s="8">
        <f t="shared" si="45"/>
        <v>842.01229322784366</v>
      </c>
      <c r="T92" s="8">
        <f t="shared" si="45"/>
        <v>820.42223442712975</v>
      </c>
      <c r="U92" s="8">
        <f t="shared" si="45"/>
        <v>798.83217562641585</v>
      </c>
      <c r="V92" s="8">
        <f t="shared" si="45"/>
        <v>777.24211682570194</v>
      </c>
      <c r="W92" s="8">
        <f t="shared" si="45"/>
        <v>755.65205802498804</v>
      </c>
      <c r="X92" s="8">
        <f t="shared" si="45"/>
        <v>734.06199922427413</v>
      </c>
      <c r="Y92" s="8">
        <f t="shared" si="45"/>
        <v>712.47194042356023</v>
      </c>
      <c r="Z92" s="8">
        <f t="shared" si="45"/>
        <v>690.88188162284632</v>
      </c>
      <c r="AA92" s="8">
        <f t="shared" si="45"/>
        <v>669.29182282213242</v>
      </c>
      <c r="AB92" s="8">
        <f t="shared" ref="AB92:AQ100" si="46">IF(AB$8=-1,AC92,IF(AB$8=99,AA92,IF(AB$8=0,INDEX($E92:$I92,0,AB$6),(INDEX($E92:$I92,0,AB$8+1)-INDEX($E92:$I92,0,AB$8))/(INDEX($D$5:$H$5,0,AB$8+1)-INDEX($D$5:$H$5,0,AB$8))+AA92)))</f>
        <v>647.70176402141817</v>
      </c>
      <c r="AC92" s="8">
        <f t="shared" si="46"/>
        <v>647.70176402141817</v>
      </c>
      <c r="AD92" s="8">
        <f t="shared" si="46"/>
        <v>647.70176402141817</v>
      </c>
      <c r="AE92" s="8">
        <f t="shared" si="46"/>
        <v>647.70176402141817</v>
      </c>
      <c r="AF92" s="8">
        <f t="shared" si="46"/>
        <v>647.70176402141817</v>
      </c>
      <c r="AG92" s="8">
        <f t="shared" si="46"/>
        <v>647.70176402141817</v>
      </c>
      <c r="AH92" s="8">
        <f t="shared" si="46"/>
        <v>647.70176402141817</v>
      </c>
      <c r="AI92" s="8">
        <f t="shared" si="46"/>
        <v>647.70176402141817</v>
      </c>
      <c r="AJ92" s="8">
        <f t="shared" si="46"/>
        <v>647.70176402141817</v>
      </c>
      <c r="AK92" s="8">
        <f t="shared" si="46"/>
        <v>647.70176402141817</v>
      </c>
      <c r="AL92" s="8">
        <f t="shared" si="46"/>
        <v>647.70176402141817</v>
      </c>
      <c r="AM92" s="8">
        <f t="shared" si="46"/>
        <v>647.70176402141817</v>
      </c>
      <c r="AN92" s="8">
        <f t="shared" si="46"/>
        <v>647.70176402141817</v>
      </c>
      <c r="AO92" s="8">
        <f t="shared" si="46"/>
        <v>647.70176402141817</v>
      </c>
      <c r="AP92" s="8">
        <f t="shared" si="46"/>
        <v>647.70176402141817</v>
      </c>
      <c r="AQ92" s="8">
        <f t="shared" si="46"/>
        <v>647.70176402141817</v>
      </c>
      <c r="AR92" s="8">
        <f t="shared" ref="AR92:AV100" si="47">IF(AR$8=-1,AS92,IF(AR$8=99,AQ92,IF(AR$8=0,INDEX($E92:$I92,0,AR$6),(INDEX($E92:$I92,0,AR$8+1)-INDEX($E92:$I92,0,AR$8))/(INDEX($D$5:$H$5,0,AR$8+1)-INDEX($D$5:$H$5,0,AR$8))+AQ92)))</f>
        <v>647.70176402141817</v>
      </c>
      <c r="AS92" s="8">
        <f t="shared" si="47"/>
        <v>647.70176402141817</v>
      </c>
      <c r="AT92" s="8">
        <f t="shared" si="47"/>
        <v>647.70176402141817</v>
      </c>
      <c r="AU92" s="8">
        <f t="shared" si="47"/>
        <v>647.70176402141817</v>
      </c>
      <c r="AV92" s="8">
        <f t="shared" si="47"/>
        <v>647.70176402141817</v>
      </c>
    </row>
    <row r="93" spans="1:48">
      <c r="A93" s="199" t="s">
        <v>16</v>
      </c>
      <c r="B93" s="283" t="str">
        <f t="shared" ref="B93:B100" si="48">B71</f>
        <v>CEH</v>
      </c>
      <c r="C93" s="95" t="str">
        <f t="shared" si="42"/>
        <v>Commercial - Space Heating</v>
      </c>
      <c r="D93" s="95" t="s">
        <v>75</v>
      </c>
      <c r="E93" s="104">
        <f t="shared" ref="E93:F100" si="49">E82</f>
        <v>59.117764859369188</v>
      </c>
      <c r="F93" s="112">
        <f t="shared" si="49"/>
        <v>82.358593960978311</v>
      </c>
      <c r="G93" s="112">
        <f t="shared" si="43"/>
        <v>82.358593960978311</v>
      </c>
      <c r="H93" s="112">
        <f t="shared" si="44"/>
        <v>61.768945470733733</v>
      </c>
      <c r="I93" s="164">
        <f t="shared" ref="I93:I100" si="50">H93</f>
        <v>61.768945470733733</v>
      </c>
      <c r="J93" s="8">
        <f t="shared" ref="J93:K100" si="51">IF(J$8=-1,K93,IF(J$8=99,I93,IF(J$8=0,INDEX($E93:$I93,0,J$6),(INDEX($E93:$I93,0,J$8+1)-INDEX($E93:$I93,0,J$8))/(INDEX($D$5:$H$5,0,J$8+1)-INDEX($D$5:$H$5,0,J$8))+I93)))</f>
        <v>59.117764859369188</v>
      </c>
      <c r="K93" s="8">
        <f t="shared" si="51"/>
        <v>63.76593067969101</v>
      </c>
      <c r="L93" s="8">
        <f t="shared" si="45"/>
        <v>68.414096500012832</v>
      </c>
      <c r="M93" s="8">
        <f t="shared" si="45"/>
        <v>73.062262320334654</v>
      </c>
      <c r="N93" s="8">
        <f t="shared" si="45"/>
        <v>77.710428140656475</v>
      </c>
      <c r="O93" s="8">
        <f t="shared" si="45"/>
        <v>82.358593960978311</v>
      </c>
      <c r="P93" s="8">
        <f t="shared" si="45"/>
        <v>82.358593960978311</v>
      </c>
      <c r="Q93" s="8">
        <f t="shared" si="45"/>
        <v>82.358593960978311</v>
      </c>
      <c r="R93" s="8">
        <f t="shared" si="45"/>
        <v>82.358593960978311</v>
      </c>
      <c r="S93" s="8">
        <f t="shared" si="45"/>
        <v>80.299629111953848</v>
      </c>
      <c r="T93" s="8">
        <f t="shared" si="45"/>
        <v>78.240664262929386</v>
      </c>
      <c r="U93" s="8">
        <f t="shared" si="45"/>
        <v>76.181699413904923</v>
      </c>
      <c r="V93" s="8">
        <f t="shared" si="45"/>
        <v>74.12273456488046</v>
      </c>
      <c r="W93" s="8">
        <f t="shared" si="45"/>
        <v>72.063769715855997</v>
      </c>
      <c r="X93" s="8">
        <f t="shared" si="45"/>
        <v>70.004804866831535</v>
      </c>
      <c r="Y93" s="8">
        <f t="shared" si="45"/>
        <v>67.945840017807072</v>
      </c>
      <c r="Z93" s="8">
        <f t="shared" si="45"/>
        <v>65.886875168782609</v>
      </c>
      <c r="AA93" s="8">
        <f t="shared" si="45"/>
        <v>63.827910319758153</v>
      </c>
      <c r="AB93" s="8">
        <f t="shared" si="46"/>
        <v>61.768945470733733</v>
      </c>
      <c r="AC93" s="8">
        <f t="shared" si="46"/>
        <v>61.768945470733733</v>
      </c>
      <c r="AD93" s="8">
        <f t="shared" si="46"/>
        <v>61.768945470733733</v>
      </c>
      <c r="AE93" s="8">
        <f t="shared" si="46"/>
        <v>61.768945470733733</v>
      </c>
      <c r="AF93" s="8">
        <f t="shared" si="46"/>
        <v>61.768945470733733</v>
      </c>
      <c r="AG93" s="8">
        <f t="shared" si="46"/>
        <v>61.768945470733733</v>
      </c>
      <c r="AH93" s="8">
        <f t="shared" si="46"/>
        <v>61.768945470733733</v>
      </c>
      <c r="AI93" s="8">
        <f t="shared" si="46"/>
        <v>61.768945470733733</v>
      </c>
      <c r="AJ93" s="8">
        <f t="shared" si="46"/>
        <v>61.768945470733733</v>
      </c>
      <c r="AK93" s="8">
        <f t="shared" si="46"/>
        <v>61.768945470733733</v>
      </c>
      <c r="AL93" s="8">
        <f t="shared" si="46"/>
        <v>61.768945470733733</v>
      </c>
      <c r="AM93" s="8">
        <f t="shared" si="46"/>
        <v>61.768945470733733</v>
      </c>
      <c r="AN93" s="8">
        <f t="shared" si="46"/>
        <v>61.768945470733733</v>
      </c>
      <c r="AO93" s="8">
        <f t="shared" si="46"/>
        <v>61.768945470733733</v>
      </c>
      <c r="AP93" s="8">
        <f t="shared" si="46"/>
        <v>61.768945470733733</v>
      </c>
      <c r="AQ93" s="8">
        <f t="shared" si="46"/>
        <v>61.768945470733733</v>
      </c>
      <c r="AR93" s="8">
        <f t="shared" si="47"/>
        <v>61.768945470733733</v>
      </c>
      <c r="AS93" s="8">
        <f t="shared" si="47"/>
        <v>61.768945470733733</v>
      </c>
      <c r="AT93" s="8">
        <f t="shared" si="47"/>
        <v>61.768945470733733</v>
      </c>
      <c r="AU93" s="8">
        <f t="shared" si="47"/>
        <v>61.768945470733733</v>
      </c>
      <c r="AV93" s="8">
        <f t="shared" si="47"/>
        <v>61.768945470733733</v>
      </c>
    </row>
    <row r="94" spans="1:48">
      <c r="A94" s="199" t="s">
        <v>16</v>
      </c>
      <c r="B94" s="283" t="str">
        <f t="shared" si="48"/>
        <v>CEK</v>
      </c>
      <c r="C94" s="95" t="str">
        <f t="shared" si="42"/>
        <v>Commercial - Cooking</v>
      </c>
      <c r="D94" s="95" t="s">
        <v>75</v>
      </c>
      <c r="E94" s="104">
        <f t="shared" si="49"/>
        <v>74.498085701673531</v>
      </c>
      <c r="F94" s="112">
        <f t="shared" si="49"/>
        <v>61.600009828485433</v>
      </c>
      <c r="G94" s="112">
        <f t="shared" si="43"/>
        <v>61.600009828485433</v>
      </c>
      <c r="H94" s="112">
        <f t="shared" si="44"/>
        <v>46.200007371364073</v>
      </c>
      <c r="I94" s="164">
        <f t="shared" si="50"/>
        <v>46.200007371364073</v>
      </c>
      <c r="J94" s="8">
        <f t="shared" si="51"/>
        <v>74.498085701673531</v>
      </c>
      <c r="K94" s="8">
        <f t="shared" si="51"/>
        <v>71.918470527035907</v>
      </c>
      <c r="L94" s="8">
        <f t="shared" si="45"/>
        <v>69.338855352398284</v>
      </c>
      <c r="M94" s="8">
        <f t="shared" si="45"/>
        <v>66.75924017776066</v>
      </c>
      <c r="N94" s="8">
        <f t="shared" si="45"/>
        <v>64.179625003123036</v>
      </c>
      <c r="O94" s="8">
        <f t="shared" si="45"/>
        <v>61.600009828485433</v>
      </c>
      <c r="P94" s="8">
        <f t="shared" si="45"/>
        <v>61.600009828485433</v>
      </c>
      <c r="Q94" s="8">
        <f t="shared" si="45"/>
        <v>61.600009828485433</v>
      </c>
      <c r="R94" s="8">
        <f t="shared" si="45"/>
        <v>61.600009828485433</v>
      </c>
      <c r="S94" s="8">
        <f t="shared" si="45"/>
        <v>60.060009582773297</v>
      </c>
      <c r="T94" s="8">
        <f t="shared" si="45"/>
        <v>58.520009337061161</v>
      </c>
      <c r="U94" s="8">
        <f t="shared" si="45"/>
        <v>56.980009091349025</v>
      </c>
      <c r="V94" s="8">
        <f t="shared" si="45"/>
        <v>55.440008845636889</v>
      </c>
      <c r="W94" s="8">
        <f t="shared" si="45"/>
        <v>53.900008599924753</v>
      </c>
      <c r="X94" s="8">
        <f t="shared" si="45"/>
        <v>52.360008354212617</v>
      </c>
      <c r="Y94" s="8">
        <f t="shared" si="45"/>
        <v>50.820008108500481</v>
      </c>
      <c r="Z94" s="8">
        <f t="shared" si="45"/>
        <v>49.280007862788345</v>
      </c>
      <c r="AA94" s="8">
        <f t="shared" si="45"/>
        <v>47.740007617076209</v>
      </c>
      <c r="AB94" s="8">
        <f t="shared" si="46"/>
        <v>46.200007371364073</v>
      </c>
      <c r="AC94" s="8">
        <f t="shared" si="46"/>
        <v>46.200007371364073</v>
      </c>
      <c r="AD94" s="8">
        <f t="shared" si="46"/>
        <v>46.200007371364073</v>
      </c>
      <c r="AE94" s="8">
        <f t="shared" si="46"/>
        <v>46.200007371364073</v>
      </c>
      <c r="AF94" s="8">
        <f t="shared" si="46"/>
        <v>46.200007371364073</v>
      </c>
      <c r="AG94" s="8">
        <f t="shared" si="46"/>
        <v>46.200007371364073</v>
      </c>
      <c r="AH94" s="8">
        <f t="shared" si="46"/>
        <v>46.200007371364073</v>
      </c>
      <c r="AI94" s="8">
        <f t="shared" si="46"/>
        <v>46.200007371364073</v>
      </c>
      <c r="AJ94" s="8">
        <f t="shared" si="46"/>
        <v>46.200007371364073</v>
      </c>
      <c r="AK94" s="8">
        <f t="shared" si="46"/>
        <v>46.200007371364073</v>
      </c>
      <c r="AL94" s="8">
        <f t="shared" si="46"/>
        <v>46.200007371364073</v>
      </c>
      <c r="AM94" s="8">
        <f t="shared" si="46"/>
        <v>46.200007371364073</v>
      </c>
      <c r="AN94" s="8">
        <f t="shared" si="46"/>
        <v>46.200007371364073</v>
      </c>
      <c r="AO94" s="8">
        <f t="shared" si="46"/>
        <v>46.200007371364073</v>
      </c>
      <c r="AP94" s="8">
        <f t="shared" si="46"/>
        <v>46.200007371364073</v>
      </c>
      <c r="AQ94" s="8">
        <f t="shared" si="46"/>
        <v>46.200007371364073</v>
      </c>
      <c r="AR94" s="8">
        <f t="shared" si="47"/>
        <v>46.200007371364073</v>
      </c>
      <c r="AS94" s="8">
        <f t="shared" si="47"/>
        <v>46.200007371364073</v>
      </c>
      <c r="AT94" s="8">
        <f t="shared" si="47"/>
        <v>46.200007371364073</v>
      </c>
      <c r="AU94" s="8">
        <f t="shared" si="47"/>
        <v>46.200007371364073</v>
      </c>
      <c r="AV94" s="8">
        <f t="shared" si="47"/>
        <v>46.200007371364073</v>
      </c>
    </row>
    <row r="95" spans="1:48">
      <c r="A95" s="199" t="s">
        <v>16</v>
      </c>
      <c r="B95" s="283" t="str">
        <f t="shared" si="48"/>
        <v>CEL</v>
      </c>
      <c r="C95" s="95" t="str">
        <f t="shared" si="42"/>
        <v>Commercial - Lighting</v>
      </c>
      <c r="D95" s="95" t="s">
        <v>75</v>
      </c>
      <c r="E95" s="104">
        <f t="shared" si="49"/>
        <v>915.10615144128838</v>
      </c>
      <c r="F95" s="112">
        <f t="shared" si="49"/>
        <v>751.53345395954977</v>
      </c>
      <c r="G95" s="112">
        <f t="shared" si="43"/>
        <v>751.53345395954977</v>
      </c>
      <c r="H95" s="112">
        <f t="shared" si="44"/>
        <v>563.65009046966236</v>
      </c>
      <c r="I95" s="164">
        <f t="shared" si="50"/>
        <v>563.65009046966236</v>
      </c>
      <c r="J95" s="8">
        <f t="shared" si="51"/>
        <v>915.10615144128838</v>
      </c>
      <c r="K95" s="8">
        <f t="shared" si="51"/>
        <v>882.39161194494068</v>
      </c>
      <c r="L95" s="8">
        <f t="shared" si="45"/>
        <v>849.67707244859298</v>
      </c>
      <c r="M95" s="8">
        <f t="shared" si="45"/>
        <v>816.96253295224528</v>
      </c>
      <c r="N95" s="8">
        <f t="shared" si="45"/>
        <v>784.24799345589759</v>
      </c>
      <c r="O95" s="8">
        <f t="shared" si="45"/>
        <v>751.53345395954977</v>
      </c>
      <c r="P95" s="8">
        <f t="shared" si="45"/>
        <v>751.53345395954977</v>
      </c>
      <c r="Q95" s="8">
        <f t="shared" si="45"/>
        <v>751.53345395954977</v>
      </c>
      <c r="R95" s="8">
        <f t="shared" si="45"/>
        <v>751.53345395954977</v>
      </c>
      <c r="S95" s="8">
        <f t="shared" si="45"/>
        <v>732.74511761056101</v>
      </c>
      <c r="T95" s="8">
        <f t="shared" si="45"/>
        <v>713.95678126157225</v>
      </c>
      <c r="U95" s="8">
        <f t="shared" si="45"/>
        <v>695.16844491258348</v>
      </c>
      <c r="V95" s="8">
        <f t="shared" si="45"/>
        <v>676.38010856359472</v>
      </c>
      <c r="W95" s="8">
        <f t="shared" si="45"/>
        <v>657.59177221460595</v>
      </c>
      <c r="X95" s="8">
        <f t="shared" si="45"/>
        <v>638.80343586561719</v>
      </c>
      <c r="Y95" s="8">
        <f t="shared" si="45"/>
        <v>620.01509951662842</v>
      </c>
      <c r="Z95" s="8">
        <f t="shared" si="45"/>
        <v>601.22676316763966</v>
      </c>
      <c r="AA95" s="8">
        <f t="shared" si="45"/>
        <v>582.4384268186509</v>
      </c>
      <c r="AB95" s="8">
        <f t="shared" si="46"/>
        <v>563.65009046966236</v>
      </c>
      <c r="AC95" s="8">
        <f t="shared" si="46"/>
        <v>563.65009046966236</v>
      </c>
      <c r="AD95" s="8">
        <f t="shared" si="46"/>
        <v>563.65009046966236</v>
      </c>
      <c r="AE95" s="8">
        <f t="shared" si="46"/>
        <v>563.65009046966236</v>
      </c>
      <c r="AF95" s="8">
        <f t="shared" si="46"/>
        <v>563.65009046966236</v>
      </c>
      <c r="AG95" s="8">
        <f t="shared" si="46"/>
        <v>563.65009046966236</v>
      </c>
      <c r="AH95" s="8">
        <f t="shared" si="46"/>
        <v>563.65009046966236</v>
      </c>
      <c r="AI95" s="8">
        <f t="shared" si="46"/>
        <v>563.65009046966236</v>
      </c>
      <c r="AJ95" s="8">
        <f t="shared" si="46"/>
        <v>563.65009046966236</v>
      </c>
      <c r="AK95" s="8">
        <f t="shared" si="46"/>
        <v>563.65009046966236</v>
      </c>
      <c r="AL95" s="8">
        <f t="shared" si="46"/>
        <v>563.65009046966236</v>
      </c>
      <c r="AM95" s="8">
        <f t="shared" si="46"/>
        <v>563.65009046966236</v>
      </c>
      <c r="AN95" s="8">
        <f t="shared" si="46"/>
        <v>563.65009046966236</v>
      </c>
      <c r="AO95" s="8">
        <f t="shared" si="46"/>
        <v>563.65009046966236</v>
      </c>
      <c r="AP95" s="8">
        <f t="shared" si="46"/>
        <v>563.65009046966236</v>
      </c>
      <c r="AQ95" s="8">
        <f t="shared" si="46"/>
        <v>563.65009046966236</v>
      </c>
      <c r="AR95" s="8">
        <f t="shared" si="47"/>
        <v>563.65009046966236</v>
      </c>
      <c r="AS95" s="8">
        <f t="shared" si="47"/>
        <v>563.65009046966236</v>
      </c>
      <c r="AT95" s="8">
        <f t="shared" si="47"/>
        <v>563.65009046966236</v>
      </c>
      <c r="AU95" s="8">
        <f t="shared" si="47"/>
        <v>563.65009046966236</v>
      </c>
      <c r="AV95" s="8">
        <f t="shared" si="47"/>
        <v>563.65009046966236</v>
      </c>
    </row>
    <row r="96" spans="1:48">
      <c r="A96" s="199" t="s">
        <v>16</v>
      </c>
      <c r="B96" s="283" t="str">
        <f t="shared" si="48"/>
        <v>CER</v>
      </c>
      <c r="C96" s="95" t="str">
        <f t="shared" si="42"/>
        <v>Commercial - Refrigeration</v>
      </c>
      <c r="D96" s="95" t="s">
        <v>75</v>
      </c>
      <c r="E96" s="104">
        <f t="shared" si="49"/>
        <v>222.61251585750318</v>
      </c>
      <c r="F96" s="112">
        <f t="shared" si="49"/>
        <v>182.82114339797238</v>
      </c>
      <c r="G96" s="112">
        <f t="shared" si="43"/>
        <v>182.82114339797238</v>
      </c>
      <c r="H96" s="112">
        <f t="shared" si="44"/>
        <v>137.11585754847928</v>
      </c>
      <c r="I96" s="164">
        <f t="shared" si="50"/>
        <v>137.11585754847928</v>
      </c>
      <c r="J96" s="8">
        <f t="shared" si="51"/>
        <v>222.61251585750318</v>
      </c>
      <c r="K96" s="8">
        <f t="shared" si="51"/>
        <v>214.65424136559702</v>
      </c>
      <c r="L96" s="8">
        <f t="shared" si="45"/>
        <v>206.69596687369085</v>
      </c>
      <c r="M96" s="8">
        <f t="shared" si="45"/>
        <v>198.73769238178468</v>
      </c>
      <c r="N96" s="8">
        <f t="shared" si="45"/>
        <v>190.77941788987852</v>
      </c>
      <c r="O96" s="8">
        <f t="shared" si="45"/>
        <v>182.82114339797238</v>
      </c>
      <c r="P96" s="8">
        <f t="shared" si="45"/>
        <v>182.82114339797238</v>
      </c>
      <c r="Q96" s="8">
        <f t="shared" si="45"/>
        <v>182.82114339797238</v>
      </c>
      <c r="R96" s="8">
        <f t="shared" si="45"/>
        <v>182.82114339797238</v>
      </c>
      <c r="S96" s="8">
        <f t="shared" si="45"/>
        <v>178.25061481302308</v>
      </c>
      <c r="T96" s="8">
        <f t="shared" si="45"/>
        <v>173.68008622807378</v>
      </c>
      <c r="U96" s="8">
        <f t="shared" si="45"/>
        <v>169.10955764312448</v>
      </c>
      <c r="V96" s="8">
        <f t="shared" si="45"/>
        <v>164.53902905817517</v>
      </c>
      <c r="W96" s="8">
        <f t="shared" si="45"/>
        <v>159.96850047322587</v>
      </c>
      <c r="X96" s="8">
        <f t="shared" si="45"/>
        <v>155.39797188827657</v>
      </c>
      <c r="Y96" s="8">
        <f t="shared" si="45"/>
        <v>150.82744330332727</v>
      </c>
      <c r="Z96" s="8">
        <f t="shared" si="45"/>
        <v>146.25691471837797</v>
      </c>
      <c r="AA96" s="8">
        <f t="shared" si="45"/>
        <v>141.68638613342867</v>
      </c>
      <c r="AB96" s="8">
        <f t="shared" si="46"/>
        <v>137.11585754847928</v>
      </c>
      <c r="AC96" s="8">
        <f t="shared" si="46"/>
        <v>137.11585754847928</v>
      </c>
      <c r="AD96" s="8">
        <f t="shared" si="46"/>
        <v>137.11585754847928</v>
      </c>
      <c r="AE96" s="8">
        <f t="shared" si="46"/>
        <v>137.11585754847928</v>
      </c>
      <c r="AF96" s="8">
        <f t="shared" si="46"/>
        <v>137.11585754847928</v>
      </c>
      <c r="AG96" s="8">
        <f t="shared" si="46"/>
        <v>137.11585754847928</v>
      </c>
      <c r="AH96" s="8">
        <f t="shared" si="46"/>
        <v>137.11585754847928</v>
      </c>
      <c r="AI96" s="8">
        <f t="shared" si="46"/>
        <v>137.11585754847928</v>
      </c>
      <c r="AJ96" s="8">
        <f t="shared" si="46"/>
        <v>137.11585754847928</v>
      </c>
      <c r="AK96" s="8">
        <f t="shared" si="46"/>
        <v>137.11585754847928</v>
      </c>
      <c r="AL96" s="8">
        <f t="shared" si="46"/>
        <v>137.11585754847928</v>
      </c>
      <c r="AM96" s="8">
        <f t="shared" si="46"/>
        <v>137.11585754847928</v>
      </c>
      <c r="AN96" s="8">
        <f t="shared" si="46"/>
        <v>137.11585754847928</v>
      </c>
      <c r="AO96" s="8">
        <f t="shared" si="46"/>
        <v>137.11585754847928</v>
      </c>
      <c r="AP96" s="8">
        <f t="shared" si="46"/>
        <v>137.11585754847928</v>
      </c>
      <c r="AQ96" s="8">
        <f t="shared" si="46"/>
        <v>137.11585754847928</v>
      </c>
      <c r="AR96" s="8">
        <f t="shared" si="47"/>
        <v>137.11585754847928</v>
      </c>
      <c r="AS96" s="8">
        <f t="shared" si="47"/>
        <v>137.11585754847928</v>
      </c>
      <c r="AT96" s="8">
        <f t="shared" si="47"/>
        <v>137.11585754847928</v>
      </c>
      <c r="AU96" s="8">
        <f t="shared" si="47"/>
        <v>137.11585754847928</v>
      </c>
      <c r="AV96" s="8">
        <f t="shared" si="47"/>
        <v>137.11585754847928</v>
      </c>
    </row>
    <row r="97" spans="1:50">
      <c r="A97" s="199" t="s">
        <v>16</v>
      </c>
      <c r="B97" s="283" t="str">
        <f t="shared" si="48"/>
        <v>CEW</v>
      </c>
      <c r="C97" s="95" t="str">
        <f t="shared" si="42"/>
        <v>Commercial - Water Heating</v>
      </c>
      <c r="D97" s="95" t="s">
        <v>75</v>
      </c>
      <c r="E97" s="104">
        <f t="shared" si="49"/>
        <v>72.906473658117989</v>
      </c>
      <c r="F97" s="112">
        <f t="shared" si="49"/>
        <v>95.302792315124151</v>
      </c>
      <c r="G97" s="112">
        <f t="shared" si="43"/>
        <v>95.302792315124151</v>
      </c>
      <c r="H97" s="112">
        <f t="shared" si="44"/>
        <v>71.477094236343106</v>
      </c>
      <c r="I97" s="164">
        <f t="shared" si="50"/>
        <v>71.477094236343106</v>
      </c>
      <c r="J97" s="8">
        <f t="shared" si="51"/>
        <v>72.906473658117989</v>
      </c>
      <c r="K97" s="8">
        <f t="shared" si="51"/>
        <v>77.385737389519221</v>
      </c>
      <c r="L97" s="8">
        <f t="shared" si="45"/>
        <v>81.865001120920454</v>
      </c>
      <c r="M97" s="8">
        <f t="shared" si="45"/>
        <v>86.344264852321686</v>
      </c>
      <c r="N97" s="8">
        <f t="shared" si="45"/>
        <v>90.823528583722918</v>
      </c>
      <c r="O97" s="8">
        <f t="shared" si="45"/>
        <v>95.302792315124151</v>
      </c>
      <c r="P97" s="8">
        <f t="shared" si="45"/>
        <v>95.302792315124151</v>
      </c>
      <c r="Q97" s="8">
        <f t="shared" si="45"/>
        <v>95.302792315124151</v>
      </c>
      <c r="R97" s="8">
        <f t="shared" si="45"/>
        <v>95.302792315124151</v>
      </c>
      <c r="S97" s="8">
        <f t="shared" si="45"/>
        <v>92.920222507246052</v>
      </c>
      <c r="T97" s="8">
        <f t="shared" si="45"/>
        <v>90.537652699367953</v>
      </c>
      <c r="U97" s="8">
        <f t="shared" si="45"/>
        <v>88.155082891489855</v>
      </c>
      <c r="V97" s="8">
        <f t="shared" si="45"/>
        <v>85.772513083611756</v>
      </c>
      <c r="W97" s="8">
        <f t="shared" si="45"/>
        <v>83.389943275733657</v>
      </c>
      <c r="X97" s="8">
        <f t="shared" si="45"/>
        <v>81.007373467855558</v>
      </c>
      <c r="Y97" s="8">
        <f t="shared" si="45"/>
        <v>78.624803659977459</v>
      </c>
      <c r="Z97" s="8">
        <f t="shared" si="45"/>
        <v>76.242233852099361</v>
      </c>
      <c r="AA97" s="8">
        <f t="shared" si="45"/>
        <v>73.859664044221262</v>
      </c>
      <c r="AB97" s="8">
        <f t="shared" si="46"/>
        <v>71.477094236343106</v>
      </c>
      <c r="AC97" s="8">
        <f t="shared" si="46"/>
        <v>71.477094236343106</v>
      </c>
      <c r="AD97" s="8">
        <f t="shared" si="46"/>
        <v>71.477094236343106</v>
      </c>
      <c r="AE97" s="8">
        <f t="shared" si="46"/>
        <v>71.477094236343106</v>
      </c>
      <c r="AF97" s="8">
        <f t="shared" si="46"/>
        <v>71.477094236343106</v>
      </c>
      <c r="AG97" s="8">
        <f t="shared" si="46"/>
        <v>71.477094236343106</v>
      </c>
      <c r="AH97" s="8">
        <f t="shared" si="46"/>
        <v>71.477094236343106</v>
      </c>
      <c r="AI97" s="8">
        <f t="shared" si="46"/>
        <v>71.477094236343106</v>
      </c>
      <c r="AJ97" s="8">
        <f t="shared" si="46"/>
        <v>71.477094236343106</v>
      </c>
      <c r="AK97" s="8">
        <f t="shared" si="46"/>
        <v>71.477094236343106</v>
      </c>
      <c r="AL97" s="8">
        <f t="shared" si="46"/>
        <v>71.477094236343106</v>
      </c>
      <c r="AM97" s="8">
        <f t="shared" si="46"/>
        <v>71.477094236343106</v>
      </c>
      <c r="AN97" s="8">
        <f t="shared" si="46"/>
        <v>71.477094236343106</v>
      </c>
      <c r="AO97" s="8">
        <f t="shared" si="46"/>
        <v>71.477094236343106</v>
      </c>
      <c r="AP97" s="8">
        <f t="shared" si="46"/>
        <v>71.477094236343106</v>
      </c>
      <c r="AQ97" s="8">
        <f t="shared" si="46"/>
        <v>71.477094236343106</v>
      </c>
      <c r="AR97" s="8">
        <f t="shared" si="47"/>
        <v>71.477094236343106</v>
      </c>
      <c r="AS97" s="8">
        <f t="shared" si="47"/>
        <v>71.477094236343106</v>
      </c>
      <c r="AT97" s="8">
        <f t="shared" si="47"/>
        <v>71.477094236343106</v>
      </c>
      <c r="AU97" s="8">
        <f t="shared" si="47"/>
        <v>71.477094236343106</v>
      </c>
      <c r="AV97" s="8">
        <f t="shared" si="47"/>
        <v>71.477094236343106</v>
      </c>
    </row>
    <row r="98" spans="1:50">
      <c r="A98" s="199" t="s">
        <v>16</v>
      </c>
      <c r="B98" s="283" t="str">
        <f t="shared" si="48"/>
        <v>CEG</v>
      </c>
      <c r="C98" s="115" t="str">
        <f t="shared" si="42"/>
        <v>Commercial - Public lights</v>
      </c>
      <c r="D98" s="115" t="s">
        <v>75</v>
      </c>
      <c r="E98" s="187">
        <f>D62/$J$34</f>
        <v>387.77678995775307</v>
      </c>
      <c r="F98" s="187">
        <f>E62/$O$34</f>
        <v>318.46275960805235</v>
      </c>
      <c r="G98" s="182">
        <f t="shared" si="43"/>
        <v>318.46275960805235</v>
      </c>
      <c r="H98" s="182">
        <f>G98*(1+$I$91)</f>
        <v>254.77020768644189</v>
      </c>
      <c r="I98" s="183">
        <f t="shared" si="50"/>
        <v>254.77020768644189</v>
      </c>
      <c r="J98" s="8">
        <f t="shared" si="51"/>
        <v>387.77678995775307</v>
      </c>
      <c r="K98" s="8">
        <f t="shared" si="51"/>
        <v>373.91398388781295</v>
      </c>
      <c r="L98" s="8">
        <f t="shared" si="45"/>
        <v>360.05117781787283</v>
      </c>
      <c r="M98" s="8">
        <f>IF(M$8=-1,N98,IF(M$8=99,L98,IF(M$8=0,INDEX($E98:$I98,0,M$6),(INDEX($E98:$I98,0,M$8+1)-INDEX($E98:$I98,0,M$8))/(INDEX($D$5:$H$5,0,M$8+1)-INDEX($D$5:$H$5,0,M$8))+L98)))</f>
        <v>346.18837174793271</v>
      </c>
      <c r="N98" s="8">
        <f t="shared" si="45"/>
        <v>332.32556567799259</v>
      </c>
      <c r="O98" s="8">
        <f t="shared" si="45"/>
        <v>318.46275960805235</v>
      </c>
      <c r="P98" s="8">
        <f t="shared" si="45"/>
        <v>318.46275960805235</v>
      </c>
      <c r="Q98" s="8">
        <f t="shared" si="45"/>
        <v>318.46275960805235</v>
      </c>
      <c r="R98" s="8">
        <f t="shared" si="45"/>
        <v>318.46275960805235</v>
      </c>
      <c r="S98" s="8">
        <f t="shared" si="45"/>
        <v>312.09350441589129</v>
      </c>
      <c r="T98" s="8">
        <f t="shared" si="45"/>
        <v>305.72424922373023</v>
      </c>
      <c r="U98" s="8">
        <f t="shared" si="45"/>
        <v>299.35499403156916</v>
      </c>
      <c r="V98" s="8">
        <f t="shared" si="45"/>
        <v>292.9857388394081</v>
      </c>
      <c r="W98" s="8">
        <f t="shared" si="45"/>
        <v>286.61648364724704</v>
      </c>
      <c r="X98" s="8">
        <f t="shared" si="45"/>
        <v>280.24722845508597</v>
      </c>
      <c r="Y98" s="8">
        <f t="shared" si="45"/>
        <v>273.87797326292491</v>
      </c>
      <c r="Z98" s="8">
        <f t="shared" si="45"/>
        <v>267.50871807076385</v>
      </c>
      <c r="AA98" s="8">
        <f t="shared" si="45"/>
        <v>261.13946287860279</v>
      </c>
      <c r="AB98" s="8">
        <f t="shared" si="46"/>
        <v>254.77020768644189</v>
      </c>
      <c r="AC98" s="8">
        <f t="shared" si="46"/>
        <v>254.77020768644189</v>
      </c>
      <c r="AD98" s="8">
        <f t="shared" si="46"/>
        <v>254.77020768644189</v>
      </c>
      <c r="AE98" s="8">
        <f t="shared" si="46"/>
        <v>254.77020768644189</v>
      </c>
      <c r="AF98" s="8">
        <f t="shared" si="46"/>
        <v>254.77020768644189</v>
      </c>
      <c r="AG98" s="8">
        <f t="shared" si="46"/>
        <v>254.77020768644189</v>
      </c>
      <c r="AH98" s="8">
        <f t="shared" si="46"/>
        <v>254.77020768644189</v>
      </c>
      <c r="AI98" s="8">
        <f t="shared" si="46"/>
        <v>254.77020768644189</v>
      </c>
      <c r="AJ98" s="8">
        <f t="shared" si="46"/>
        <v>254.77020768644189</v>
      </c>
      <c r="AK98" s="8">
        <f t="shared" si="46"/>
        <v>254.77020768644189</v>
      </c>
      <c r="AL98" s="8">
        <f t="shared" si="46"/>
        <v>254.77020768644189</v>
      </c>
      <c r="AM98" s="8">
        <f t="shared" si="46"/>
        <v>254.77020768644189</v>
      </c>
      <c r="AN98" s="8">
        <f t="shared" si="46"/>
        <v>254.77020768644189</v>
      </c>
      <c r="AO98" s="8">
        <f t="shared" si="46"/>
        <v>254.77020768644189</v>
      </c>
      <c r="AP98" s="8">
        <f t="shared" si="46"/>
        <v>254.77020768644189</v>
      </c>
      <c r="AQ98" s="8">
        <f t="shared" si="46"/>
        <v>254.77020768644189</v>
      </c>
      <c r="AR98" s="8">
        <f t="shared" si="47"/>
        <v>254.77020768644189</v>
      </c>
      <c r="AS98" s="8">
        <f t="shared" si="47"/>
        <v>254.77020768644189</v>
      </c>
      <c r="AT98" s="8">
        <f t="shared" si="47"/>
        <v>254.77020768644189</v>
      </c>
      <c r="AU98" s="8">
        <f t="shared" si="47"/>
        <v>254.77020768644189</v>
      </c>
      <c r="AV98" s="8">
        <f t="shared" si="47"/>
        <v>254.77020768644189</v>
      </c>
    </row>
    <row r="99" spans="1:50">
      <c r="A99" s="199" t="s">
        <v>16</v>
      </c>
      <c r="B99" s="283" t="str">
        <f t="shared" si="48"/>
        <v>CET</v>
      </c>
      <c r="C99" s="115" t="str">
        <f t="shared" si="42"/>
        <v>Commercial - Public Water</v>
      </c>
      <c r="D99" s="115" t="s">
        <v>75</v>
      </c>
      <c r="E99" s="187">
        <f>D63/$J$34</f>
        <v>133.99608918927126</v>
      </c>
      <c r="F99" s="187">
        <f>E63/$O$34</f>
        <v>110.04465828022119</v>
      </c>
      <c r="G99" s="182">
        <f t="shared" si="43"/>
        <v>110.04465828022119</v>
      </c>
      <c r="H99" s="182">
        <f>G99*(1+$I$91)</f>
        <v>88.035726624176959</v>
      </c>
      <c r="I99" s="183">
        <f t="shared" si="50"/>
        <v>88.035726624176959</v>
      </c>
      <c r="J99" s="8">
        <f t="shared" si="51"/>
        <v>133.99608918927126</v>
      </c>
      <c r="K99" s="8">
        <f t="shared" si="51"/>
        <v>129.20580300746124</v>
      </c>
      <c r="L99" s="8">
        <f t="shared" si="45"/>
        <v>124.41551682565122</v>
      </c>
      <c r="M99" s="8">
        <f>IF(M$8=-1,N99,IF(M$8=99,L99,IF(M$8=0,INDEX($E99:$I99,0,M$6),(INDEX($E99:$I99,0,M$8+1)-INDEX($E99:$I99,0,M$8))/(INDEX($D$5:$H$5,0,M$8+1)-INDEX($D$5:$H$5,0,M$8))+L99)))</f>
        <v>119.62523064384121</v>
      </c>
      <c r="N99" s="8">
        <f t="shared" si="45"/>
        <v>114.83494446203119</v>
      </c>
      <c r="O99" s="8">
        <f t="shared" si="45"/>
        <v>110.04465828022119</v>
      </c>
      <c r="P99" s="8">
        <f t="shared" si="45"/>
        <v>110.04465828022119</v>
      </c>
      <c r="Q99" s="8">
        <f t="shared" si="45"/>
        <v>110.04465828022119</v>
      </c>
      <c r="R99" s="8">
        <f t="shared" si="45"/>
        <v>110.04465828022119</v>
      </c>
      <c r="S99" s="8">
        <f t="shared" si="45"/>
        <v>107.84376511461676</v>
      </c>
      <c r="T99" s="8">
        <f t="shared" si="45"/>
        <v>105.64287194901233</v>
      </c>
      <c r="U99" s="8">
        <f t="shared" si="45"/>
        <v>103.4419787834079</v>
      </c>
      <c r="V99" s="8">
        <f t="shared" si="45"/>
        <v>101.24108561780348</v>
      </c>
      <c r="W99" s="8">
        <f t="shared" si="45"/>
        <v>99.040192452199051</v>
      </c>
      <c r="X99" s="8">
        <f t="shared" si="45"/>
        <v>96.839299286594624</v>
      </c>
      <c r="Y99" s="8">
        <f t="shared" si="45"/>
        <v>94.638406120990197</v>
      </c>
      <c r="Z99" s="8">
        <f t="shared" si="45"/>
        <v>92.43751295538577</v>
      </c>
      <c r="AA99" s="8">
        <f t="shared" si="45"/>
        <v>90.236619789781344</v>
      </c>
      <c r="AB99" s="8">
        <f t="shared" si="46"/>
        <v>88.035726624176959</v>
      </c>
      <c r="AC99" s="8">
        <f t="shared" si="46"/>
        <v>88.035726624176959</v>
      </c>
      <c r="AD99" s="8">
        <f t="shared" si="46"/>
        <v>88.035726624176959</v>
      </c>
      <c r="AE99" s="8">
        <f t="shared" si="46"/>
        <v>88.035726624176959</v>
      </c>
      <c r="AF99" s="8">
        <f t="shared" si="46"/>
        <v>88.035726624176959</v>
      </c>
      <c r="AG99" s="8">
        <f t="shared" si="46"/>
        <v>88.035726624176959</v>
      </c>
      <c r="AH99" s="8">
        <f t="shared" si="46"/>
        <v>88.035726624176959</v>
      </c>
      <c r="AI99" s="8">
        <f t="shared" si="46"/>
        <v>88.035726624176959</v>
      </c>
      <c r="AJ99" s="8">
        <f t="shared" si="46"/>
        <v>88.035726624176959</v>
      </c>
      <c r="AK99" s="8">
        <f t="shared" si="46"/>
        <v>88.035726624176959</v>
      </c>
      <c r="AL99" s="8">
        <f t="shared" si="46"/>
        <v>88.035726624176959</v>
      </c>
      <c r="AM99" s="8">
        <f t="shared" si="46"/>
        <v>88.035726624176959</v>
      </c>
      <c r="AN99" s="8">
        <f t="shared" si="46"/>
        <v>88.035726624176959</v>
      </c>
      <c r="AO99" s="8">
        <f t="shared" si="46"/>
        <v>88.035726624176959</v>
      </c>
      <c r="AP99" s="8">
        <f t="shared" si="46"/>
        <v>88.035726624176959</v>
      </c>
      <c r="AQ99" s="8">
        <f t="shared" si="46"/>
        <v>88.035726624176959</v>
      </c>
      <c r="AR99" s="8">
        <f t="shared" si="47"/>
        <v>88.035726624176959</v>
      </c>
      <c r="AS99" s="8">
        <f t="shared" si="47"/>
        <v>88.035726624176959</v>
      </c>
      <c r="AT99" s="8">
        <f t="shared" si="47"/>
        <v>88.035726624176959</v>
      </c>
      <c r="AU99" s="8">
        <f t="shared" si="47"/>
        <v>88.035726624176959</v>
      </c>
      <c r="AV99" s="8">
        <f t="shared" si="47"/>
        <v>88.035726624176959</v>
      </c>
    </row>
    <row r="100" spans="1:50">
      <c r="A100" s="199" t="s">
        <v>16</v>
      </c>
      <c r="B100" s="283" t="str">
        <f t="shared" si="48"/>
        <v>CEO</v>
      </c>
      <c r="C100" s="95" t="str">
        <f t="shared" si="42"/>
        <v>Commercial - Other</v>
      </c>
      <c r="D100" s="95" t="s">
        <v>75</v>
      </c>
      <c r="E100" s="104">
        <f t="shared" si="49"/>
        <v>141.24997285391134</v>
      </c>
      <c r="F100" s="112">
        <f t="shared" si="49"/>
        <v>122.0500288304751</v>
      </c>
      <c r="G100" s="112">
        <f t="shared" si="43"/>
        <v>122.0500288304751</v>
      </c>
      <c r="H100" s="112">
        <f>G100*(1+$H$91)</f>
        <v>91.537521622856332</v>
      </c>
      <c r="I100" s="164">
        <f t="shared" si="50"/>
        <v>91.537521622856332</v>
      </c>
      <c r="J100" s="8">
        <f t="shared" si="51"/>
        <v>141.24997285391134</v>
      </c>
      <c r="K100" s="8">
        <f t="shared" si="51"/>
        <v>137.40998404922411</v>
      </c>
      <c r="L100" s="8">
        <f t="shared" si="45"/>
        <v>133.56999524453687</v>
      </c>
      <c r="M100" s="8">
        <f>IF(M$8=-1,N100,IF(M$8=99,L100,IF(M$8=0,INDEX($E100:$I100,0,M$6),(INDEX($E100:$I100,0,M$8+1)-INDEX($E100:$I100,0,M$8))/(INDEX($D$5:$H$5,0,M$8+1)-INDEX($D$5:$H$5,0,M$8))+L100)))</f>
        <v>129.73000643984963</v>
      </c>
      <c r="N100" s="8">
        <f t="shared" si="45"/>
        <v>125.89001763516238</v>
      </c>
      <c r="O100" s="8">
        <f t="shared" si="45"/>
        <v>122.0500288304751</v>
      </c>
      <c r="P100" s="8">
        <f t="shared" si="45"/>
        <v>122.0500288304751</v>
      </c>
      <c r="Q100" s="8">
        <f t="shared" si="45"/>
        <v>122.0500288304751</v>
      </c>
      <c r="R100" s="8">
        <f t="shared" si="45"/>
        <v>122.0500288304751</v>
      </c>
      <c r="S100" s="8">
        <f t="shared" si="45"/>
        <v>118.99877810971323</v>
      </c>
      <c r="T100" s="8">
        <f t="shared" si="45"/>
        <v>115.94752738895136</v>
      </c>
      <c r="U100" s="8">
        <f t="shared" si="45"/>
        <v>112.89627666818949</v>
      </c>
      <c r="V100" s="8">
        <f t="shared" si="45"/>
        <v>109.84502594742762</v>
      </c>
      <c r="W100" s="8">
        <f t="shared" si="45"/>
        <v>106.79377522666574</v>
      </c>
      <c r="X100" s="8">
        <f t="shared" si="45"/>
        <v>103.74252450590387</v>
      </c>
      <c r="Y100" s="8">
        <f t="shared" si="45"/>
        <v>100.691273785142</v>
      </c>
      <c r="Z100" s="8">
        <f t="shared" si="45"/>
        <v>97.640023064380131</v>
      </c>
      <c r="AA100" s="8">
        <f t="shared" si="45"/>
        <v>94.58877234361826</v>
      </c>
      <c r="AB100" s="8">
        <f t="shared" si="46"/>
        <v>91.537521622856332</v>
      </c>
      <c r="AC100" s="8">
        <f t="shared" si="46"/>
        <v>91.537521622856332</v>
      </c>
      <c r="AD100" s="8">
        <f t="shared" si="46"/>
        <v>91.537521622856332</v>
      </c>
      <c r="AE100" s="8">
        <f t="shared" si="46"/>
        <v>91.537521622856332</v>
      </c>
      <c r="AF100" s="8">
        <f t="shared" si="46"/>
        <v>91.537521622856332</v>
      </c>
      <c r="AG100" s="8">
        <f t="shared" si="46"/>
        <v>91.537521622856332</v>
      </c>
      <c r="AH100" s="8">
        <f t="shared" si="46"/>
        <v>91.537521622856332</v>
      </c>
      <c r="AI100" s="8">
        <f t="shared" si="46"/>
        <v>91.537521622856332</v>
      </c>
      <c r="AJ100" s="8">
        <f t="shared" si="46"/>
        <v>91.537521622856332</v>
      </c>
      <c r="AK100" s="8">
        <f t="shared" si="46"/>
        <v>91.537521622856332</v>
      </c>
      <c r="AL100" s="8">
        <f t="shared" si="46"/>
        <v>91.537521622856332</v>
      </c>
      <c r="AM100" s="8">
        <f t="shared" si="46"/>
        <v>91.537521622856332</v>
      </c>
      <c r="AN100" s="8">
        <f t="shared" si="46"/>
        <v>91.537521622856332</v>
      </c>
      <c r="AO100" s="8">
        <f t="shared" si="46"/>
        <v>91.537521622856332</v>
      </c>
      <c r="AP100" s="8">
        <f t="shared" si="46"/>
        <v>91.537521622856332</v>
      </c>
      <c r="AQ100" s="8">
        <f t="shared" si="46"/>
        <v>91.537521622856332</v>
      </c>
      <c r="AR100" s="8">
        <f t="shared" si="47"/>
        <v>91.537521622856332</v>
      </c>
      <c r="AS100" s="8">
        <f t="shared" si="47"/>
        <v>91.537521622856332</v>
      </c>
      <c r="AT100" s="8">
        <f t="shared" si="47"/>
        <v>91.537521622856332</v>
      </c>
      <c r="AU100" s="8">
        <f t="shared" si="47"/>
        <v>91.537521622856332</v>
      </c>
      <c r="AV100" s="8">
        <f t="shared" si="47"/>
        <v>91.537521622856332</v>
      </c>
    </row>
    <row r="101" spans="1:50">
      <c r="A101" s="199" t="s">
        <v>16</v>
      </c>
      <c r="B101" s="283"/>
      <c r="I101" s="165"/>
      <c r="K101" s="95"/>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99" t="s">
        <v>16</v>
      </c>
      <c r="E102" s="104"/>
      <c r="F102" s="104"/>
      <c r="G102" s="104"/>
      <c r="H102" s="104"/>
      <c r="I102" s="185"/>
      <c r="J102" s="104"/>
      <c r="K102" s="104"/>
      <c r="L102" s="104"/>
      <c r="M102" s="104"/>
      <c r="N102" s="104"/>
      <c r="O102" s="104"/>
      <c r="P102" s="104"/>
      <c r="Q102" s="104"/>
      <c r="R102" s="104"/>
      <c r="S102" s="104"/>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c r="AP102" s="104"/>
      <c r="AQ102" s="104"/>
      <c r="AR102" s="104"/>
      <c r="AS102" s="104"/>
      <c r="AT102" s="104"/>
      <c r="AU102" s="104"/>
      <c r="AV102" s="104"/>
    </row>
    <row r="103" spans="1:50" ht="18.75">
      <c r="A103" s="199" t="s">
        <v>16</v>
      </c>
      <c r="B103" s="175" t="s">
        <v>76</v>
      </c>
      <c r="I103" s="165"/>
      <c r="J103" s="104"/>
      <c r="K103" s="104"/>
      <c r="L103" s="104"/>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c r="AP103" s="104"/>
      <c r="AQ103" s="104"/>
      <c r="AR103" s="104"/>
      <c r="AS103" s="104"/>
      <c r="AT103" s="104"/>
      <c r="AU103" s="104"/>
      <c r="AV103" s="104"/>
    </row>
    <row r="104" spans="1:50" ht="15.75" thickBot="1">
      <c r="A104" s="199" t="s">
        <v>16</v>
      </c>
      <c r="B104" s="92"/>
      <c r="C104" s="92" t="s">
        <v>257</v>
      </c>
      <c r="D104" s="92"/>
      <c r="E104" s="92"/>
      <c r="F104" s="105"/>
      <c r="G104" s="105"/>
      <c r="H104" s="105"/>
      <c r="I104" s="186"/>
      <c r="J104" s="105">
        <f t="shared" ref="J104:AV104" si="52">J67</f>
        <v>2012</v>
      </c>
      <c r="K104" s="105">
        <f t="shared" si="52"/>
        <v>2013</v>
      </c>
      <c r="L104" s="105">
        <f t="shared" si="52"/>
        <v>2014</v>
      </c>
      <c r="M104" s="105">
        <f t="shared" si="52"/>
        <v>2015</v>
      </c>
      <c r="N104" s="105">
        <f t="shared" si="52"/>
        <v>2016</v>
      </c>
      <c r="O104" s="105">
        <f t="shared" si="52"/>
        <v>2017</v>
      </c>
      <c r="P104" s="105">
        <f t="shared" si="52"/>
        <v>2018</v>
      </c>
      <c r="Q104" s="105">
        <f t="shared" si="52"/>
        <v>2019</v>
      </c>
      <c r="R104" s="105">
        <f t="shared" si="52"/>
        <v>2020</v>
      </c>
      <c r="S104" s="105">
        <f t="shared" si="52"/>
        <v>2021</v>
      </c>
      <c r="T104" s="105">
        <f t="shared" si="52"/>
        <v>2022</v>
      </c>
      <c r="U104" s="105">
        <f t="shared" si="52"/>
        <v>2023</v>
      </c>
      <c r="V104" s="105">
        <f t="shared" si="52"/>
        <v>2024</v>
      </c>
      <c r="W104" s="105">
        <f t="shared" si="52"/>
        <v>2025</v>
      </c>
      <c r="X104" s="105">
        <f t="shared" si="52"/>
        <v>2026</v>
      </c>
      <c r="Y104" s="105">
        <f t="shared" si="52"/>
        <v>2027</v>
      </c>
      <c r="Z104" s="105">
        <f t="shared" si="52"/>
        <v>2028</v>
      </c>
      <c r="AA104" s="105">
        <f t="shared" si="52"/>
        <v>2029</v>
      </c>
      <c r="AB104" s="105">
        <f t="shared" si="52"/>
        <v>2030</v>
      </c>
      <c r="AC104" s="105">
        <f t="shared" si="52"/>
        <v>2031</v>
      </c>
      <c r="AD104" s="105">
        <f t="shared" si="52"/>
        <v>2032</v>
      </c>
      <c r="AE104" s="105">
        <f t="shared" si="52"/>
        <v>2033</v>
      </c>
      <c r="AF104" s="105">
        <f t="shared" si="52"/>
        <v>2034</v>
      </c>
      <c r="AG104" s="105">
        <f t="shared" si="52"/>
        <v>2035</v>
      </c>
      <c r="AH104" s="105">
        <f t="shared" si="52"/>
        <v>2036</v>
      </c>
      <c r="AI104" s="105">
        <f t="shared" si="52"/>
        <v>2037</v>
      </c>
      <c r="AJ104" s="105">
        <f t="shared" si="52"/>
        <v>2038</v>
      </c>
      <c r="AK104" s="105">
        <f t="shared" si="52"/>
        <v>2039</v>
      </c>
      <c r="AL104" s="105">
        <f t="shared" si="52"/>
        <v>2040</v>
      </c>
      <c r="AM104" s="105">
        <f t="shared" si="52"/>
        <v>2041</v>
      </c>
      <c r="AN104" s="105">
        <f t="shared" si="52"/>
        <v>2042</v>
      </c>
      <c r="AO104" s="105">
        <f t="shared" si="52"/>
        <v>2043</v>
      </c>
      <c r="AP104" s="105">
        <f t="shared" si="52"/>
        <v>2044</v>
      </c>
      <c r="AQ104" s="105">
        <f t="shared" si="52"/>
        <v>2045</v>
      </c>
      <c r="AR104" s="105">
        <f t="shared" si="52"/>
        <v>2046</v>
      </c>
      <c r="AS104" s="105">
        <f t="shared" si="52"/>
        <v>2047</v>
      </c>
      <c r="AT104" s="105">
        <f t="shared" si="52"/>
        <v>2048</v>
      </c>
      <c r="AU104" s="105">
        <f t="shared" si="52"/>
        <v>2049</v>
      </c>
      <c r="AV104" s="105">
        <f t="shared" si="52"/>
        <v>2050</v>
      </c>
    </row>
    <row r="105" spans="1:50">
      <c r="A105" s="199" t="s">
        <v>16</v>
      </c>
      <c r="B105" s="283" t="s">
        <v>248</v>
      </c>
      <c r="C105" s="95" t="str">
        <f t="shared" ref="C105:C113" si="53">C70</f>
        <v>Commercial - Cooling</v>
      </c>
      <c r="I105" s="165"/>
      <c r="J105" s="95">
        <v>1</v>
      </c>
      <c r="K105" s="95">
        <v>1</v>
      </c>
      <c r="L105" s="95">
        <v>1</v>
      </c>
      <c r="M105" s="95">
        <v>1</v>
      </c>
      <c r="N105" s="95">
        <v>1</v>
      </c>
      <c r="O105" s="95">
        <v>1</v>
      </c>
      <c r="P105" s="95">
        <v>1</v>
      </c>
      <c r="Q105" s="95">
        <v>1</v>
      </c>
      <c r="R105" s="95">
        <v>1</v>
      </c>
      <c r="S105" s="95">
        <v>1</v>
      </c>
      <c r="T105" s="95">
        <v>1</v>
      </c>
      <c r="U105" s="95">
        <v>1</v>
      </c>
      <c r="V105" s="95">
        <v>1</v>
      </c>
      <c r="W105" s="95">
        <v>1</v>
      </c>
      <c r="X105" s="95">
        <v>1</v>
      </c>
      <c r="Y105" s="95">
        <v>1</v>
      </c>
      <c r="Z105" s="95">
        <v>1</v>
      </c>
      <c r="AA105" s="95">
        <v>1</v>
      </c>
      <c r="AB105" s="95">
        <v>1</v>
      </c>
      <c r="AC105" s="95">
        <v>1</v>
      </c>
      <c r="AD105" s="95">
        <v>1</v>
      </c>
      <c r="AE105" s="95">
        <v>1</v>
      </c>
      <c r="AF105" s="95">
        <v>1</v>
      </c>
      <c r="AG105" s="95">
        <v>1</v>
      </c>
      <c r="AH105" s="95">
        <v>1</v>
      </c>
      <c r="AI105" s="95">
        <v>1</v>
      </c>
      <c r="AJ105" s="95">
        <v>1</v>
      </c>
      <c r="AK105" s="95">
        <v>1</v>
      </c>
      <c r="AL105" s="95">
        <v>1</v>
      </c>
      <c r="AM105" s="95">
        <v>1</v>
      </c>
      <c r="AN105" s="95">
        <v>1</v>
      </c>
      <c r="AO105" s="95">
        <v>1</v>
      </c>
      <c r="AP105" s="95">
        <v>1</v>
      </c>
      <c r="AQ105" s="95">
        <v>1</v>
      </c>
      <c r="AR105" s="95">
        <v>1</v>
      </c>
      <c r="AS105" s="95">
        <v>1</v>
      </c>
      <c r="AT105" s="95">
        <v>1</v>
      </c>
      <c r="AU105" s="95">
        <v>1</v>
      </c>
      <c r="AV105" s="95">
        <v>1</v>
      </c>
    </row>
    <row r="106" spans="1:50">
      <c r="A106" s="199" t="s">
        <v>16</v>
      </c>
      <c r="B106" s="283" t="s">
        <v>249</v>
      </c>
      <c r="C106" s="95" t="str">
        <f t="shared" si="53"/>
        <v>Commercial - Space Heating</v>
      </c>
      <c r="I106" s="165"/>
      <c r="J106" s="95">
        <v>1</v>
      </c>
      <c r="K106" s="95">
        <v>1</v>
      </c>
      <c r="L106" s="95">
        <v>1</v>
      </c>
      <c r="M106" s="95">
        <v>1</v>
      </c>
      <c r="N106" s="95">
        <v>1</v>
      </c>
      <c r="O106" s="95">
        <v>1</v>
      </c>
      <c r="P106" s="95">
        <v>1</v>
      </c>
      <c r="Q106" s="95">
        <v>1</v>
      </c>
      <c r="R106" s="95">
        <v>1</v>
      </c>
      <c r="S106" s="95">
        <v>1</v>
      </c>
      <c r="T106" s="95">
        <v>1</v>
      </c>
      <c r="U106" s="95">
        <v>1</v>
      </c>
      <c r="V106" s="95">
        <v>1</v>
      </c>
      <c r="W106" s="95">
        <v>1</v>
      </c>
      <c r="X106" s="95">
        <v>1</v>
      </c>
      <c r="Y106" s="95">
        <v>1</v>
      </c>
      <c r="Z106" s="95">
        <v>1</v>
      </c>
      <c r="AA106" s="95">
        <v>1</v>
      </c>
      <c r="AB106" s="95">
        <v>1</v>
      </c>
      <c r="AC106" s="95">
        <v>1</v>
      </c>
      <c r="AD106" s="95">
        <v>1</v>
      </c>
      <c r="AE106" s="95">
        <v>1</v>
      </c>
      <c r="AF106" s="95">
        <v>1</v>
      </c>
      <c r="AG106" s="95">
        <v>1</v>
      </c>
      <c r="AH106" s="95">
        <v>1</v>
      </c>
      <c r="AI106" s="95">
        <v>1</v>
      </c>
      <c r="AJ106" s="95">
        <v>1</v>
      </c>
      <c r="AK106" s="95">
        <v>1</v>
      </c>
      <c r="AL106" s="95">
        <v>1</v>
      </c>
      <c r="AM106" s="95">
        <v>1</v>
      </c>
      <c r="AN106" s="95">
        <v>1</v>
      </c>
      <c r="AO106" s="95">
        <v>1</v>
      </c>
      <c r="AP106" s="95">
        <v>1</v>
      </c>
      <c r="AQ106" s="95">
        <v>1</v>
      </c>
      <c r="AR106" s="95">
        <v>1</v>
      </c>
      <c r="AS106" s="95">
        <v>1</v>
      </c>
      <c r="AT106" s="95">
        <v>1</v>
      </c>
      <c r="AU106" s="95">
        <v>1</v>
      </c>
      <c r="AV106" s="95">
        <v>1</v>
      </c>
      <c r="AX106" s="155">
        <v>0.01</v>
      </c>
    </row>
    <row r="107" spans="1:50">
      <c r="A107" s="199" t="s">
        <v>16</v>
      </c>
      <c r="B107" s="283" t="s">
        <v>250</v>
      </c>
      <c r="C107" s="95" t="str">
        <f t="shared" si="53"/>
        <v>Commercial - Cooking</v>
      </c>
      <c r="I107" s="165"/>
      <c r="J107" s="95">
        <v>1</v>
      </c>
      <c r="K107" s="95">
        <v>1</v>
      </c>
      <c r="L107" s="95">
        <v>1</v>
      </c>
      <c r="M107" s="95">
        <v>1</v>
      </c>
      <c r="N107" s="95">
        <v>1</v>
      </c>
      <c r="O107" s="95">
        <v>1</v>
      </c>
      <c r="P107" s="95">
        <v>1</v>
      </c>
      <c r="Q107" s="95">
        <v>1</v>
      </c>
      <c r="R107" s="95">
        <v>1</v>
      </c>
      <c r="S107" s="95">
        <v>1</v>
      </c>
      <c r="T107" s="95">
        <v>1</v>
      </c>
      <c r="U107" s="95">
        <v>1</v>
      </c>
      <c r="V107" s="95">
        <v>1</v>
      </c>
      <c r="W107" s="95">
        <v>1</v>
      </c>
      <c r="X107" s="95">
        <v>1</v>
      </c>
      <c r="Y107" s="95">
        <v>1</v>
      </c>
      <c r="Z107" s="95">
        <v>1</v>
      </c>
      <c r="AA107" s="95">
        <v>1</v>
      </c>
      <c r="AB107" s="95">
        <v>1</v>
      </c>
      <c r="AC107" s="95">
        <v>1</v>
      </c>
      <c r="AD107" s="95">
        <v>1</v>
      </c>
      <c r="AE107" s="95">
        <v>1</v>
      </c>
      <c r="AF107" s="95">
        <v>1</v>
      </c>
      <c r="AG107" s="95">
        <v>1</v>
      </c>
      <c r="AH107" s="95">
        <v>1</v>
      </c>
      <c r="AI107" s="95">
        <v>1</v>
      </c>
      <c r="AJ107" s="95">
        <v>1</v>
      </c>
      <c r="AK107" s="95">
        <v>1</v>
      </c>
      <c r="AL107" s="95">
        <v>1</v>
      </c>
      <c r="AM107" s="95">
        <v>1</v>
      </c>
      <c r="AN107" s="95">
        <v>1</v>
      </c>
      <c r="AO107" s="95">
        <v>1</v>
      </c>
      <c r="AP107" s="95">
        <v>1</v>
      </c>
      <c r="AQ107" s="95">
        <v>1</v>
      </c>
      <c r="AR107" s="95">
        <v>1</v>
      </c>
      <c r="AS107" s="95">
        <v>1</v>
      </c>
      <c r="AT107" s="95">
        <v>1</v>
      </c>
      <c r="AU107" s="95">
        <v>1</v>
      </c>
      <c r="AV107" s="95">
        <v>1</v>
      </c>
      <c r="AX107" s="154" t="s">
        <v>477</v>
      </c>
    </row>
    <row r="108" spans="1:50">
      <c r="A108" s="199" t="s">
        <v>16</v>
      </c>
      <c r="B108" s="283" t="s">
        <v>251</v>
      </c>
      <c r="C108" s="95" t="str">
        <f t="shared" si="53"/>
        <v>Commercial - Lighting</v>
      </c>
      <c r="I108" s="165"/>
      <c r="J108" s="95">
        <v>1</v>
      </c>
      <c r="K108" s="95">
        <v>1</v>
      </c>
      <c r="L108" s="95">
        <v>1</v>
      </c>
      <c r="M108" s="95">
        <v>1</v>
      </c>
      <c r="N108" s="95">
        <v>1</v>
      </c>
      <c r="O108" s="95">
        <v>1</v>
      </c>
      <c r="P108" s="95">
        <v>1</v>
      </c>
      <c r="Q108" s="95">
        <v>1</v>
      </c>
      <c r="R108" s="95">
        <v>1</v>
      </c>
      <c r="S108" s="95">
        <v>1</v>
      </c>
      <c r="T108" s="95">
        <v>1</v>
      </c>
      <c r="U108" s="95">
        <v>1</v>
      </c>
      <c r="V108" s="95">
        <v>1</v>
      </c>
      <c r="W108" s="95">
        <v>1</v>
      </c>
      <c r="X108" s="95">
        <v>1</v>
      </c>
      <c r="Y108" s="95">
        <v>1</v>
      </c>
      <c r="Z108" s="95">
        <v>1</v>
      </c>
      <c r="AA108" s="95">
        <v>1</v>
      </c>
      <c r="AB108" s="95">
        <v>1</v>
      </c>
      <c r="AC108" s="95">
        <v>1</v>
      </c>
      <c r="AD108" s="95">
        <v>1</v>
      </c>
      <c r="AE108" s="95">
        <v>1</v>
      </c>
      <c r="AF108" s="95">
        <v>1</v>
      </c>
      <c r="AG108" s="95">
        <v>1</v>
      </c>
      <c r="AH108" s="95">
        <v>1</v>
      </c>
      <c r="AI108" s="95">
        <v>1</v>
      </c>
      <c r="AJ108" s="95">
        <v>1</v>
      </c>
      <c r="AK108" s="95">
        <v>1</v>
      </c>
      <c r="AL108" s="95">
        <v>1</v>
      </c>
      <c r="AM108" s="95">
        <v>1</v>
      </c>
      <c r="AN108" s="95">
        <v>1</v>
      </c>
      <c r="AO108" s="95">
        <v>1</v>
      </c>
      <c r="AP108" s="95">
        <v>1</v>
      </c>
      <c r="AQ108" s="95">
        <v>1</v>
      </c>
      <c r="AR108" s="95">
        <v>1</v>
      </c>
      <c r="AS108" s="95">
        <v>1</v>
      </c>
      <c r="AT108" s="95">
        <v>1</v>
      </c>
      <c r="AU108" s="95">
        <v>1</v>
      </c>
      <c r="AV108" s="95">
        <v>1</v>
      </c>
      <c r="AX108" s="154" t="s">
        <v>478</v>
      </c>
    </row>
    <row r="109" spans="1:50">
      <c r="A109" s="199" t="s">
        <v>16</v>
      </c>
      <c r="B109" s="283" t="s">
        <v>252</v>
      </c>
      <c r="C109" s="95" t="str">
        <f t="shared" si="53"/>
        <v>Commercial - Refrigeration</v>
      </c>
      <c r="I109" s="165"/>
      <c r="J109" s="95">
        <v>1</v>
      </c>
      <c r="K109" s="95">
        <v>1</v>
      </c>
      <c r="L109" s="95">
        <v>1</v>
      </c>
      <c r="M109" s="95">
        <v>1</v>
      </c>
      <c r="N109" s="95">
        <v>1</v>
      </c>
      <c r="O109" s="95">
        <v>1</v>
      </c>
      <c r="P109" s="95">
        <v>1</v>
      </c>
      <c r="Q109" s="95">
        <v>1</v>
      </c>
      <c r="R109" s="95">
        <v>1</v>
      </c>
      <c r="S109" s="95">
        <v>1</v>
      </c>
      <c r="T109" s="95">
        <v>1</v>
      </c>
      <c r="U109" s="95">
        <v>1</v>
      </c>
      <c r="V109" s="95">
        <v>1</v>
      </c>
      <c r="W109" s="95">
        <v>1</v>
      </c>
      <c r="X109" s="95">
        <v>1</v>
      </c>
      <c r="Y109" s="95">
        <v>1</v>
      </c>
      <c r="Z109" s="95">
        <v>1</v>
      </c>
      <c r="AA109" s="95">
        <v>1</v>
      </c>
      <c r="AB109" s="95">
        <v>1</v>
      </c>
      <c r="AC109" s="95">
        <v>1</v>
      </c>
      <c r="AD109" s="95">
        <v>1</v>
      </c>
      <c r="AE109" s="95">
        <v>1</v>
      </c>
      <c r="AF109" s="95">
        <v>1</v>
      </c>
      <c r="AG109" s="95">
        <v>1</v>
      </c>
      <c r="AH109" s="95">
        <v>1</v>
      </c>
      <c r="AI109" s="95">
        <v>1</v>
      </c>
      <c r="AJ109" s="95">
        <v>1</v>
      </c>
      <c r="AK109" s="95">
        <v>1</v>
      </c>
      <c r="AL109" s="95">
        <v>1</v>
      </c>
      <c r="AM109" s="95">
        <v>1</v>
      </c>
      <c r="AN109" s="95">
        <v>1</v>
      </c>
      <c r="AO109" s="95">
        <v>1</v>
      </c>
      <c r="AP109" s="95">
        <v>1</v>
      </c>
      <c r="AQ109" s="95">
        <v>1</v>
      </c>
      <c r="AR109" s="95">
        <v>1</v>
      </c>
      <c r="AS109" s="95">
        <v>1</v>
      </c>
      <c r="AT109" s="95">
        <v>1</v>
      </c>
      <c r="AU109" s="95">
        <v>1</v>
      </c>
      <c r="AV109" s="95">
        <v>1</v>
      </c>
    </row>
    <row r="110" spans="1:50">
      <c r="A110" s="199" t="s">
        <v>16</v>
      </c>
      <c r="B110" s="283" t="s">
        <v>253</v>
      </c>
      <c r="C110" s="95" t="str">
        <f t="shared" si="53"/>
        <v>Commercial - Water Heating</v>
      </c>
      <c r="I110" s="165"/>
      <c r="J110" s="95">
        <v>1</v>
      </c>
      <c r="K110" s="95">
        <v>1</v>
      </c>
      <c r="L110" s="95">
        <v>1</v>
      </c>
      <c r="M110" s="95">
        <v>1</v>
      </c>
      <c r="N110" s="95">
        <v>1</v>
      </c>
      <c r="O110" s="95">
        <v>1</v>
      </c>
      <c r="P110" s="95">
        <v>1</v>
      </c>
      <c r="Q110" s="95">
        <v>1</v>
      </c>
      <c r="R110" s="95">
        <v>1</v>
      </c>
      <c r="S110" s="95">
        <v>1</v>
      </c>
      <c r="T110" s="95">
        <v>1</v>
      </c>
      <c r="U110" s="95">
        <v>1</v>
      </c>
      <c r="V110" s="95">
        <v>1</v>
      </c>
      <c r="W110" s="95">
        <v>1</v>
      </c>
      <c r="X110" s="95">
        <v>1</v>
      </c>
      <c r="Y110" s="95">
        <v>1</v>
      </c>
      <c r="Z110" s="95">
        <v>1</v>
      </c>
      <c r="AA110" s="95">
        <v>1</v>
      </c>
      <c r="AB110" s="95">
        <v>1</v>
      </c>
      <c r="AC110" s="95">
        <v>1</v>
      </c>
      <c r="AD110" s="95">
        <v>1</v>
      </c>
      <c r="AE110" s="95">
        <v>1</v>
      </c>
      <c r="AF110" s="95">
        <v>1</v>
      </c>
      <c r="AG110" s="95">
        <v>1</v>
      </c>
      <c r="AH110" s="95">
        <v>1</v>
      </c>
      <c r="AI110" s="95">
        <v>1</v>
      </c>
      <c r="AJ110" s="95">
        <v>1</v>
      </c>
      <c r="AK110" s="95">
        <v>1</v>
      </c>
      <c r="AL110" s="95">
        <v>1</v>
      </c>
      <c r="AM110" s="95">
        <v>1</v>
      </c>
      <c r="AN110" s="95">
        <v>1</v>
      </c>
      <c r="AO110" s="95">
        <v>1</v>
      </c>
      <c r="AP110" s="95">
        <v>1</v>
      </c>
      <c r="AQ110" s="95">
        <v>1</v>
      </c>
      <c r="AR110" s="95">
        <v>1</v>
      </c>
      <c r="AS110" s="95">
        <v>1</v>
      </c>
      <c r="AT110" s="95">
        <v>1</v>
      </c>
      <c r="AU110" s="95">
        <v>1</v>
      </c>
      <c r="AV110" s="95">
        <v>1</v>
      </c>
    </row>
    <row r="111" spans="1:50">
      <c r="A111" s="199" t="s">
        <v>16</v>
      </c>
      <c r="B111" s="283" t="s">
        <v>254</v>
      </c>
      <c r="C111" s="95" t="str">
        <f t="shared" si="53"/>
        <v>Commercial - Public lights</v>
      </c>
      <c r="I111" s="165"/>
      <c r="J111" s="95">
        <v>1</v>
      </c>
      <c r="K111" s="95">
        <v>1</v>
      </c>
      <c r="L111" s="95">
        <v>1</v>
      </c>
      <c r="M111" s="95">
        <v>1</v>
      </c>
      <c r="N111" s="95">
        <v>1</v>
      </c>
      <c r="O111" s="95">
        <v>1</v>
      </c>
      <c r="P111" s="95">
        <v>1</v>
      </c>
      <c r="Q111" s="95">
        <v>1</v>
      </c>
      <c r="R111" s="95">
        <v>1</v>
      </c>
      <c r="S111" s="95">
        <v>1</v>
      </c>
      <c r="T111" s="95">
        <v>1</v>
      </c>
      <c r="U111" s="95">
        <v>1</v>
      </c>
      <c r="V111" s="95">
        <v>1</v>
      </c>
      <c r="W111" s="95">
        <v>1</v>
      </c>
      <c r="X111" s="95">
        <v>1</v>
      </c>
      <c r="Y111" s="95">
        <v>1</v>
      </c>
      <c r="Z111" s="95">
        <v>1</v>
      </c>
      <c r="AA111" s="95">
        <v>1</v>
      </c>
      <c r="AB111" s="95">
        <v>1</v>
      </c>
      <c r="AC111" s="95">
        <v>1</v>
      </c>
      <c r="AD111" s="95">
        <v>1</v>
      </c>
      <c r="AE111" s="95">
        <v>1</v>
      </c>
      <c r="AF111" s="95">
        <v>1</v>
      </c>
      <c r="AG111" s="95">
        <v>1</v>
      </c>
      <c r="AH111" s="95">
        <v>1</v>
      </c>
      <c r="AI111" s="95">
        <v>1</v>
      </c>
      <c r="AJ111" s="95">
        <v>1</v>
      </c>
      <c r="AK111" s="95">
        <v>1</v>
      </c>
      <c r="AL111" s="95">
        <v>1</v>
      </c>
      <c r="AM111" s="95">
        <v>1</v>
      </c>
      <c r="AN111" s="95">
        <v>1</v>
      </c>
      <c r="AO111" s="95">
        <v>1</v>
      </c>
      <c r="AP111" s="95">
        <v>1</v>
      </c>
      <c r="AQ111" s="95">
        <v>1</v>
      </c>
      <c r="AR111" s="95">
        <v>1</v>
      </c>
      <c r="AS111" s="95">
        <v>1</v>
      </c>
      <c r="AT111" s="95">
        <v>1</v>
      </c>
      <c r="AU111" s="95">
        <v>1</v>
      </c>
      <c r="AV111" s="95">
        <v>1</v>
      </c>
    </row>
    <row r="112" spans="1:50">
      <c r="A112" s="199" t="s">
        <v>16</v>
      </c>
      <c r="B112" s="283" t="s">
        <v>255</v>
      </c>
      <c r="C112" s="95" t="str">
        <f t="shared" si="53"/>
        <v>Commercial - Public Water</v>
      </c>
      <c r="I112" s="165"/>
      <c r="J112" s="95">
        <v>1</v>
      </c>
      <c r="K112" s="95">
        <v>1</v>
      </c>
      <c r="L112" s="95">
        <v>1</v>
      </c>
      <c r="M112" s="95">
        <v>1</v>
      </c>
      <c r="N112" s="95">
        <v>1</v>
      </c>
      <c r="O112" s="95">
        <v>1</v>
      </c>
      <c r="P112" s="95">
        <v>1</v>
      </c>
      <c r="Q112" s="95">
        <v>1</v>
      </c>
      <c r="R112" s="95">
        <v>1</v>
      </c>
      <c r="S112" s="95">
        <v>1</v>
      </c>
      <c r="T112" s="95">
        <v>1</v>
      </c>
      <c r="U112" s="95">
        <v>1</v>
      </c>
      <c r="V112" s="95">
        <v>1</v>
      </c>
      <c r="W112" s="95">
        <v>1</v>
      </c>
      <c r="X112" s="95">
        <v>1</v>
      </c>
      <c r="Y112" s="95">
        <v>1</v>
      </c>
      <c r="Z112" s="95">
        <v>1</v>
      </c>
      <c r="AA112" s="95">
        <v>1</v>
      </c>
      <c r="AB112" s="95">
        <v>1</v>
      </c>
      <c r="AC112" s="95">
        <v>1</v>
      </c>
      <c r="AD112" s="95">
        <v>1</v>
      </c>
      <c r="AE112" s="95">
        <v>1</v>
      </c>
      <c r="AF112" s="95">
        <v>1</v>
      </c>
      <c r="AG112" s="95">
        <v>1</v>
      </c>
      <c r="AH112" s="95">
        <v>1</v>
      </c>
      <c r="AI112" s="95">
        <v>1</v>
      </c>
      <c r="AJ112" s="95">
        <v>1</v>
      </c>
      <c r="AK112" s="95">
        <v>1</v>
      </c>
      <c r="AL112" s="95">
        <v>1</v>
      </c>
      <c r="AM112" s="95">
        <v>1</v>
      </c>
      <c r="AN112" s="95">
        <v>1</v>
      </c>
      <c r="AO112" s="95">
        <v>1</v>
      </c>
      <c r="AP112" s="95">
        <v>1</v>
      </c>
      <c r="AQ112" s="95">
        <v>1</v>
      </c>
      <c r="AR112" s="95">
        <v>1</v>
      </c>
      <c r="AS112" s="95">
        <v>1</v>
      </c>
      <c r="AT112" s="95">
        <v>1</v>
      </c>
      <c r="AU112" s="95">
        <v>1</v>
      </c>
      <c r="AV112" s="95">
        <v>1</v>
      </c>
    </row>
    <row r="113" spans="1:48">
      <c r="A113" s="199" t="s">
        <v>16</v>
      </c>
      <c r="B113" s="283" t="s">
        <v>256</v>
      </c>
      <c r="C113" s="95" t="str">
        <f t="shared" si="53"/>
        <v>Commercial - Other</v>
      </c>
      <c r="I113" s="165"/>
      <c r="J113" s="95">
        <v>1</v>
      </c>
      <c r="K113" s="95">
        <v>1</v>
      </c>
      <c r="L113" s="95">
        <v>1</v>
      </c>
      <c r="M113" s="95">
        <v>1</v>
      </c>
      <c r="N113" s="95">
        <v>1</v>
      </c>
      <c r="O113" s="95">
        <v>1</v>
      </c>
      <c r="P113" s="95">
        <v>1</v>
      </c>
      <c r="Q113" s="95">
        <v>1</v>
      </c>
      <c r="R113" s="95">
        <v>1</v>
      </c>
      <c r="S113" s="95">
        <v>1</v>
      </c>
      <c r="T113" s="95">
        <v>1</v>
      </c>
      <c r="U113" s="95">
        <v>1</v>
      </c>
      <c r="V113" s="95">
        <v>1</v>
      </c>
      <c r="W113" s="95">
        <v>1</v>
      </c>
      <c r="X113" s="95">
        <v>1</v>
      </c>
      <c r="Y113" s="95">
        <v>1</v>
      </c>
      <c r="Z113" s="95">
        <v>1</v>
      </c>
      <c r="AA113" s="95">
        <v>1</v>
      </c>
      <c r="AB113" s="95">
        <v>1</v>
      </c>
      <c r="AC113" s="95">
        <v>1</v>
      </c>
      <c r="AD113" s="95">
        <v>1</v>
      </c>
      <c r="AE113" s="95">
        <v>1</v>
      </c>
      <c r="AF113" s="95">
        <v>1</v>
      </c>
      <c r="AG113" s="95">
        <v>1</v>
      </c>
      <c r="AH113" s="95">
        <v>1</v>
      </c>
      <c r="AI113" s="95">
        <v>1</v>
      </c>
      <c r="AJ113" s="95">
        <v>1</v>
      </c>
      <c r="AK113" s="95">
        <v>1</v>
      </c>
      <c r="AL113" s="95">
        <v>1</v>
      </c>
      <c r="AM113" s="95">
        <v>1</v>
      </c>
      <c r="AN113" s="95">
        <v>1</v>
      </c>
      <c r="AO113" s="95">
        <v>1</v>
      </c>
      <c r="AP113" s="95">
        <v>1</v>
      </c>
      <c r="AQ113" s="95">
        <v>1</v>
      </c>
      <c r="AR113" s="95">
        <v>1</v>
      </c>
      <c r="AS113" s="95">
        <v>1</v>
      </c>
      <c r="AT113" s="95">
        <v>1</v>
      </c>
      <c r="AU113" s="95">
        <v>1</v>
      </c>
      <c r="AV113" s="95">
        <v>1</v>
      </c>
    </row>
    <row r="114" spans="1:48">
      <c r="A114" s="199" t="s">
        <v>16</v>
      </c>
      <c r="B114" s="283"/>
      <c r="I114" s="165"/>
      <c r="K114" s="95"/>
    </row>
    <row r="115" spans="1:48" ht="15.75" thickBot="1">
      <c r="A115" s="199" t="s">
        <v>16</v>
      </c>
      <c r="B115" s="283"/>
      <c r="C115" s="92" t="s">
        <v>258</v>
      </c>
      <c r="I115" s="165"/>
      <c r="K115" s="95"/>
    </row>
    <row r="116" spans="1:48">
      <c r="A116" s="199" t="s">
        <v>16</v>
      </c>
      <c r="B116" s="283" t="str">
        <f>B105</f>
        <v>CNC</v>
      </c>
      <c r="C116" s="283" t="str">
        <f>C105</f>
        <v>Commercial - Cooling</v>
      </c>
      <c r="E116" s="101">
        <v>0</v>
      </c>
      <c r="I116" s="165"/>
      <c r="J116" s="167">
        <f t="shared" ref="J116:Y124" si="54">(1-$E116)</f>
        <v>1</v>
      </c>
      <c r="K116" s="116">
        <f t="shared" si="54"/>
        <v>1</v>
      </c>
      <c r="L116" s="116">
        <f t="shared" si="54"/>
        <v>1</v>
      </c>
      <c r="M116" s="116">
        <f t="shared" si="54"/>
        <v>1</v>
      </c>
      <c r="N116" s="116">
        <f t="shared" si="54"/>
        <v>1</v>
      </c>
      <c r="O116" s="116">
        <f t="shared" si="54"/>
        <v>1</v>
      </c>
      <c r="P116" s="116">
        <f t="shared" si="54"/>
        <v>1</v>
      </c>
      <c r="Q116" s="116">
        <f t="shared" si="54"/>
        <v>1</v>
      </c>
      <c r="R116" s="116">
        <f t="shared" si="54"/>
        <v>1</v>
      </c>
      <c r="S116" s="116">
        <f t="shared" si="54"/>
        <v>1</v>
      </c>
      <c r="T116" s="116">
        <f t="shared" si="54"/>
        <v>1</v>
      </c>
      <c r="U116" s="116">
        <f t="shared" si="54"/>
        <v>1</v>
      </c>
      <c r="V116" s="116">
        <f t="shared" si="54"/>
        <v>1</v>
      </c>
      <c r="W116" s="116">
        <f t="shared" si="54"/>
        <v>1</v>
      </c>
      <c r="X116" s="116">
        <f t="shared" si="54"/>
        <v>1</v>
      </c>
      <c r="Y116" s="116">
        <f t="shared" si="54"/>
        <v>1</v>
      </c>
      <c r="Z116" s="116">
        <f t="shared" ref="Z116:AV124" si="55">(1-$E116)</f>
        <v>1</v>
      </c>
      <c r="AA116" s="116">
        <f t="shared" si="55"/>
        <v>1</v>
      </c>
      <c r="AB116" s="116">
        <f t="shared" si="55"/>
        <v>1</v>
      </c>
      <c r="AC116" s="116">
        <f t="shared" si="55"/>
        <v>1</v>
      </c>
      <c r="AD116" s="116">
        <f t="shared" si="55"/>
        <v>1</v>
      </c>
      <c r="AE116" s="116">
        <f t="shared" si="55"/>
        <v>1</v>
      </c>
      <c r="AF116" s="116">
        <f t="shared" si="55"/>
        <v>1</v>
      </c>
      <c r="AG116" s="116">
        <f t="shared" si="55"/>
        <v>1</v>
      </c>
      <c r="AH116" s="116">
        <f t="shared" si="55"/>
        <v>1</v>
      </c>
      <c r="AI116" s="116">
        <f t="shared" si="55"/>
        <v>1</v>
      </c>
      <c r="AJ116" s="116">
        <f t="shared" si="55"/>
        <v>1</v>
      </c>
      <c r="AK116" s="116">
        <f t="shared" si="55"/>
        <v>1</v>
      </c>
      <c r="AL116" s="116">
        <f t="shared" si="55"/>
        <v>1</v>
      </c>
      <c r="AM116" s="116">
        <f t="shared" si="55"/>
        <v>1</v>
      </c>
      <c r="AN116" s="116">
        <f t="shared" si="55"/>
        <v>1</v>
      </c>
      <c r="AO116" s="116">
        <f t="shared" si="55"/>
        <v>1</v>
      </c>
      <c r="AP116" s="116">
        <f t="shared" si="55"/>
        <v>1</v>
      </c>
      <c r="AQ116" s="116">
        <f t="shared" si="55"/>
        <v>1</v>
      </c>
      <c r="AR116" s="116">
        <f t="shared" si="55"/>
        <v>1</v>
      </c>
      <c r="AS116" s="116">
        <f t="shared" si="55"/>
        <v>1</v>
      </c>
      <c r="AT116" s="116">
        <f t="shared" si="55"/>
        <v>1</v>
      </c>
      <c r="AU116" s="116">
        <f t="shared" si="55"/>
        <v>1</v>
      </c>
      <c r="AV116" s="116">
        <f t="shared" si="55"/>
        <v>1</v>
      </c>
    </row>
    <row r="117" spans="1:48">
      <c r="A117" s="199" t="s">
        <v>16</v>
      </c>
      <c r="B117" s="283" t="str">
        <f t="shared" ref="B117:C124" si="56">B106</f>
        <v>CNH</v>
      </c>
      <c r="C117" s="283" t="str">
        <f t="shared" si="56"/>
        <v>Commercial - Space Heating</v>
      </c>
      <c r="E117" s="101">
        <v>0</v>
      </c>
      <c r="I117" s="165"/>
      <c r="J117" s="167">
        <f t="shared" si="54"/>
        <v>1</v>
      </c>
      <c r="K117" s="116">
        <f t="shared" si="54"/>
        <v>1</v>
      </c>
      <c r="L117" s="116">
        <f t="shared" si="54"/>
        <v>1</v>
      </c>
      <c r="M117" s="116">
        <f t="shared" si="54"/>
        <v>1</v>
      </c>
      <c r="N117" s="116">
        <f t="shared" si="54"/>
        <v>1</v>
      </c>
      <c r="O117" s="116">
        <f t="shared" si="54"/>
        <v>1</v>
      </c>
      <c r="P117" s="116">
        <f t="shared" si="54"/>
        <v>1</v>
      </c>
      <c r="Q117" s="116">
        <f t="shared" si="54"/>
        <v>1</v>
      </c>
      <c r="R117" s="116">
        <f t="shared" si="54"/>
        <v>1</v>
      </c>
      <c r="S117" s="116">
        <f t="shared" si="54"/>
        <v>1</v>
      </c>
      <c r="T117" s="116">
        <f t="shared" si="54"/>
        <v>1</v>
      </c>
      <c r="U117" s="116">
        <f t="shared" si="54"/>
        <v>1</v>
      </c>
      <c r="V117" s="116">
        <f t="shared" si="54"/>
        <v>1</v>
      </c>
      <c r="W117" s="116">
        <f t="shared" si="54"/>
        <v>1</v>
      </c>
      <c r="X117" s="116">
        <f t="shared" si="54"/>
        <v>1</v>
      </c>
      <c r="Y117" s="116">
        <f t="shared" si="54"/>
        <v>1</v>
      </c>
      <c r="Z117" s="116">
        <f t="shared" si="55"/>
        <v>1</v>
      </c>
      <c r="AA117" s="116">
        <f t="shared" si="55"/>
        <v>1</v>
      </c>
      <c r="AB117" s="116">
        <f t="shared" si="55"/>
        <v>1</v>
      </c>
      <c r="AC117" s="116">
        <f t="shared" si="55"/>
        <v>1</v>
      </c>
      <c r="AD117" s="116">
        <f t="shared" si="55"/>
        <v>1</v>
      </c>
      <c r="AE117" s="116">
        <f t="shared" si="55"/>
        <v>1</v>
      </c>
      <c r="AF117" s="116">
        <f t="shared" si="55"/>
        <v>1</v>
      </c>
      <c r="AG117" s="116">
        <f t="shared" si="55"/>
        <v>1</v>
      </c>
      <c r="AH117" s="116">
        <f t="shared" si="55"/>
        <v>1</v>
      </c>
      <c r="AI117" s="116">
        <f t="shared" si="55"/>
        <v>1</v>
      </c>
      <c r="AJ117" s="116">
        <f t="shared" si="55"/>
        <v>1</v>
      </c>
      <c r="AK117" s="116">
        <f t="shared" si="55"/>
        <v>1</v>
      </c>
      <c r="AL117" s="116">
        <f t="shared" si="55"/>
        <v>1</v>
      </c>
      <c r="AM117" s="116">
        <f t="shared" si="55"/>
        <v>1</v>
      </c>
      <c r="AN117" s="116">
        <f t="shared" si="55"/>
        <v>1</v>
      </c>
      <c r="AO117" s="116">
        <f t="shared" si="55"/>
        <v>1</v>
      </c>
      <c r="AP117" s="116">
        <f t="shared" si="55"/>
        <v>1</v>
      </c>
      <c r="AQ117" s="116">
        <f t="shared" si="55"/>
        <v>1</v>
      </c>
      <c r="AR117" s="116">
        <f t="shared" si="55"/>
        <v>1</v>
      </c>
      <c r="AS117" s="116">
        <f t="shared" si="55"/>
        <v>1</v>
      </c>
      <c r="AT117" s="116">
        <f t="shared" si="55"/>
        <v>1</v>
      </c>
      <c r="AU117" s="116">
        <f t="shared" si="55"/>
        <v>1</v>
      </c>
      <c r="AV117" s="116">
        <f t="shared" si="55"/>
        <v>1</v>
      </c>
    </row>
    <row r="118" spans="1:48">
      <c r="A118" s="199" t="s">
        <v>16</v>
      </c>
      <c r="B118" s="283" t="str">
        <f t="shared" si="56"/>
        <v>CNK</v>
      </c>
      <c r="C118" s="283" t="str">
        <f t="shared" si="56"/>
        <v>Commercial - Cooking</v>
      </c>
      <c r="E118" s="101">
        <v>0</v>
      </c>
      <c r="I118" s="165"/>
      <c r="J118" s="167">
        <f t="shared" si="54"/>
        <v>1</v>
      </c>
      <c r="K118" s="116">
        <f t="shared" si="54"/>
        <v>1</v>
      </c>
      <c r="L118" s="116">
        <f t="shared" si="54"/>
        <v>1</v>
      </c>
      <c r="M118" s="116">
        <f>(1-$E118)</f>
        <v>1</v>
      </c>
      <c r="N118" s="116">
        <f t="shared" si="54"/>
        <v>1</v>
      </c>
      <c r="O118" s="116">
        <f t="shared" si="54"/>
        <v>1</v>
      </c>
      <c r="P118" s="116">
        <f t="shared" si="54"/>
        <v>1</v>
      </c>
      <c r="Q118" s="116">
        <f t="shared" si="54"/>
        <v>1</v>
      </c>
      <c r="R118" s="116">
        <f t="shared" si="54"/>
        <v>1</v>
      </c>
      <c r="S118" s="116">
        <f t="shared" si="54"/>
        <v>1</v>
      </c>
      <c r="T118" s="116">
        <f t="shared" si="54"/>
        <v>1</v>
      </c>
      <c r="U118" s="116">
        <f t="shared" si="54"/>
        <v>1</v>
      </c>
      <c r="V118" s="116">
        <f t="shared" si="54"/>
        <v>1</v>
      </c>
      <c r="W118" s="116">
        <f t="shared" si="54"/>
        <v>1</v>
      </c>
      <c r="X118" s="116">
        <f t="shared" si="54"/>
        <v>1</v>
      </c>
      <c r="Y118" s="116">
        <f t="shared" si="54"/>
        <v>1</v>
      </c>
      <c r="Z118" s="116">
        <f t="shared" si="55"/>
        <v>1</v>
      </c>
      <c r="AA118" s="116">
        <f t="shared" si="55"/>
        <v>1</v>
      </c>
      <c r="AB118" s="116">
        <f t="shared" si="55"/>
        <v>1</v>
      </c>
      <c r="AC118" s="116">
        <f t="shared" si="55"/>
        <v>1</v>
      </c>
      <c r="AD118" s="116">
        <f t="shared" si="55"/>
        <v>1</v>
      </c>
      <c r="AE118" s="116">
        <f t="shared" si="55"/>
        <v>1</v>
      </c>
      <c r="AF118" s="116">
        <f t="shared" si="55"/>
        <v>1</v>
      </c>
      <c r="AG118" s="116">
        <f t="shared" si="55"/>
        <v>1</v>
      </c>
      <c r="AH118" s="116">
        <f t="shared" si="55"/>
        <v>1</v>
      </c>
      <c r="AI118" s="116">
        <f t="shared" si="55"/>
        <v>1</v>
      </c>
      <c r="AJ118" s="116">
        <f t="shared" si="55"/>
        <v>1</v>
      </c>
      <c r="AK118" s="116">
        <f t="shared" si="55"/>
        <v>1</v>
      </c>
      <c r="AL118" s="116">
        <f t="shared" si="55"/>
        <v>1</v>
      </c>
      <c r="AM118" s="116">
        <f t="shared" si="55"/>
        <v>1</v>
      </c>
      <c r="AN118" s="116">
        <f t="shared" si="55"/>
        <v>1</v>
      </c>
      <c r="AO118" s="116">
        <f t="shared" si="55"/>
        <v>1</v>
      </c>
      <c r="AP118" s="116">
        <f t="shared" si="55"/>
        <v>1</v>
      </c>
      <c r="AQ118" s="116">
        <f t="shared" si="55"/>
        <v>1</v>
      </c>
      <c r="AR118" s="116">
        <f t="shared" si="55"/>
        <v>1</v>
      </c>
      <c r="AS118" s="116">
        <f t="shared" si="55"/>
        <v>1</v>
      </c>
      <c r="AT118" s="116">
        <f t="shared" si="55"/>
        <v>1</v>
      </c>
      <c r="AU118" s="116">
        <f t="shared" si="55"/>
        <v>1</v>
      </c>
      <c r="AV118" s="116">
        <f t="shared" si="55"/>
        <v>1</v>
      </c>
    </row>
    <row r="119" spans="1:48">
      <c r="A119" s="199" t="s">
        <v>16</v>
      </c>
      <c r="B119" s="283" t="str">
        <f t="shared" si="56"/>
        <v>CNL</v>
      </c>
      <c r="C119" s="283" t="str">
        <f t="shared" si="56"/>
        <v>Commercial - Lighting</v>
      </c>
      <c r="E119" s="101">
        <v>0</v>
      </c>
      <c r="I119" s="165"/>
      <c r="J119" s="167">
        <f t="shared" si="54"/>
        <v>1</v>
      </c>
      <c r="K119" s="116">
        <f t="shared" si="54"/>
        <v>1</v>
      </c>
      <c r="L119" s="116">
        <f t="shared" si="54"/>
        <v>1</v>
      </c>
      <c r="M119" s="116">
        <f t="shared" si="54"/>
        <v>1</v>
      </c>
      <c r="N119" s="116">
        <f t="shared" si="54"/>
        <v>1</v>
      </c>
      <c r="O119" s="116">
        <f t="shared" si="54"/>
        <v>1</v>
      </c>
      <c r="P119" s="116">
        <f t="shared" si="54"/>
        <v>1</v>
      </c>
      <c r="Q119" s="116">
        <f t="shared" si="54"/>
        <v>1</v>
      </c>
      <c r="R119" s="116">
        <f t="shared" si="54"/>
        <v>1</v>
      </c>
      <c r="S119" s="116">
        <f t="shared" si="54"/>
        <v>1</v>
      </c>
      <c r="T119" s="116">
        <f t="shared" si="54"/>
        <v>1</v>
      </c>
      <c r="U119" s="116">
        <f t="shared" si="54"/>
        <v>1</v>
      </c>
      <c r="V119" s="116">
        <f t="shared" si="54"/>
        <v>1</v>
      </c>
      <c r="W119" s="116">
        <f t="shared" si="54"/>
        <v>1</v>
      </c>
      <c r="X119" s="116">
        <f t="shared" si="54"/>
        <v>1</v>
      </c>
      <c r="Y119" s="116">
        <f t="shared" si="54"/>
        <v>1</v>
      </c>
      <c r="Z119" s="116">
        <f t="shared" si="55"/>
        <v>1</v>
      </c>
      <c r="AA119" s="116">
        <f t="shared" si="55"/>
        <v>1</v>
      </c>
      <c r="AB119" s="116">
        <f t="shared" si="55"/>
        <v>1</v>
      </c>
      <c r="AC119" s="116">
        <f t="shared" si="55"/>
        <v>1</v>
      </c>
      <c r="AD119" s="116">
        <f t="shared" si="55"/>
        <v>1</v>
      </c>
      <c r="AE119" s="116">
        <f t="shared" si="55"/>
        <v>1</v>
      </c>
      <c r="AF119" s="116">
        <f t="shared" si="55"/>
        <v>1</v>
      </c>
      <c r="AG119" s="116">
        <f t="shared" si="55"/>
        <v>1</v>
      </c>
      <c r="AH119" s="116">
        <f t="shared" si="55"/>
        <v>1</v>
      </c>
      <c r="AI119" s="116">
        <f t="shared" si="55"/>
        <v>1</v>
      </c>
      <c r="AJ119" s="116">
        <f t="shared" si="55"/>
        <v>1</v>
      </c>
      <c r="AK119" s="116">
        <f t="shared" si="55"/>
        <v>1</v>
      </c>
      <c r="AL119" s="116">
        <f t="shared" si="55"/>
        <v>1</v>
      </c>
      <c r="AM119" s="116">
        <f t="shared" si="55"/>
        <v>1</v>
      </c>
      <c r="AN119" s="116">
        <f t="shared" si="55"/>
        <v>1</v>
      </c>
      <c r="AO119" s="116">
        <f t="shared" si="55"/>
        <v>1</v>
      </c>
      <c r="AP119" s="116">
        <f t="shared" si="55"/>
        <v>1</v>
      </c>
      <c r="AQ119" s="116">
        <f t="shared" si="55"/>
        <v>1</v>
      </c>
      <c r="AR119" s="116">
        <f t="shared" si="55"/>
        <v>1</v>
      </c>
      <c r="AS119" s="116">
        <f t="shared" si="55"/>
        <v>1</v>
      </c>
      <c r="AT119" s="116">
        <f t="shared" si="55"/>
        <v>1</v>
      </c>
      <c r="AU119" s="116">
        <f t="shared" si="55"/>
        <v>1</v>
      </c>
      <c r="AV119" s="116">
        <f t="shared" si="55"/>
        <v>1</v>
      </c>
    </row>
    <row r="120" spans="1:48">
      <c r="A120" s="199" t="s">
        <v>16</v>
      </c>
      <c r="B120" s="283" t="str">
        <f t="shared" si="56"/>
        <v>CNR</v>
      </c>
      <c r="C120" s="283" t="str">
        <f t="shared" si="56"/>
        <v>Commercial - Refrigeration</v>
      </c>
      <c r="E120" s="101">
        <v>0</v>
      </c>
      <c r="I120" s="165"/>
      <c r="J120" s="167">
        <f t="shared" si="54"/>
        <v>1</v>
      </c>
      <c r="K120" s="116">
        <f t="shared" si="54"/>
        <v>1</v>
      </c>
      <c r="L120" s="116">
        <f t="shared" si="54"/>
        <v>1</v>
      </c>
      <c r="M120" s="116">
        <f t="shared" si="54"/>
        <v>1</v>
      </c>
      <c r="N120" s="116">
        <f t="shared" si="54"/>
        <v>1</v>
      </c>
      <c r="O120" s="116">
        <f t="shared" si="54"/>
        <v>1</v>
      </c>
      <c r="P120" s="116">
        <f t="shared" si="54"/>
        <v>1</v>
      </c>
      <c r="Q120" s="116">
        <f t="shared" si="54"/>
        <v>1</v>
      </c>
      <c r="R120" s="116">
        <f t="shared" si="54"/>
        <v>1</v>
      </c>
      <c r="S120" s="116">
        <f t="shared" si="54"/>
        <v>1</v>
      </c>
      <c r="T120" s="116">
        <f t="shared" si="54"/>
        <v>1</v>
      </c>
      <c r="U120" s="116">
        <f t="shared" si="54"/>
        <v>1</v>
      </c>
      <c r="V120" s="116">
        <f t="shared" si="54"/>
        <v>1</v>
      </c>
      <c r="W120" s="116">
        <f t="shared" si="54"/>
        <v>1</v>
      </c>
      <c r="X120" s="116">
        <f t="shared" si="54"/>
        <v>1</v>
      </c>
      <c r="Y120" s="116">
        <f t="shared" si="54"/>
        <v>1</v>
      </c>
      <c r="Z120" s="116">
        <f t="shared" si="55"/>
        <v>1</v>
      </c>
      <c r="AA120" s="116">
        <f t="shared" si="55"/>
        <v>1</v>
      </c>
      <c r="AB120" s="116">
        <f t="shared" si="55"/>
        <v>1</v>
      </c>
      <c r="AC120" s="116">
        <f t="shared" si="55"/>
        <v>1</v>
      </c>
      <c r="AD120" s="116">
        <f t="shared" si="55"/>
        <v>1</v>
      </c>
      <c r="AE120" s="116">
        <f t="shared" si="55"/>
        <v>1</v>
      </c>
      <c r="AF120" s="116">
        <f t="shared" si="55"/>
        <v>1</v>
      </c>
      <c r="AG120" s="116">
        <f t="shared" si="55"/>
        <v>1</v>
      </c>
      <c r="AH120" s="116">
        <f t="shared" si="55"/>
        <v>1</v>
      </c>
      <c r="AI120" s="116">
        <f t="shared" si="55"/>
        <v>1</v>
      </c>
      <c r="AJ120" s="116">
        <f t="shared" si="55"/>
        <v>1</v>
      </c>
      <c r="AK120" s="116">
        <f t="shared" si="55"/>
        <v>1</v>
      </c>
      <c r="AL120" s="116">
        <f t="shared" si="55"/>
        <v>1</v>
      </c>
      <c r="AM120" s="116">
        <f t="shared" si="55"/>
        <v>1</v>
      </c>
      <c r="AN120" s="116">
        <f t="shared" si="55"/>
        <v>1</v>
      </c>
      <c r="AO120" s="116">
        <f t="shared" si="55"/>
        <v>1</v>
      </c>
      <c r="AP120" s="116">
        <f t="shared" si="55"/>
        <v>1</v>
      </c>
      <c r="AQ120" s="116">
        <f t="shared" si="55"/>
        <v>1</v>
      </c>
      <c r="AR120" s="116">
        <f t="shared" si="55"/>
        <v>1</v>
      </c>
      <c r="AS120" s="116">
        <f t="shared" si="55"/>
        <v>1</v>
      </c>
      <c r="AT120" s="116">
        <f t="shared" si="55"/>
        <v>1</v>
      </c>
      <c r="AU120" s="116">
        <f t="shared" si="55"/>
        <v>1</v>
      </c>
      <c r="AV120" s="116">
        <f t="shared" si="55"/>
        <v>1</v>
      </c>
    </row>
    <row r="121" spans="1:48">
      <c r="A121" s="199" t="s">
        <v>16</v>
      </c>
      <c r="B121" s="283" t="str">
        <f t="shared" si="56"/>
        <v>CNW</v>
      </c>
      <c r="C121" s="283" t="str">
        <f t="shared" si="56"/>
        <v>Commercial - Water Heating</v>
      </c>
      <c r="E121" s="101">
        <v>0</v>
      </c>
      <c r="I121" s="165"/>
      <c r="J121" s="167">
        <f t="shared" si="54"/>
        <v>1</v>
      </c>
      <c r="K121" s="116">
        <f t="shared" si="54"/>
        <v>1</v>
      </c>
      <c r="L121" s="116">
        <f t="shared" si="54"/>
        <v>1</v>
      </c>
      <c r="M121" s="116">
        <f t="shared" si="54"/>
        <v>1</v>
      </c>
      <c r="N121" s="116">
        <f t="shared" si="54"/>
        <v>1</v>
      </c>
      <c r="O121" s="116">
        <f t="shared" si="54"/>
        <v>1</v>
      </c>
      <c r="P121" s="116">
        <f t="shared" si="54"/>
        <v>1</v>
      </c>
      <c r="Q121" s="116">
        <f t="shared" si="54"/>
        <v>1</v>
      </c>
      <c r="R121" s="116">
        <f t="shared" si="54"/>
        <v>1</v>
      </c>
      <c r="S121" s="116">
        <f t="shared" si="54"/>
        <v>1</v>
      </c>
      <c r="T121" s="116">
        <f t="shared" si="54"/>
        <v>1</v>
      </c>
      <c r="U121" s="116">
        <f t="shared" si="54"/>
        <v>1</v>
      </c>
      <c r="V121" s="116">
        <f t="shared" si="54"/>
        <v>1</v>
      </c>
      <c r="W121" s="116">
        <f t="shared" si="54"/>
        <v>1</v>
      </c>
      <c r="X121" s="116">
        <f t="shared" si="54"/>
        <v>1</v>
      </c>
      <c r="Y121" s="116">
        <f t="shared" si="54"/>
        <v>1</v>
      </c>
      <c r="Z121" s="116">
        <f t="shared" si="55"/>
        <v>1</v>
      </c>
      <c r="AA121" s="116">
        <f t="shared" si="55"/>
        <v>1</v>
      </c>
      <c r="AB121" s="116">
        <f t="shared" si="55"/>
        <v>1</v>
      </c>
      <c r="AC121" s="116">
        <f t="shared" si="55"/>
        <v>1</v>
      </c>
      <c r="AD121" s="116">
        <f t="shared" si="55"/>
        <v>1</v>
      </c>
      <c r="AE121" s="116">
        <f t="shared" si="55"/>
        <v>1</v>
      </c>
      <c r="AF121" s="116">
        <f t="shared" si="55"/>
        <v>1</v>
      </c>
      <c r="AG121" s="116">
        <f t="shared" si="55"/>
        <v>1</v>
      </c>
      <c r="AH121" s="116">
        <f t="shared" si="55"/>
        <v>1</v>
      </c>
      <c r="AI121" s="116">
        <f t="shared" si="55"/>
        <v>1</v>
      </c>
      <c r="AJ121" s="116">
        <f t="shared" si="55"/>
        <v>1</v>
      </c>
      <c r="AK121" s="116">
        <f t="shared" si="55"/>
        <v>1</v>
      </c>
      <c r="AL121" s="116">
        <f t="shared" si="55"/>
        <v>1</v>
      </c>
      <c r="AM121" s="116">
        <f t="shared" si="55"/>
        <v>1</v>
      </c>
      <c r="AN121" s="116">
        <f t="shared" si="55"/>
        <v>1</v>
      </c>
      <c r="AO121" s="116">
        <f t="shared" si="55"/>
        <v>1</v>
      </c>
      <c r="AP121" s="116">
        <f t="shared" si="55"/>
        <v>1</v>
      </c>
      <c r="AQ121" s="116">
        <f t="shared" si="55"/>
        <v>1</v>
      </c>
      <c r="AR121" s="116">
        <f t="shared" si="55"/>
        <v>1</v>
      </c>
      <c r="AS121" s="116">
        <f t="shared" si="55"/>
        <v>1</v>
      </c>
      <c r="AT121" s="116">
        <f t="shared" si="55"/>
        <v>1</v>
      </c>
      <c r="AU121" s="116">
        <f t="shared" si="55"/>
        <v>1</v>
      </c>
      <c r="AV121" s="116">
        <f t="shared" si="55"/>
        <v>1</v>
      </c>
    </row>
    <row r="122" spans="1:48">
      <c r="A122" s="199" t="s">
        <v>16</v>
      </c>
      <c r="B122" s="283" t="str">
        <f t="shared" si="56"/>
        <v>CNG</v>
      </c>
      <c r="C122" s="283" t="str">
        <f t="shared" si="56"/>
        <v>Commercial - Public lights</v>
      </c>
      <c r="E122" s="101">
        <v>0</v>
      </c>
      <c r="I122" s="165"/>
      <c r="J122" s="167">
        <f t="shared" si="54"/>
        <v>1</v>
      </c>
      <c r="K122" s="116">
        <f t="shared" si="54"/>
        <v>1</v>
      </c>
      <c r="L122" s="116">
        <f t="shared" si="54"/>
        <v>1</v>
      </c>
      <c r="M122" s="116">
        <f t="shared" si="54"/>
        <v>1</v>
      </c>
      <c r="N122" s="116">
        <f t="shared" si="54"/>
        <v>1</v>
      </c>
      <c r="O122" s="116">
        <f t="shared" si="54"/>
        <v>1</v>
      </c>
      <c r="P122" s="116">
        <f t="shared" si="54"/>
        <v>1</v>
      </c>
      <c r="Q122" s="116">
        <f t="shared" si="54"/>
        <v>1</v>
      </c>
      <c r="R122" s="116">
        <f t="shared" si="54"/>
        <v>1</v>
      </c>
      <c r="S122" s="116">
        <f t="shared" si="54"/>
        <v>1</v>
      </c>
      <c r="T122" s="116">
        <f t="shared" si="54"/>
        <v>1</v>
      </c>
      <c r="U122" s="116">
        <f t="shared" si="54"/>
        <v>1</v>
      </c>
      <c r="V122" s="116">
        <f t="shared" si="54"/>
        <v>1</v>
      </c>
      <c r="W122" s="116">
        <f t="shared" si="54"/>
        <v>1</v>
      </c>
      <c r="X122" s="116">
        <f t="shared" si="54"/>
        <v>1</v>
      </c>
      <c r="Y122" s="116">
        <f t="shared" si="54"/>
        <v>1</v>
      </c>
      <c r="Z122" s="116">
        <f t="shared" si="55"/>
        <v>1</v>
      </c>
      <c r="AA122" s="116">
        <f t="shared" si="55"/>
        <v>1</v>
      </c>
      <c r="AB122" s="116">
        <f t="shared" si="55"/>
        <v>1</v>
      </c>
      <c r="AC122" s="116">
        <f t="shared" si="55"/>
        <v>1</v>
      </c>
      <c r="AD122" s="116">
        <f t="shared" si="55"/>
        <v>1</v>
      </c>
      <c r="AE122" s="116">
        <f t="shared" si="55"/>
        <v>1</v>
      </c>
      <c r="AF122" s="116">
        <f t="shared" si="55"/>
        <v>1</v>
      </c>
      <c r="AG122" s="116">
        <f t="shared" si="55"/>
        <v>1</v>
      </c>
      <c r="AH122" s="116">
        <f t="shared" si="55"/>
        <v>1</v>
      </c>
      <c r="AI122" s="116">
        <f t="shared" si="55"/>
        <v>1</v>
      </c>
      <c r="AJ122" s="116">
        <f t="shared" si="55"/>
        <v>1</v>
      </c>
      <c r="AK122" s="116">
        <f t="shared" si="55"/>
        <v>1</v>
      </c>
      <c r="AL122" s="116">
        <f t="shared" si="55"/>
        <v>1</v>
      </c>
      <c r="AM122" s="116">
        <f t="shared" si="55"/>
        <v>1</v>
      </c>
      <c r="AN122" s="116">
        <f t="shared" si="55"/>
        <v>1</v>
      </c>
      <c r="AO122" s="116">
        <f t="shared" si="55"/>
        <v>1</v>
      </c>
      <c r="AP122" s="116">
        <f t="shared" si="55"/>
        <v>1</v>
      </c>
      <c r="AQ122" s="116">
        <f t="shared" si="55"/>
        <v>1</v>
      </c>
      <c r="AR122" s="116">
        <f t="shared" si="55"/>
        <v>1</v>
      </c>
      <c r="AS122" s="116">
        <f t="shared" si="55"/>
        <v>1</v>
      </c>
      <c r="AT122" s="116">
        <f t="shared" si="55"/>
        <v>1</v>
      </c>
      <c r="AU122" s="116">
        <f t="shared" si="55"/>
        <v>1</v>
      </c>
      <c r="AV122" s="116">
        <f t="shared" si="55"/>
        <v>1</v>
      </c>
    </row>
    <row r="123" spans="1:48">
      <c r="A123" s="199" t="s">
        <v>16</v>
      </c>
      <c r="B123" s="283" t="str">
        <f t="shared" si="56"/>
        <v>CNT</v>
      </c>
      <c r="C123" s="283" t="str">
        <f t="shared" si="56"/>
        <v>Commercial - Public Water</v>
      </c>
      <c r="E123" s="101">
        <v>0</v>
      </c>
      <c r="I123" s="165"/>
      <c r="J123" s="167">
        <f t="shared" si="54"/>
        <v>1</v>
      </c>
      <c r="K123" s="116">
        <f t="shared" si="54"/>
        <v>1</v>
      </c>
      <c r="L123" s="116">
        <f t="shared" si="54"/>
        <v>1</v>
      </c>
      <c r="M123" s="116">
        <f t="shared" si="54"/>
        <v>1</v>
      </c>
      <c r="N123" s="116">
        <f t="shared" si="54"/>
        <v>1</v>
      </c>
      <c r="O123" s="116">
        <f t="shared" si="54"/>
        <v>1</v>
      </c>
      <c r="P123" s="116">
        <f t="shared" si="54"/>
        <v>1</v>
      </c>
      <c r="Q123" s="116">
        <f t="shared" si="54"/>
        <v>1</v>
      </c>
      <c r="R123" s="116">
        <f t="shared" si="54"/>
        <v>1</v>
      </c>
      <c r="S123" s="116">
        <f t="shared" si="54"/>
        <v>1</v>
      </c>
      <c r="T123" s="116">
        <f t="shared" si="54"/>
        <v>1</v>
      </c>
      <c r="U123" s="116">
        <f t="shared" si="54"/>
        <v>1</v>
      </c>
      <c r="V123" s="116">
        <f t="shared" si="54"/>
        <v>1</v>
      </c>
      <c r="W123" s="116">
        <f t="shared" si="54"/>
        <v>1</v>
      </c>
      <c r="X123" s="116">
        <f t="shared" si="54"/>
        <v>1</v>
      </c>
      <c r="Y123" s="116">
        <f t="shared" si="54"/>
        <v>1</v>
      </c>
      <c r="Z123" s="116">
        <f t="shared" si="55"/>
        <v>1</v>
      </c>
      <c r="AA123" s="116">
        <f t="shared" si="55"/>
        <v>1</v>
      </c>
      <c r="AB123" s="116">
        <f t="shared" si="55"/>
        <v>1</v>
      </c>
      <c r="AC123" s="116">
        <f t="shared" si="55"/>
        <v>1</v>
      </c>
      <c r="AD123" s="116">
        <f t="shared" si="55"/>
        <v>1</v>
      </c>
      <c r="AE123" s="116">
        <f t="shared" si="55"/>
        <v>1</v>
      </c>
      <c r="AF123" s="116">
        <f t="shared" si="55"/>
        <v>1</v>
      </c>
      <c r="AG123" s="116">
        <f t="shared" si="55"/>
        <v>1</v>
      </c>
      <c r="AH123" s="116">
        <f t="shared" si="55"/>
        <v>1</v>
      </c>
      <c r="AI123" s="116">
        <f t="shared" si="55"/>
        <v>1</v>
      </c>
      <c r="AJ123" s="116">
        <f t="shared" si="55"/>
        <v>1</v>
      </c>
      <c r="AK123" s="116">
        <f t="shared" si="55"/>
        <v>1</v>
      </c>
      <c r="AL123" s="116">
        <f t="shared" si="55"/>
        <v>1</v>
      </c>
      <c r="AM123" s="116">
        <f t="shared" si="55"/>
        <v>1</v>
      </c>
      <c r="AN123" s="116">
        <f t="shared" si="55"/>
        <v>1</v>
      </c>
      <c r="AO123" s="116">
        <f t="shared" si="55"/>
        <v>1</v>
      </c>
      <c r="AP123" s="116">
        <f t="shared" si="55"/>
        <v>1</v>
      </c>
      <c r="AQ123" s="116">
        <f t="shared" si="55"/>
        <v>1</v>
      </c>
      <c r="AR123" s="116">
        <f t="shared" si="55"/>
        <v>1</v>
      </c>
      <c r="AS123" s="116">
        <f t="shared" si="55"/>
        <v>1</v>
      </c>
      <c r="AT123" s="116">
        <f t="shared" si="55"/>
        <v>1</v>
      </c>
      <c r="AU123" s="116">
        <f t="shared" si="55"/>
        <v>1</v>
      </c>
      <c r="AV123" s="116">
        <f t="shared" si="55"/>
        <v>1</v>
      </c>
    </row>
    <row r="124" spans="1:48">
      <c r="A124" s="199" t="s">
        <v>16</v>
      </c>
      <c r="B124" s="283" t="str">
        <f t="shared" si="56"/>
        <v>CNO</v>
      </c>
      <c r="C124" s="283" t="str">
        <f t="shared" si="56"/>
        <v>Commercial - Other</v>
      </c>
      <c r="E124" s="101">
        <v>0</v>
      </c>
      <c r="I124" s="165"/>
      <c r="J124" s="167">
        <f t="shared" si="54"/>
        <v>1</v>
      </c>
      <c r="K124" s="116">
        <f t="shared" si="54"/>
        <v>1</v>
      </c>
      <c r="L124" s="116">
        <f t="shared" si="54"/>
        <v>1</v>
      </c>
      <c r="M124" s="116">
        <f t="shared" si="54"/>
        <v>1</v>
      </c>
      <c r="N124" s="116">
        <f t="shared" si="54"/>
        <v>1</v>
      </c>
      <c r="O124" s="116">
        <f t="shared" si="54"/>
        <v>1</v>
      </c>
      <c r="P124" s="116">
        <f t="shared" si="54"/>
        <v>1</v>
      </c>
      <c r="Q124" s="116">
        <f t="shared" si="54"/>
        <v>1</v>
      </c>
      <c r="R124" s="116">
        <f t="shared" si="54"/>
        <v>1</v>
      </c>
      <c r="S124" s="116">
        <f t="shared" si="54"/>
        <v>1</v>
      </c>
      <c r="T124" s="116">
        <f t="shared" si="54"/>
        <v>1</v>
      </c>
      <c r="U124" s="116">
        <f t="shared" si="54"/>
        <v>1</v>
      </c>
      <c r="V124" s="116">
        <f t="shared" si="54"/>
        <v>1</v>
      </c>
      <c r="W124" s="116">
        <f t="shared" si="54"/>
        <v>1</v>
      </c>
      <c r="X124" s="116">
        <f t="shared" si="54"/>
        <v>1</v>
      </c>
      <c r="Y124" s="116">
        <f t="shared" si="54"/>
        <v>1</v>
      </c>
      <c r="Z124" s="116">
        <f t="shared" si="55"/>
        <v>1</v>
      </c>
      <c r="AA124" s="116">
        <f t="shared" si="55"/>
        <v>1</v>
      </c>
      <c r="AB124" s="116">
        <f t="shared" si="55"/>
        <v>1</v>
      </c>
      <c r="AC124" s="116">
        <f t="shared" si="55"/>
        <v>1</v>
      </c>
      <c r="AD124" s="116">
        <f t="shared" si="55"/>
        <v>1</v>
      </c>
      <c r="AE124" s="116">
        <f t="shared" si="55"/>
        <v>1</v>
      </c>
      <c r="AF124" s="116">
        <f t="shared" si="55"/>
        <v>1</v>
      </c>
      <c r="AG124" s="116">
        <f t="shared" si="55"/>
        <v>1</v>
      </c>
      <c r="AH124" s="116">
        <f t="shared" si="55"/>
        <v>1</v>
      </c>
      <c r="AI124" s="116">
        <f t="shared" si="55"/>
        <v>1</v>
      </c>
      <c r="AJ124" s="116">
        <f t="shared" si="55"/>
        <v>1</v>
      </c>
      <c r="AK124" s="116">
        <f t="shared" si="55"/>
        <v>1</v>
      </c>
      <c r="AL124" s="116">
        <f t="shared" si="55"/>
        <v>1</v>
      </c>
      <c r="AM124" s="116">
        <f t="shared" si="55"/>
        <v>1</v>
      </c>
      <c r="AN124" s="116">
        <f t="shared" si="55"/>
        <v>1</v>
      </c>
      <c r="AO124" s="116">
        <f t="shared" si="55"/>
        <v>1</v>
      </c>
      <c r="AP124" s="116">
        <f t="shared" si="55"/>
        <v>1</v>
      </c>
      <c r="AQ124" s="116">
        <f t="shared" si="55"/>
        <v>1</v>
      </c>
      <c r="AR124" s="116">
        <f t="shared" si="55"/>
        <v>1</v>
      </c>
      <c r="AS124" s="116">
        <f t="shared" si="55"/>
        <v>1</v>
      </c>
      <c r="AT124" s="116">
        <f t="shared" si="55"/>
        <v>1</v>
      </c>
      <c r="AU124" s="116">
        <f t="shared" si="55"/>
        <v>1</v>
      </c>
      <c r="AV124" s="116">
        <f t="shared" si="55"/>
        <v>1</v>
      </c>
    </row>
    <row r="125" spans="1:48">
      <c r="A125" s="199" t="s">
        <v>16</v>
      </c>
      <c r="B125" s="283"/>
      <c r="C125" s="283"/>
      <c r="I125" s="165"/>
      <c r="K125" s="95"/>
    </row>
    <row r="126" spans="1:48" ht="15.75" thickBot="1">
      <c r="A126" s="199" t="s">
        <v>16</v>
      </c>
      <c r="B126" s="283"/>
      <c r="C126" s="92" t="s">
        <v>259</v>
      </c>
      <c r="I126" s="165"/>
      <c r="K126" s="95"/>
    </row>
    <row r="127" spans="1:48">
      <c r="A127" s="199" t="s">
        <v>16</v>
      </c>
      <c r="B127" s="283" t="str">
        <f t="shared" ref="B127:C135" si="57">B116</f>
        <v>CNC</v>
      </c>
      <c r="C127" s="283" t="str">
        <f t="shared" si="57"/>
        <v>Commercial - Cooling</v>
      </c>
      <c r="E127" s="156">
        <f t="shared" ref="E127:E135" si="58">E116+$AX$106</f>
        <v>0.01</v>
      </c>
      <c r="I127" s="165"/>
      <c r="J127" s="168">
        <f t="shared" ref="J127:AV133" si="59">J116*(1-$E127)</f>
        <v>0.99</v>
      </c>
      <c r="K127" s="113">
        <f t="shared" si="59"/>
        <v>0.99</v>
      </c>
      <c r="L127" s="113">
        <f t="shared" si="59"/>
        <v>0.99</v>
      </c>
      <c r="M127" s="113">
        <f t="shared" si="59"/>
        <v>0.99</v>
      </c>
      <c r="N127" s="113">
        <f t="shared" si="59"/>
        <v>0.99</v>
      </c>
      <c r="O127" s="113">
        <f t="shared" si="59"/>
        <v>0.99</v>
      </c>
      <c r="P127" s="113">
        <f t="shared" si="59"/>
        <v>0.99</v>
      </c>
      <c r="Q127" s="113">
        <f t="shared" si="59"/>
        <v>0.99</v>
      </c>
      <c r="R127" s="113">
        <f t="shared" si="59"/>
        <v>0.99</v>
      </c>
      <c r="S127" s="113">
        <f t="shared" si="59"/>
        <v>0.99</v>
      </c>
      <c r="T127" s="113">
        <f t="shared" si="59"/>
        <v>0.99</v>
      </c>
      <c r="U127" s="113">
        <f t="shared" si="59"/>
        <v>0.99</v>
      </c>
      <c r="V127" s="113">
        <f t="shared" si="59"/>
        <v>0.99</v>
      </c>
      <c r="W127" s="113">
        <f t="shared" si="59"/>
        <v>0.99</v>
      </c>
      <c r="X127" s="113">
        <f t="shared" si="59"/>
        <v>0.99</v>
      </c>
      <c r="Y127" s="113">
        <f t="shared" si="59"/>
        <v>0.99</v>
      </c>
      <c r="Z127" s="113">
        <f t="shared" si="59"/>
        <v>0.99</v>
      </c>
      <c r="AA127" s="113">
        <f t="shared" si="59"/>
        <v>0.99</v>
      </c>
      <c r="AB127" s="113">
        <f t="shared" si="59"/>
        <v>0.99</v>
      </c>
      <c r="AC127" s="113">
        <f t="shared" si="59"/>
        <v>0.99</v>
      </c>
      <c r="AD127" s="113">
        <f t="shared" si="59"/>
        <v>0.99</v>
      </c>
      <c r="AE127" s="113">
        <f t="shared" si="59"/>
        <v>0.99</v>
      </c>
      <c r="AF127" s="113">
        <f t="shared" si="59"/>
        <v>0.99</v>
      </c>
      <c r="AG127" s="113">
        <f t="shared" si="59"/>
        <v>0.99</v>
      </c>
      <c r="AH127" s="113">
        <f t="shared" si="59"/>
        <v>0.99</v>
      </c>
      <c r="AI127" s="113">
        <f t="shared" si="59"/>
        <v>0.99</v>
      </c>
      <c r="AJ127" s="113">
        <f t="shared" si="59"/>
        <v>0.99</v>
      </c>
      <c r="AK127" s="113">
        <f t="shared" si="59"/>
        <v>0.99</v>
      </c>
      <c r="AL127" s="113">
        <f t="shared" si="59"/>
        <v>0.99</v>
      </c>
      <c r="AM127" s="113">
        <f t="shared" si="59"/>
        <v>0.99</v>
      </c>
      <c r="AN127" s="113">
        <f t="shared" si="59"/>
        <v>0.99</v>
      </c>
      <c r="AO127" s="113">
        <f t="shared" si="59"/>
        <v>0.99</v>
      </c>
      <c r="AP127" s="113">
        <f t="shared" si="59"/>
        <v>0.99</v>
      </c>
      <c r="AQ127" s="113">
        <f t="shared" si="59"/>
        <v>0.99</v>
      </c>
      <c r="AR127" s="113">
        <f t="shared" si="59"/>
        <v>0.99</v>
      </c>
      <c r="AS127" s="113">
        <f t="shared" si="59"/>
        <v>0.99</v>
      </c>
      <c r="AT127" s="113">
        <f t="shared" si="59"/>
        <v>0.99</v>
      </c>
      <c r="AU127" s="113">
        <f t="shared" si="59"/>
        <v>0.99</v>
      </c>
      <c r="AV127" s="113">
        <f t="shared" si="59"/>
        <v>0.99</v>
      </c>
    </row>
    <row r="128" spans="1:48">
      <c r="A128" s="199" t="s">
        <v>16</v>
      </c>
      <c r="B128" s="283" t="str">
        <f t="shared" si="57"/>
        <v>CNH</v>
      </c>
      <c r="C128" s="283" t="str">
        <f t="shared" si="57"/>
        <v>Commercial - Space Heating</v>
      </c>
      <c r="E128" s="156">
        <f t="shared" si="58"/>
        <v>0.01</v>
      </c>
      <c r="I128" s="165"/>
      <c r="J128" s="168">
        <f t="shared" si="59"/>
        <v>0.99</v>
      </c>
      <c r="K128" s="113">
        <f t="shared" si="59"/>
        <v>0.99</v>
      </c>
      <c r="L128" s="113">
        <f t="shared" si="59"/>
        <v>0.99</v>
      </c>
      <c r="M128" s="113">
        <f t="shared" si="59"/>
        <v>0.99</v>
      </c>
      <c r="N128" s="113">
        <f t="shared" si="59"/>
        <v>0.99</v>
      </c>
      <c r="O128" s="113">
        <f t="shared" si="59"/>
        <v>0.99</v>
      </c>
      <c r="P128" s="113">
        <f t="shared" si="59"/>
        <v>0.99</v>
      </c>
      <c r="Q128" s="113">
        <f t="shared" si="59"/>
        <v>0.99</v>
      </c>
      <c r="R128" s="113">
        <f t="shared" si="59"/>
        <v>0.99</v>
      </c>
      <c r="S128" s="113">
        <f t="shared" si="59"/>
        <v>0.99</v>
      </c>
      <c r="T128" s="113">
        <f t="shared" si="59"/>
        <v>0.99</v>
      </c>
      <c r="U128" s="113">
        <f t="shared" si="59"/>
        <v>0.99</v>
      </c>
      <c r="V128" s="113">
        <f t="shared" si="59"/>
        <v>0.99</v>
      </c>
      <c r="W128" s="113">
        <f t="shared" si="59"/>
        <v>0.99</v>
      </c>
      <c r="X128" s="113">
        <f t="shared" si="59"/>
        <v>0.99</v>
      </c>
      <c r="Y128" s="113">
        <f t="shared" si="59"/>
        <v>0.99</v>
      </c>
      <c r="Z128" s="113">
        <f t="shared" si="59"/>
        <v>0.99</v>
      </c>
      <c r="AA128" s="113">
        <f t="shared" si="59"/>
        <v>0.99</v>
      </c>
      <c r="AB128" s="113">
        <f t="shared" si="59"/>
        <v>0.99</v>
      </c>
      <c r="AC128" s="113">
        <f t="shared" si="59"/>
        <v>0.99</v>
      </c>
      <c r="AD128" s="113">
        <f t="shared" si="59"/>
        <v>0.99</v>
      </c>
      <c r="AE128" s="113">
        <f t="shared" si="59"/>
        <v>0.99</v>
      </c>
      <c r="AF128" s="113">
        <f t="shared" si="59"/>
        <v>0.99</v>
      </c>
      <c r="AG128" s="113">
        <f t="shared" si="59"/>
        <v>0.99</v>
      </c>
      <c r="AH128" s="113">
        <f t="shared" si="59"/>
        <v>0.99</v>
      </c>
      <c r="AI128" s="113">
        <f t="shared" si="59"/>
        <v>0.99</v>
      </c>
      <c r="AJ128" s="113">
        <f t="shared" si="59"/>
        <v>0.99</v>
      </c>
      <c r="AK128" s="113">
        <f t="shared" si="59"/>
        <v>0.99</v>
      </c>
      <c r="AL128" s="113">
        <f t="shared" si="59"/>
        <v>0.99</v>
      </c>
      <c r="AM128" s="113">
        <f t="shared" si="59"/>
        <v>0.99</v>
      </c>
      <c r="AN128" s="113">
        <f t="shared" si="59"/>
        <v>0.99</v>
      </c>
      <c r="AO128" s="113">
        <f t="shared" si="59"/>
        <v>0.99</v>
      </c>
      <c r="AP128" s="113">
        <f t="shared" si="59"/>
        <v>0.99</v>
      </c>
      <c r="AQ128" s="113">
        <f t="shared" si="59"/>
        <v>0.99</v>
      </c>
      <c r="AR128" s="113">
        <f t="shared" si="59"/>
        <v>0.99</v>
      </c>
      <c r="AS128" s="113">
        <f t="shared" si="59"/>
        <v>0.99</v>
      </c>
      <c r="AT128" s="113">
        <f t="shared" si="59"/>
        <v>0.99</v>
      </c>
      <c r="AU128" s="113">
        <f t="shared" si="59"/>
        <v>0.99</v>
      </c>
      <c r="AV128" s="113">
        <f t="shared" si="59"/>
        <v>0.99</v>
      </c>
    </row>
    <row r="129" spans="1:48">
      <c r="A129" s="199" t="s">
        <v>16</v>
      </c>
      <c r="B129" s="283" t="str">
        <f t="shared" si="57"/>
        <v>CNK</v>
      </c>
      <c r="C129" s="283" t="str">
        <f t="shared" si="57"/>
        <v>Commercial - Cooking</v>
      </c>
      <c r="E129" s="156">
        <f t="shared" si="58"/>
        <v>0.01</v>
      </c>
      <c r="I129" s="165"/>
      <c r="J129" s="168">
        <f t="shared" si="59"/>
        <v>0.99</v>
      </c>
      <c r="K129" s="113">
        <f t="shared" si="59"/>
        <v>0.99</v>
      </c>
      <c r="L129" s="113">
        <f t="shared" si="59"/>
        <v>0.99</v>
      </c>
      <c r="M129" s="113">
        <f t="shared" si="59"/>
        <v>0.99</v>
      </c>
      <c r="N129" s="113">
        <f t="shared" si="59"/>
        <v>0.99</v>
      </c>
      <c r="O129" s="113">
        <f t="shared" si="59"/>
        <v>0.99</v>
      </c>
      <c r="P129" s="113">
        <f t="shared" si="59"/>
        <v>0.99</v>
      </c>
      <c r="Q129" s="113">
        <f t="shared" si="59"/>
        <v>0.99</v>
      </c>
      <c r="R129" s="113">
        <f t="shared" si="59"/>
        <v>0.99</v>
      </c>
      <c r="S129" s="113">
        <f t="shared" si="59"/>
        <v>0.99</v>
      </c>
      <c r="T129" s="113">
        <f t="shared" si="59"/>
        <v>0.99</v>
      </c>
      <c r="U129" s="113">
        <f t="shared" si="59"/>
        <v>0.99</v>
      </c>
      <c r="V129" s="113">
        <f t="shared" si="59"/>
        <v>0.99</v>
      </c>
      <c r="W129" s="113">
        <f t="shared" si="59"/>
        <v>0.99</v>
      </c>
      <c r="X129" s="113">
        <f t="shared" si="59"/>
        <v>0.99</v>
      </c>
      <c r="Y129" s="113">
        <f t="shared" si="59"/>
        <v>0.99</v>
      </c>
      <c r="Z129" s="113">
        <f t="shared" si="59"/>
        <v>0.99</v>
      </c>
      <c r="AA129" s="113">
        <f t="shared" si="59"/>
        <v>0.99</v>
      </c>
      <c r="AB129" s="113">
        <f t="shared" si="59"/>
        <v>0.99</v>
      </c>
      <c r="AC129" s="113">
        <f t="shared" si="59"/>
        <v>0.99</v>
      </c>
      <c r="AD129" s="113">
        <f t="shared" si="59"/>
        <v>0.99</v>
      </c>
      <c r="AE129" s="113">
        <f t="shared" si="59"/>
        <v>0.99</v>
      </c>
      <c r="AF129" s="113">
        <f t="shared" si="59"/>
        <v>0.99</v>
      </c>
      <c r="AG129" s="113">
        <f t="shared" si="59"/>
        <v>0.99</v>
      </c>
      <c r="AH129" s="113">
        <f t="shared" si="59"/>
        <v>0.99</v>
      </c>
      <c r="AI129" s="113">
        <f t="shared" si="59"/>
        <v>0.99</v>
      </c>
      <c r="AJ129" s="113">
        <f t="shared" si="59"/>
        <v>0.99</v>
      </c>
      <c r="AK129" s="113">
        <f t="shared" si="59"/>
        <v>0.99</v>
      </c>
      <c r="AL129" s="113">
        <f t="shared" si="59"/>
        <v>0.99</v>
      </c>
      <c r="AM129" s="113">
        <f t="shared" si="59"/>
        <v>0.99</v>
      </c>
      <c r="AN129" s="113">
        <f t="shared" si="59"/>
        <v>0.99</v>
      </c>
      <c r="AO129" s="113">
        <f t="shared" si="59"/>
        <v>0.99</v>
      </c>
      <c r="AP129" s="113">
        <f t="shared" si="59"/>
        <v>0.99</v>
      </c>
      <c r="AQ129" s="113">
        <f t="shared" si="59"/>
        <v>0.99</v>
      </c>
      <c r="AR129" s="113">
        <f t="shared" si="59"/>
        <v>0.99</v>
      </c>
      <c r="AS129" s="113">
        <f t="shared" si="59"/>
        <v>0.99</v>
      </c>
      <c r="AT129" s="113">
        <f t="shared" si="59"/>
        <v>0.99</v>
      </c>
      <c r="AU129" s="113">
        <f t="shared" si="59"/>
        <v>0.99</v>
      </c>
      <c r="AV129" s="113">
        <f t="shared" si="59"/>
        <v>0.99</v>
      </c>
    </row>
    <row r="130" spans="1:48">
      <c r="A130" s="199" t="s">
        <v>16</v>
      </c>
      <c r="B130" s="283" t="str">
        <f t="shared" si="57"/>
        <v>CNL</v>
      </c>
      <c r="C130" s="283" t="str">
        <f t="shared" si="57"/>
        <v>Commercial - Lighting</v>
      </c>
      <c r="E130" s="156">
        <f t="shared" si="58"/>
        <v>0.01</v>
      </c>
      <c r="I130" s="165"/>
      <c r="J130" s="168">
        <f t="shared" si="59"/>
        <v>0.99</v>
      </c>
      <c r="K130" s="113">
        <f t="shared" si="59"/>
        <v>0.99</v>
      </c>
      <c r="L130" s="113">
        <f t="shared" si="59"/>
        <v>0.99</v>
      </c>
      <c r="M130" s="113">
        <f t="shared" si="59"/>
        <v>0.99</v>
      </c>
      <c r="N130" s="113">
        <f t="shared" si="59"/>
        <v>0.99</v>
      </c>
      <c r="O130" s="113">
        <f t="shared" si="59"/>
        <v>0.99</v>
      </c>
      <c r="P130" s="113">
        <f t="shared" si="59"/>
        <v>0.99</v>
      </c>
      <c r="Q130" s="113">
        <f t="shared" si="59"/>
        <v>0.99</v>
      </c>
      <c r="R130" s="113">
        <f t="shared" si="59"/>
        <v>0.99</v>
      </c>
      <c r="S130" s="113">
        <f t="shared" si="59"/>
        <v>0.99</v>
      </c>
      <c r="T130" s="113">
        <f t="shared" si="59"/>
        <v>0.99</v>
      </c>
      <c r="U130" s="113">
        <f t="shared" si="59"/>
        <v>0.99</v>
      </c>
      <c r="V130" s="113">
        <f t="shared" si="59"/>
        <v>0.99</v>
      </c>
      <c r="W130" s="113">
        <f t="shared" si="59"/>
        <v>0.99</v>
      </c>
      <c r="X130" s="113">
        <f t="shared" si="59"/>
        <v>0.99</v>
      </c>
      <c r="Y130" s="113">
        <f t="shared" si="59"/>
        <v>0.99</v>
      </c>
      <c r="Z130" s="113">
        <f t="shared" si="59"/>
        <v>0.99</v>
      </c>
      <c r="AA130" s="113">
        <f t="shared" si="59"/>
        <v>0.99</v>
      </c>
      <c r="AB130" s="113">
        <f t="shared" si="59"/>
        <v>0.99</v>
      </c>
      <c r="AC130" s="113">
        <f t="shared" si="59"/>
        <v>0.99</v>
      </c>
      <c r="AD130" s="113">
        <f t="shared" si="59"/>
        <v>0.99</v>
      </c>
      <c r="AE130" s="113">
        <f t="shared" si="59"/>
        <v>0.99</v>
      </c>
      <c r="AF130" s="113">
        <f t="shared" si="59"/>
        <v>0.99</v>
      </c>
      <c r="AG130" s="113">
        <f t="shared" si="59"/>
        <v>0.99</v>
      </c>
      <c r="AH130" s="113">
        <f t="shared" si="59"/>
        <v>0.99</v>
      </c>
      <c r="AI130" s="113">
        <f t="shared" si="59"/>
        <v>0.99</v>
      </c>
      <c r="AJ130" s="113">
        <f t="shared" si="59"/>
        <v>0.99</v>
      </c>
      <c r="AK130" s="113">
        <f t="shared" si="59"/>
        <v>0.99</v>
      </c>
      <c r="AL130" s="113">
        <f t="shared" si="59"/>
        <v>0.99</v>
      </c>
      <c r="AM130" s="113">
        <f t="shared" si="59"/>
        <v>0.99</v>
      </c>
      <c r="AN130" s="113">
        <f t="shared" si="59"/>
        <v>0.99</v>
      </c>
      <c r="AO130" s="113">
        <f t="shared" si="59"/>
        <v>0.99</v>
      </c>
      <c r="AP130" s="113">
        <f t="shared" si="59"/>
        <v>0.99</v>
      </c>
      <c r="AQ130" s="113">
        <f t="shared" si="59"/>
        <v>0.99</v>
      </c>
      <c r="AR130" s="113">
        <f t="shared" si="59"/>
        <v>0.99</v>
      </c>
      <c r="AS130" s="113">
        <f t="shared" si="59"/>
        <v>0.99</v>
      </c>
      <c r="AT130" s="113">
        <f t="shared" si="59"/>
        <v>0.99</v>
      </c>
      <c r="AU130" s="113">
        <f t="shared" si="59"/>
        <v>0.99</v>
      </c>
      <c r="AV130" s="113">
        <f t="shared" si="59"/>
        <v>0.99</v>
      </c>
    </row>
    <row r="131" spans="1:48">
      <c r="A131" s="199" t="s">
        <v>16</v>
      </c>
      <c r="B131" s="283" t="str">
        <f t="shared" si="57"/>
        <v>CNR</v>
      </c>
      <c r="C131" s="283" t="str">
        <f t="shared" si="57"/>
        <v>Commercial - Refrigeration</v>
      </c>
      <c r="E131" s="156">
        <f t="shared" si="58"/>
        <v>0.01</v>
      </c>
      <c r="H131" s="283"/>
      <c r="I131" s="165"/>
      <c r="J131" s="168">
        <f t="shared" si="59"/>
        <v>0.99</v>
      </c>
      <c r="K131" s="113">
        <f t="shared" si="59"/>
        <v>0.99</v>
      </c>
      <c r="L131" s="113">
        <f t="shared" si="59"/>
        <v>0.99</v>
      </c>
      <c r="M131" s="113">
        <f t="shared" si="59"/>
        <v>0.99</v>
      </c>
      <c r="N131" s="113">
        <f>N120*(1-$E131)</f>
        <v>0.99</v>
      </c>
      <c r="O131" s="113">
        <f t="shared" si="59"/>
        <v>0.99</v>
      </c>
      <c r="P131" s="113">
        <f t="shared" si="59"/>
        <v>0.99</v>
      </c>
      <c r="Q131" s="113">
        <f t="shared" si="59"/>
        <v>0.99</v>
      </c>
      <c r="R131" s="113">
        <f t="shared" si="59"/>
        <v>0.99</v>
      </c>
      <c r="S131" s="113">
        <f t="shared" si="59"/>
        <v>0.99</v>
      </c>
      <c r="T131" s="113">
        <f t="shared" si="59"/>
        <v>0.99</v>
      </c>
      <c r="U131" s="113">
        <f t="shared" si="59"/>
        <v>0.99</v>
      </c>
      <c r="V131" s="113">
        <f t="shared" si="59"/>
        <v>0.99</v>
      </c>
      <c r="W131" s="113">
        <f t="shared" si="59"/>
        <v>0.99</v>
      </c>
      <c r="X131" s="113">
        <f t="shared" si="59"/>
        <v>0.99</v>
      </c>
      <c r="Y131" s="113">
        <f t="shared" si="59"/>
        <v>0.99</v>
      </c>
      <c r="Z131" s="113">
        <f t="shared" si="59"/>
        <v>0.99</v>
      </c>
      <c r="AA131" s="113">
        <f t="shared" si="59"/>
        <v>0.99</v>
      </c>
      <c r="AB131" s="113">
        <f t="shared" si="59"/>
        <v>0.99</v>
      </c>
      <c r="AC131" s="113">
        <f t="shared" si="59"/>
        <v>0.99</v>
      </c>
      <c r="AD131" s="113">
        <f t="shared" si="59"/>
        <v>0.99</v>
      </c>
      <c r="AE131" s="113">
        <f t="shared" si="59"/>
        <v>0.99</v>
      </c>
      <c r="AF131" s="113">
        <f t="shared" si="59"/>
        <v>0.99</v>
      </c>
      <c r="AG131" s="113">
        <f t="shared" si="59"/>
        <v>0.99</v>
      </c>
      <c r="AH131" s="113">
        <f t="shared" si="59"/>
        <v>0.99</v>
      </c>
      <c r="AI131" s="113">
        <f t="shared" si="59"/>
        <v>0.99</v>
      </c>
      <c r="AJ131" s="113">
        <f t="shared" si="59"/>
        <v>0.99</v>
      </c>
      <c r="AK131" s="113">
        <f t="shared" si="59"/>
        <v>0.99</v>
      </c>
      <c r="AL131" s="113">
        <f t="shared" si="59"/>
        <v>0.99</v>
      </c>
      <c r="AM131" s="113">
        <f t="shared" si="59"/>
        <v>0.99</v>
      </c>
      <c r="AN131" s="113">
        <f t="shared" si="59"/>
        <v>0.99</v>
      </c>
      <c r="AO131" s="113">
        <f t="shared" si="59"/>
        <v>0.99</v>
      </c>
      <c r="AP131" s="113">
        <f t="shared" si="59"/>
        <v>0.99</v>
      </c>
      <c r="AQ131" s="113">
        <f t="shared" si="59"/>
        <v>0.99</v>
      </c>
      <c r="AR131" s="113">
        <f t="shared" si="59"/>
        <v>0.99</v>
      </c>
      <c r="AS131" s="113">
        <f t="shared" si="59"/>
        <v>0.99</v>
      </c>
      <c r="AT131" s="113">
        <f t="shared" si="59"/>
        <v>0.99</v>
      </c>
      <c r="AU131" s="113">
        <f t="shared" si="59"/>
        <v>0.99</v>
      </c>
      <c r="AV131" s="113">
        <f t="shared" si="59"/>
        <v>0.99</v>
      </c>
    </row>
    <row r="132" spans="1:48">
      <c r="A132" s="199" t="s">
        <v>16</v>
      </c>
      <c r="B132" s="283" t="str">
        <f t="shared" si="57"/>
        <v>CNW</v>
      </c>
      <c r="C132" s="283" t="str">
        <f t="shared" si="57"/>
        <v>Commercial - Water Heating</v>
      </c>
      <c r="E132" s="156">
        <f t="shared" si="58"/>
        <v>0.01</v>
      </c>
      <c r="I132" s="165"/>
      <c r="J132" s="168">
        <f t="shared" si="59"/>
        <v>0.99</v>
      </c>
      <c r="K132" s="113">
        <f t="shared" si="59"/>
        <v>0.99</v>
      </c>
      <c r="L132" s="113">
        <f t="shared" si="59"/>
        <v>0.99</v>
      </c>
      <c r="M132" s="113">
        <f t="shared" si="59"/>
        <v>0.99</v>
      </c>
      <c r="N132" s="113">
        <f t="shared" si="59"/>
        <v>0.99</v>
      </c>
      <c r="O132" s="113">
        <f t="shared" si="59"/>
        <v>0.99</v>
      </c>
      <c r="P132" s="113">
        <f t="shared" si="59"/>
        <v>0.99</v>
      </c>
      <c r="Q132" s="113">
        <f t="shared" si="59"/>
        <v>0.99</v>
      </c>
      <c r="R132" s="113">
        <f t="shared" si="59"/>
        <v>0.99</v>
      </c>
      <c r="S132" s="113">
        <f t="shared" si="59"/>
        <v>0.99</v>
      </c>
      <c r="T132" s="113">
        <f t="shared" si="59"/>
        <v>0.99</v>
      </c>
      <c r="U132" s="113">
        <f t="shared" si="59"/>
        <v>0.99</v>
      </c>
      <c r="V132" s="113">
        <f t="shared" si="59"/>
        <v>0.99</v>
      </c>
      <c r="W132" s="113">
        <f t="shared" si="59"/>
        <v>0.99</v>
      </c>
      <c r="X132" s="113">
        <f t="shared" si="59"/>
        <v>0.99</v>
      </c>
      <c r="Y132" s="113">
        <f t="shared" si="59"/>
        <v>0.99</v>
      </c>
      <c r="Z132" s="113">
        <f t="shared" si="59"/>
        <v>0.99</v>
      </c>
      <c r="AA132" s="113">
        <f t="shared" si="59"/>
        <v>0.99</v>
      </c>
      <c r="AB132" s="113">
        <f t="shared" si="59"/>
        <v>0.99</v>
      </c>
      <c r="AC132" s="113">
        <f t="shared" si="59"/>
        <v>0.99</v>
      </c>
      <c r="AD132" s="113">
        <f t="shared" si="59"/>
        <v>0.99</v>
      </c>
      <c r="AE132" s="113">
        <f t="shared" si="59"/>
        <v>0.99</v>
      </c>
      <c r="AF132" s="113">
        <f t="shared" si="59"/>
        <v>0.99</v>
      </c>
      <c r="AG132" s="113">
        <f t="shared" si="59"/>
        <v>0.99</v>
      </c>
      <c r="AH132" s="113">
        <f t="shared" si="59"/>
        <v>0.99</v>
      </c>
      <c r="AI132" s="113">
        <f t="shared" si="59"/>
        <v>0.99</v>
      </c>
      <c r="AJ132" s="113">
        <f t="shared" si="59"/>
        <v>0.99</v>
      </c>
      <c r="AK132" s="113">
        <f t="shared" si="59"/>
        <v>0.99</v>
      </c>
      <c r="AL132" s="113">
        <f t="shared" si="59"/>
        <v>0.99</v>
      </c>
      <c r="AM132" s="113">
        <f t="shared" si="59"/>
        <v>0.99</v>
      </c>
      <c r="AN132" s="113">
        <f t="shared" si="59"/>
        <v>0.99</v>
      </c>
      <c r="AO132" s="113">
        <f t="shared" si="59"/>
        <v>0.99</v>
      </c>
      <c r="AP132" s="113">
        <f t="shared" si="59"/>
        <v>0.99</v>
      </c>
      <c r="AQ132" s="113">
        <f t="shared" si="59"/>
        <v>0.99</v>
      </c>
      <c r="AR132" s="113">
        <f t="shared" si="59"/>
        <v>0.99</v>
      </c>
      <c r="AS132" s="113">
        <f t="shared" si="59"/>
        <v>0.99</v>
      </c>
      <c r="AT132" s="113">
        <f t="shared" si="59"/>
        <v>0.99</v>
      </c>
      <c r="AU132" s="113">
        <f t="shared" si="59"/>
        <v>0.99</v>
      </c>
      <c r="AV132" s="113">
        <f t="shared" si="59"/>
        <v>0.99</v>
      </c>
    </row>
    <row r="133" spans="1:48">
      <c r="A133" s="199" t="s">
        <v>16</v>
      </c>
      <c r="B133" s="283" t="str">
        <f t="shared" si="57"/>
        <v>CNG</v>
      </c>
      <c r="C133" s="283" t="str">
        <f t="shared" si="57"/>
        <v>Commercial - Public lights</v>
      </c>
      <c r="E133" s="156">
        <f t="shared" si="58"/>
        <v>0.01</v>
      </c>
      <c r="I133" s="165"/>
      <c r="J133" s="168">
        <f t="shared" si="59"/>
        <v>0.99</v>
      </c>
      <c r="K133" s="113">
        <f t="shared" si="59"/>
        <v>0.99</v>
      </c>
      <c r="L133" s="113">
        <f t="shared" si="59"/>
        <v>0.99</v>
      </c>
      <c r="M133" s="113">
        <f t="shared" si="59"/>
        <v>0.99</v>
      </c>
      <c r="N133" s="113">
        <f t="shared" si="59"/>
        <v>0.99</v>
      </c>
      <c r="O133" s="113">
        <f t="shared" si="59"/>
        <v>0.99</v>
      </c>
      <c r="P133" s="113">
        <f t="shared" si="59"/>
        <v>0.99</v>
      </c>
      <c r="Q133" s="113">
        <f t="shared" si="59"/>
        <v>0.99</v>
      </c>
      <c r="R133" s="113">
        <f t="shared" si="59"/>
        <v>0.99</v>
      </c>
      <c r="S133" s="113">
        <f t="shared" si="59"/>
        <v>0.99</v>
      </c>
      <c r="T133" s="113">
        <f t="shared" si="59"/>
        <v>0.99</v>
      </c>
      <c r="U133" s="113">
        <f t="shared" si="59"/>
        <v>0.99</v>
      </c>
      <c r="V133" s="113">
        <f t="shared" si="59"/>
        <v>0.99</v>
      </c>
      <c r="W133" s="113">
        <f t="shared" si="59"/>
        <v>0.99</v>
      </c>
      <c r="X133" s="113">
        <f t="shared" si="59"/>
        <v>0.99</v>
      </c>
      <c r="Y133" s="113">
        <f t="shared" si="59"/>
        <v>0.99</v>
      </c>
      <c r="Z133" s="113">
        <f t="shared" si="59"/>
        <v>0.99</v>
      </c>
      <c r="AA133" s="113">
        <f t="shared" si="59"/>
        <v>0.99</v>
      </c>
      <c r="AB133" s="113">
        <f t="shared" si="59"/>
        <v>0.99</v>
      </c>
      <c r="AC133" s="113">
        <f t="shared" si="59"/>
        <v>0.99</v>
      </c>
      <c r="AD133" s="113">
        <f t="shared" si="59"/>
        <v>0.99</v>
      </c>
      <c r="AE133" s="113">
        <f t="shared" si="59"/>
        <v>0.99</v>
      </c>
      <c r="AF133" s="113">
        <f t="shared" ref="AF133:AV135" si="60">AF122*(1-$E133)</f>
        <v>0.99</v>
      </c>
      <c r="AG133" s="113">
        <f t="shared" si="60"/>
        <v>0.99</v>
      </c>
      <c r="AH133" s="113">
        <f t="shared" si="60"/>
        <v>0.99</v>
      </c>
      <c r="AI133" s="113">
        <f t="shared" si="60"/>
        <v>0.99</v>
      </c>
      <c r="AJ133" s="113">
        <f t="shared" si="60"/>
        <v>0.99</v>
      </c>
      <c r="AK133" s="113">
        <f t="shared" si="60"/>
        <v>0.99</v>
      </c>
      <c r="AL133" s="113">
        <f t="shared" si="60"/>
        <v>0.99</v>
      </c>
      <c r="AM133" s="113">
        <f t="shared" si="60"/>
        <v>0.99</v>
      </c>
      <c r="AN133" s="113">
        <f t="shared" si="60"/>
        <v>0.99</v>
      </c>
      <c r="AO133" s="113">
        <f t="shared" si="60"/>
        <v>0.99</v>
      </c>
      <c r="AP133" s="113">
        <f t="shared" si="60"/>
        <v>0.99</v>
      </c>
      <c r="AQ133" s="113">
        <f t="shared" si="60"/>
        <v>0.99</v>
      </c>
      <c r="AR133" s="113">
        <f t="shared" si="60"/>
        <v>0.99</v>
      </c>
      <c r="AS133" s="113">
        <f t="shared" si="60"/>
        <v>0.99</v>
      </c>
      <c r="AT133" s="113">
        <f t="shared" si="60"/>
        <v>0.99</v>
      </c>
      <c r="AU133" s="113">
        <f t="shared" si="60"/>
        <v>0.99</v>
      </c>
      <c r="AV133" s="113">
        <f t="shared" si="60"/>
        <v>0.99</v>
      </c>
    </row>
    <row r="134" spans="1:48">
      <c r="A134" s="199" t="s">
        <v>16</v>
      </c>
      <c r="B134" s="283" t="str">
        <f t="shared" si="57"/>
        <v>CNT</v>
      </c>
      <c r="C134" s="283" t="str">
        <f t="shared" si="57"/>
        <v>Commercial - Public Water</v>
      </c>
      <c r="E134" s="156">
        <f t="shared" si="58"/>
        <v>0.01</v>
      </c>
      <c r="I134" s="165"/>
      <c r="J134" s="168">
        <f t="shared" ref="J134:AV135" si="61">J123*(1-$E134)</f>
        <v>0.99</v>
      </c>
      <c r="K134" s="113">
        <f t="shared" si="61"/>
        <v>0.99</v>
      </c>
      <c r="L134" s="113">
        <f t="shared" si="61"/>
        <v>0.99</v>
      </c>
      <c r="M134" s="113">
        <f t="shared" si="61"/>
        <v>0.99</v>
      </c>
      <c r="N134" s="113">
        <f t="shared" si="61"/>
        <v>0.99</v>
      </c>
      <c r="O134" s="113">
        <f t="shared" si="61"/>
        <v>0.99</v>
      </c>
      <c r="P134" s="113">
        <f t="shared" si="61"/>
        <v>0.99</v>
      </c>
      <c r="Q134" s="113">
        <f t="shared" si="61"/>
        <v>0.99</v>
      </c>
      <c r="R134" s="113">
        <f t="shared" si="61"/>
        <v>0.99</v>
      </c>
      <c r="S134" s="113">
        <f t="shared" si="61"/>
        <v>0.99</v>
      </c>
      <c r="T134" s="113">
        <f t="shared" si="61"/>
        <v>0.99</v>
      </c>
      <c r="U134" s="113">
        <f t="shared" si="61"/>
        <v>0.99</v>
      </c>
      <c r="V134" s="113">
        <f t="shared" si="61"/>
        <v>0.99</v>
      </c>
      <c r="W134" s="113">
        <f t="shared" si="61"/>
        <v>0.99</v>
      </c>
      <c r="X134" s="113">
        <f t="shared" si="61"/>
        <v>0.99</v>
      </c>
      <c r="Y134" s="113">
        <f t="shared" si="61"/>
        <v>0.99</v>
      </c>
      <c r="Z134" s="113">
        <f t="shared" si="61"/>
        <v>0.99</v>
      </c>
      <c r="AA134" s="113">
        <f t="shared" si="61"/>
        <v>0.99</v>
      </c>
      <c r="AB134" s="113">
        <f t="shared" si="61"/>
        <v>0.99</v>
      </c>
      <c r="AC134" s="113">
        <f t="shared" si="61"/>
        <v>0.99</v>
      </c>
      <c r="AD134" s="113">
        <f t="shared" si="61"/>
        <v>0.99</v>
      </c>
      <c r="AE134" s="113">
        <f t="shared" si="61"/>
        <v>0.99</v>
      </c>
      <c r="AF134" s="113">
        <f t="shared" si="61"/>
        <v>0.99</v>
      </c>
      <c r="AG134" s="113">
        <f t="shared" si="61"/>
        <v>0.99</v>
      </c>
      <c r="AH134" s="113">
        <f t="shared" si="61"/>
        <v>0.99</v>
      </c>
      <c r="AI134" s="113">
        <f t="shared" si="60"/>
        <v>0.99</v>
      </c>
      <c r="AJ134" s="113">
        <f t="shared" si="60"/>
        <v>0.99</v>
      </c>
      <c r="AK134" s="113">
        <f t="shared" si="60"/>
        <v>0.99</v>
      </c>
      <c r="AL134" s="113">
        <f t="shared" si="60"/>
        <v>0.99</v>
      </c>
      <c r="AM134" s="113">
        <f t="shared" si="60"/>
        <v>0.99</v>
      </c>
      <c r="AN134" s="113">
        <f t="shared" si="60"/>
        <v>0.99</v>
      </c>
      <c r="AO134" s="113">
        <f t="shared" si="60"/>
        <v>0.99</v>
      </c>
      <c r="AP134" s="113">
        <f t="shared" si="60"/>
        <v>0.99</v>
      </c>
      <c r="AQ134" s="113">
        <f t="shared" si="60"/>
        <v>0.99</v>
      </c>
      <c r="AR134" s="113">
        <f t="shared" si="60"/>
        <v>0.99</v>
      </c>
      <c r="AS134" s="113">
        <f t="shared" si="61"/>
        <v>0.99</v>
      </c>
      <c r="AT134" s="113">
        <f t="shared" si="61"/>
        <v>0.99</v>
      </c>
      <c r="AU134" s="113">
        <f t="shared" si="61"/>
        <v>0.99</v>
      </c>
      <c r="AV134" s="113">
        <f t="shared" si="61"/>
        <v>0.99</v>
      </c>
    </row>
    <row r="135" spans="1:48">
      <c r="A135" s="199" t="s">
        <v>16</v>
      </c>
      <c r="B135" s="283" t="str">
        <f t="shared" si="57"/>
        <v>CNO</v>
      </c>
      <c r="C135" s="283" t="str">
        <f t="shared" si="57"/>
        <v>Commercial - Other</v>
      </c>
      <c r="E135" s="156">
        <f t="shared" si="58"/>
        <v>0.01</v>
      </c>
      <c r="I135" s="165"/>
      <c r="J135" s="168">
        <f t="shared" si="61"/>
        <v>0.99</v>
      </c>
      <c r="K135" s="113">
        <f t="shared" si="61"/>
        <v>0.99</v>
      </c>
      <c r="L135" s="113">
        <f t="shared" si="61"/>
        <v>0.99</v>
      </c>
      <c r="M135" s="113">
        <f t="shared" si="61"/>
        <v>0.99</v>
      </c>
      <c r="N135" s="113">
        <f t="shared" si="61"/>
        <v>0.99</v>
      </c>
      <c r="O135" s="113">
        <f t="shared" si="61"/>
        <v>0.99</v>
      </c>
      <c r="P135" s="113">
        <f t="shared" si="61"/>
        <v>0.99</v>
      </c>
      <c r="Q135" s="113">
        <f t="shared" si="61"/>
        <v>0.99</v>
      </c>
      <c r="R135" s="113">
        <f t="shared" si="61"/>
        <v>0.99</v>
      </c>
      <c r="S135" s="113">
        <f t="shared" si="61"/>
        <v>0.99</v>
      </c>
      <c r="T135" s="113">
        <f t="shared" si="61"/>
        <v>0.99</v>
      </c>
      <c r="U135" s="113">
        <f t="shared" si="61"/>
        <v>0.99</v>
      </c>
      <c r="V135" s="113">
        <f t="shared" si="61"/>
        <v>0.99</v>
      </c>
      <c r="W135" s="113">
        <f t="shared" si="61"/>
        <v>0.99</v>
      </c>
      <c r="X135" s="113">
        <f t="shared" si="61"/>
        <v>0.99</v>
      </c>
      <c r="Y135" s="113">
        <f t="shared" si="61"/>
        <v>0.99</v>
      </c>
      <c r="Z135" s="113">
        <f t="shared" si="61"/>
        <v>0.99</v>
      </c>
      <c r="AA135" s="113">
        <f t="shared" si="61"/>
        <v>0.99</v>
      </c>
      <c r="AB135" s="113">
        <f t="shared" si="61"/>
        <v>0.99</v>
      </c>
      <c r="AC135" s="113">
        <f t="shared" si="61"/>
        <v>0.99</v>
      </c>
      <c r="AD135" s="113">
        <f t="shared" si="61"/>
        <v>0.99</v>
      </c>
      <c r="AE135" s="113">
        <f t="shared" si="61"/>
        <v>0.99</v>
      </c>
      <c r="AF135" s="113">
        <f t="shared" si="61"/>
        <v>0.99</v>
      </c>
      <c r="AG135" s="113">
        <f t="shared" si="61"/>
        <v>0.99</v>
      </c>
      <c r="AH135" s="113">
        <f t="shared" si="61"/>
        <v>0.99</v>
      </c>
      <c r="AI135" s="113">
        <f t="shared" si="60"/>
        <v>0.99</v>
      </c>
      <c r="AJ135" s="113">
        <f t="shared" si="60"/>
        <v>0.99</v>
      </c>
      <c r="AK135" s="113">
        <f t="shared" si="60"/>
        <v>0.99</v>
      </c>
      <c r="AL135" s="113">
        <f t="shared" si="60"/>
        <v>0.99</v>
      </c>
      <c r="AM135" s="113">
        <f t="shared" si="60"/>
        <v>0.99</v>
      </c>
      <c r="AN135" s="113">
        <f t="shared" si="60"/>
        <v>0.99</v>
      </c>
      <c r="AO135" s="113">
        <f t="shared" si="60"/>
        <v>0.99</v>
      </c>
      <c r="AP135" s="113">
        <f t="shared" si="60"/>
        <v>0.99</v>
      </c>
      <c r="AQ135" s="113">
        <f t="shared" si="60"/>
        <v>0.99</v>
      </c>
      <c r="AR135" s="113">
        <f t="shared" si="60"/>
        <v>0.99</v>
      </c>
      <c r="AS135" s="113">
        <f t="shared" si="61"/>
        <v>0.99</v>
      </c>
      <c r="AT135" s="113">
        <f t="shared" si="61"/>
        <v>0.99</v>
      </c>
      <c r="AU135" s="113">
        <f t="shared" si="61"/>
        <v>0.99</v>
      </c>
      <c r="AV135" s="113">
        <f t="shared" si="61"/>
        <v>0.99</v>
      </c>
    </row>
    <row r="136" spans="1:48">
      <c r="A136" s="199" t="s">
        <v>16</v>
      </c>
      <c r="B136" s="283"/>
      <c r="C136" s="283"/>
      <c r="I136" s="165"/>
      <c r="K136" s="95"/>
    </row>
    <row r="137" spans="1:48" ht="15.75" thickBot="1">
      <c r="A137" s="199" t="s">
        <v>16</v>
      </c>
      <c r="B137" s="283"/>
      <c r="C137" s="92" t="s">
        <v>260</v>
      </c>
      <c r="I137" s="165"/>
      <c r="K137" s="95"/>
    </row>
    <row r="138" spans="1:48">
      <c r="A138" s="199" t="s">
        <v>16</v>
      </c>
      <c r="B138" s="283" t="str">
        <f t="shared" ref="B138:C146" si="62">B127</f>
        <v>CNC</v>
      </c>
      <c r="C138" s="283" t="str">
        <f t="shared" si="62"/>
        <v>Commercial - Cooling</v>
      </c>
      <c r="E138" s="156">
        <f t="shared" ref="E138:E146" si="63">E127+$AX$106</f>
        <v>0.02</v>
      </c>
      <c r="I138" s="165"/>
      <c r="J138" s="168">
        <f t="shared" ref="J138:AV144" si="64">J127*(1-$E138)</f>
        <v>0.97019999999999995</v>
      </c>
      <c r="K138" s="113">
        <f t="shared" si="64"/>
        <v>0.97019999999999995</v>
      </c>
      <c r="L138" s="113">
        <f t="shared" si="64"/>
        <v>0.97019999999999995</v>
      </c>
      <c r="M138" s="113">
        <f t="shared" si="64"/>
        <v>0.97019999999999995</v>
      </c>
      <c r="N138" s="113">
        <f t="shared" si="64"/>
        <v>0.97019999999999995</v>
      </c>
      <c r="O138" s="113">
        <f t="shared" si="64"/>
        <v>0.97019999999999995</v>
      </c>
      <c r="P138" s="113">
        <f t="shared" si="64"/>
        <v>0.97019999999999995</v>
      </c>
      <c r="Q138" s="113">
        <f t="shared" si="64"/>
        <v>0.97019999999999995</v>
      </c>
      <c r="R138" s="113">
        <f t="shared" si="64"/>
        <v>0.97019999999999995</v>
      </c>
      <c r="S138" s="113">
        <f t="shared" si="64"/>
        <v>0.97019999999999995</v>
      </c>
      <c r="T138" s="113">
        <f t="shared" si="64"/>
        <v>0.97019999999999995</v>
      </c>
      <c r="U138" s="113">
        <f t="shared" si="64"/>
        <v>0.97019999999999995</v>
      </c>
      <c r="V138" s="113">
        <f t="shared" si="64"/>
        <v>0.97019999999999995</v>
      </c>
      <c r="W138" s="113">
        <f t="shared" si="64"/>
        <v>0.97019999999999995</v>
      </c>
      <c r="X138" s="113">
        <f t="shared" si="64"/>
        <v>0.97019999999999995</v>
      </c>
      <c r="Y138" s="113">
        <f t="shared" si="64"/>
        <v>0.97019999999999995</v>
      </c>
      <c r="Z138" s="113">
        <f t="shared" si="64"/>
        <v>0.97019999999999995</v>
      </c>
      <c r="AA138" s="113">
        <f t="shared" si="64"/>
        <v>0.97019999999999995</v>
      </c>
      <c r="AB138" s="113">
        <f t="shared" si="64"/>
        <v>0.97019999999999995</v>
      </c>
      <c r="AC138" s="113">
        <f t="shared" si="64"/>
        <v>0.97019999999999995</v>
      </c>
      <c r="AD138" s="113">
        <f t="shared" si="64"/>
        <v>0.97019999999999995</v>
      </c>
      <c r="AE138" s="113">
        <f t="shared" si="64"/>
        <v>0.97019999999999995</v>
      </c>
      <c r="AF138" s="113">
        <f t="shared" si="64"/>
        <v>0.97019999999999995</v>
      </c>
      <c r="AG138" s="113">
        <f t="shared" si="64"/>
        <v>0.97019999999999995</v>
      </c>
      <c r="AH138" s="113">
        <f t="shared" si="64"/>
        <v>0.97019999999999995</v>
      </c>
      <c r="AI138" s="113">
        <f t="shared" si="64"/>
        <v>0.97019999999999995</v>
      </c>
      <c r="AJ138" s="113">
        <f t="shared" si="64"/>
        <v>0.97019999999999995</v>
      </c>
      <c r="AK138" s="113">
        <f t="shared" si="64"/>
        <v>0.97019999999999995</v>
      </c>
      <c r="AL138" s="113">
        <f t="shared" si="64"/>
        <v>0.97019999999999995</v>
      </c>
      <c r="AM138" s="113">
        <f t="shared" si="64"/>
        <v>0.97019999999999995</v>
      </c>
      <c r="AN138" s="113">
        <f t="shared" si="64"/>
        <v>0.97019999999999995</v>
      </c>
      <c r="AO138" s="113">
        <f t="shared" si="64"/>
        <v>0.97019999999999995</v>
      </c>
      <c r="AP138" s="113">
        <f t="shared" si="64"/>
        <v>0.97019999999999995</v>
      </c>
      <c r="AQ138" s="113">
        <f t="shared" si="64"/>
        <v>0.97019999999999995</v>
      </c>
      <c r="AR138" s="113">
        <f t="shared" si="64"/>
        <v>0.97019999999999995</v>
      </c>
      <c r="AS138" s="113">
        <f t="shared" si="64"/>
        <v>0.97019999999999995</v>
      </c>
      <c r="AT138" s="113">
        <f t="shared" si="64"/>
        <v>0.97019999999999995</v>
      </c>
      <c r="AU138" s="113">
        <f t="shared" si="64"/>
        <v>0.97019999999999995</v>
      </c>
      <c r="AV138" s="113">
        <f t="shared" si="64"/>
        <v>0.97019999999999995</v>
      </c>
    </row>
    <row r="139" spans="1:48">
      <c r="A139" s="199" t="s">
        <v>16</v>
      </c>
      <c r="B139" s="283" t="str">
        <f t="shared" si="62"/>
        <v>CNH</v>
      </c>
      <c r="C139" s="283" t="str">
        <f t="shared" si="62"/>
        <v>Commercial - Space Heating</v>
      </c>
      <c r="E139" s="156">
        <f t="shared" si="63"/>
        <v>0.02</v>
      </c>
      <c r="I139" s="165"/>
      <c r="J139" s="168">
        <f t="shared" si="64"/>
        <v>0.97019999999999995</v>
      </c>
      <c r="K139" s="113">
        <f t="shared" si="64"/>
        <v>0.97019999999999995</v>
      </c>
      <c r="L139" s="113">
        <f t="shared" si="64"/>
        <v>0.97019999999999995</v>
      </c>
      <c r="M139" s="113">
        <f t="shared" si="64"/>
        <v>0.97019999999999995</v>
      </c>
      <c r="N139" s="113">
        <f t="shared" si="64"/>
        <v>0.97019999999999995</v>
      </c>
      <c r="O139" s="113">
        <f t="shared" si="64"/>
        <v>0.97019999999999995</v>
      </c>
      <c r="P139" s="113">
        <f t="shared" si="64"/>
        <v>0.97019999999999995</v>
      </c>
      <c r="Q139" s="113">
        <f t="shared" si="64"/>
        <v>0.97019999999999995</v>
      </c>
      <c r="R139" s="113">
        <f t="shared" si="64"/>
        <v>0.97019999999999995</v>
      </c>
      <c r="S139" s="113">
        <f t="shared" si="64"/>
        <v>0.97019999999999995</v>
      </c>
      <c r="T139" s="113">
        <f t="shared" si="64"/>
        <v>0.97019999999999995</v>
      </c>
      <c r="U139" s="113">
        <f t="shared" si="64"/>
        <v>0.97019999999999995</v>
      </c>
      <c r="V139" s="113">
        <f t="shared" si="64"/>
        <v>0.97019999999999995</v>
      </c>
      <c r="W139" s="113">
        <f t="shared" si="64"/>
        <v>0.97019999999999995</v>
      </c>
      <c r="X139" s="113">
        <f t="shared" si="64"/>
        <v>0.97019999999999995</v>
      </c>
      <c r="Y139" s="113">
        <f t="shared" si="64"/>
        <v>0.97019999999999995</v>
      </c>
      <c r="Z139" s="113">
        <f t="shared" si="64"/>
        <v>0.97019999999999995</v>
      </c>
      <c r="AA139" s="113">
        <f t="shared" si="64"/>
        <v>0.97019999999999995</v>
      </c>
      <c r="AB139" s="113">
        <f t="shared" si="64"/>
        <v>0.97019999999999995</v>
      </c>
      <c r="AC139" s="113">
        <f t="shared" si="64"/>
        <v>0.97019999999999995</v>
      </c>
      <c r="AD139" s="113">
        <f t="shared" si="64"/>
        <v>0.97019999999999995</v>
      </c>
      <c r="AE139" s="113">
        <f t="shared" si="64"/>
        <v>0.97019999999999995</v>
      </c>
      <c r="AF139" s="113">
        <f t="shared" si="64"/>
        <v>0.97019999999999995</v>
      </c>
      <c r="AG139" s="113">
        <f t="shared" si="64"/>
        <v>0.97019999999999995</v>
      </c>
      <c r="AH139" s="113">
        <f t="shared" si="64"/>
        <v>0.97019999999999995</v>
      </c>
      <c r="AI139" s="113">
        <f t="shared" si="64"/>
        <v>0.97019999999999995</v>
      </c>
      <c r="AJ139" s="113">
        <f t="shared" si="64"/>
        <v>0.97019999999999995</v>
      </c>
      <c r="AK139" s="113">
        <f t="shared" si="64"/>
        <v>0.97019999999999995</v>
      </c>
      <c r="AL139" s="113">
        <f t="shared" si="64"/>
        <v>0.97019999999999995</v>
      </c>
      <c r="AM139" s="113">
        <f t="shared" si="64"/>
        <v>0.97019999999999995</v>
      </c>
      <c r="AN139" s="113">
        <f t="shared" si="64"/>
        <v>0.97019999999999995</v>
      </c>
      <c r="AO139" s="113">
        <f t="shared" si="64"/>
        <v>0.97019999999999995</v>
      </c>
      <c r="AP139" s="113">
        <f t="shared" si="64"/>
        <v>0.97019999999999995</v>
      </c>
      <c r="AQ139" s="113">
        <f t="shared" si="64"/>
        <v>0.97019999999999995</v>
      </c>
      <c r="AR139" s="113">
        <f t="shared" si="64"/>
        <v>0.97019999999999995</v>
      </c>
      <c r="AS139" s="113">
        <f t="shared" si="64"/>
        <v>0.97019999999999995</v>
      </c>
      <c r="AT139" s="113">
        <f t="shared" si="64"/>
        <v>0.97019999999999995</v>
      </c>
      <c r="AU139" s="113">
        <f t="shared" si="64"/>
        <v>0.97019999999999995</v>
      </c>
      <c r="AV139" s="113">
        <f t="shared" si="64"/>
        <v>0.97019999999999995</v>
      </c>
    </row>
    <row r="140" spans="1:48">
      <c r="A140" s="199" t="s">
        <v>16</v>
      </c>
      <c r="B140" s="283" t="str">
        <f t="shared" si="62"/>
        <v>CNK</v>
      </c>
      <c r="C140" s="283" t="str">
        <f t="shared" si="62"/>
        <v>Commercial - Cooking</v>
      </c>
      <c r="E140" s="156">
        <f t="shared" si="63"/>
        <v>0.02</v>
      </c>
      <c r="I140" s="165"/>
      <c r="J140" s="168">
        <f t="shared" si="64"/>
        <v>0.97019999999999995</v>
      </c>
      <c r="K140" s="113">
        <f t="shared" si="64"/>
        <v>0.97019999999999995</v>
      </c>
      <c r="L140" s="113">
        <f t="shared" si="64"/>
        <v>0.97019999999999995</v>
      </c>
      <c r="M140" s="113">
        <f t="shared" si="64"/>
        <v>0.97019999999999995</v>
      </c>
      <c r="N140" s="113">
        <f t="shared" si="64"/>
        <v>0.97019999999999995</v>
      </c>
      <c r="O140" s="113">
        <f t="shared" si="64"/>
        <v>0.97019999999999995</v>
      </c>
      <c r="P140" s="113">
        <f t="shared" si="64"/>
        <v>0.97019999999999995</v>
      </c>
      <c r="Q140" s="113">
        <f t="shared" si="64"/>
        <v>0.97019999999999995</v>
      </c>
      <c r="R140" s="113">
        <f t="shared" si="64"/>
        <v>0.97019999999999995</v>
      </c>
      <c r="S140" s="113">
        <f t="shared" si="64"/>
        <v>0.97019999999999995</v>
      </c>
      <c r="T140" s="113">
        <f t="shared" si="64"/>
        <v>0.97019999999999995</v>
      </c>
      <c r="U140" s="113">
        <f t="shared" si="64"/>
        <v>0.97019999999999995</v>
      </c>
      <c r="V140" s="113">
        <f t="shared" si="64"/>
        <v>0.97019999999999995</v>
      </c>
      <c r="W140" s="113">
        <f t="shared" si="64"/>
        <v>0.97019999999999995</v>
      </c>
      <c r="X140" s="113">
        <f t="shared" si="64"/>
        <v>0.97019999999999995</v>
      </c>
      <c r="Y140" s="113">
        <f t="shared" si="64"/>
        <v>0.97019999999999995</v>
      </c>
      <c r="Z140" s="113">
        <f t="shared" si="64"/>
        <v>0.97019999999999995</v>
      </c>
      <c r="AA140" s="113">
        <f t="shared" si="64"/>
        <v>0.97019999999999995</v>
      </c>
      <c r="AB140" s="113">
        <f t="shared" si="64"/>
        <v>0.97019999999999995</v>
      </c>
      <c r="AC140" s="113">
        <f t="shared" si="64"/>
        <v>0.97019999999999995</v>
      </c>
      <c r="AD140" s="113">
        <f t="shared" si="64"/>
        <v>0.97019999999999995</v>
      </c>
      <c r="AE140" s="113">
        <f t="shared" si="64"/>
        <v>0.97019999999999995</v>
      </c>
      <c r="AF140" s="113">
        <f t="shared" si="64"/>
        <v>0.97019999999999995</v>
      </c>
      <c r="AG140" s="113">
        <f t="shared" si="64"/>
        <v>0.97019999999999995</v>
      </c>
      <c r="AH140" s="113">
        <f t="shared" si="64"/>
        <v>0.97019999999999995</v>
      </c>
      <c r="AI140" s="113">
        <f t="shared" si="64"/>
        <v>0.97019999999999995</v>
      </c>
      <c r="AJ140" s="113">
        <f t="shared" si="64"/>
        <v>0.97019999999999995</v>
      </c>
      <c r="AK140" s="113">
        <f t="shared" si="64"/>
        <v>0.97019999999999995</v>
      </c>
      <c r="AL140" s="113">
        <f t="shared" si="64"/>
        <v>0.97019999999999995</v>
      </c>
      <c r="AM140" s="113">
        <f t="shared" si="64"/>
        <v>0.97019999999999995</v>
      </c>
      <c r="AN140" s="113">
        <f t="shared" si="64"/>
        <v>0.97019999999999995</v>
      </c>
      <c r="AO140" s="113">
        <f t="shared" si="64"/>
        <v>0.97019999999999995</v>
      </c>
      <c r="AP140" s="113">
        <f t="shared" si="64"/>
        <v>0.97019999999999995</v>
      </c>
      <c r="AQ140" s="113">
        <f t="shared" si="64"/>
        <v>0.97019999999999995</v>
      </c>
      <c r="AR140" s="113">
        <f t="shared" si="64"/>
        <v>0.97019999999999995</v>
      </c>
      <c r="AS140" s="113">
        <f t="shared" si="64"/>
        <v>0.97019999999999995</v>
      </c>
      <c r="AT140" s="113">
        <f t="shared" si="64"/>
        <v>0.97019999999999995</v>
      </c>
      <c r="AU140" s="113">
        <f t="shared" si="64"/>
        <v>0.97019999999999995</v>
      </c>
      <c r="AV140" s="113">
        <f t="shared" si="64"/>
        <v>0.97019999999999995</v>
      </c>
    </row>
    <row r="141" spans="1:48">
      <c r="A141" s="199" t="s">
        <v>16</v>
      </c>
      <c r="B141" s="283" t="str">
        <f t="shared" si="62"/>
        <v>CNL</v>
      </c>
      <c r="C141" s="283" t="str">
        <f t="shared" si="62"/>
        <v>Commercial - Lighting</v>
      </c>
      <c r="E141" s="156">
        <f t="shared" si="63"/>
        <v>0.02</v>
      </c>
      <c r="I141" s="165"/>
      <c r="J141" s="168">
        <f t="shared" si="64"/>
        <v>0.97019999999999995</v>
      </c>
      <c r="K141" s="113">
        <f t="shared" si="64"/>
        <v>0.97019999999999995</v>
      </c>
      <c r="L141" s="113">
        <f t="shared" si="64"/>
        <v>0.97019999999999995</v>
      </c>
      <c r="M141" s="113">
        <f t="shared" si="64"/>
        <v>0.97019999999999995</v>
      </c>
      <c r="N141" s="113">
        <f t="shared" si="64"/>
        <v>0.97019999999999995</v>
      </c>
      <c r="O141" s="113">
        <f t="shared" si="64"/>
        <v>0.97019999999999995</v>
      </c>
      <c r="P141" s="113">
        <f t="shared" si="64"/>
        <v>0.97019999999999995</v>
      </c>
      <c r="Q141" s="113">
        <f t="shared" si="64"/>
        <v>0.97019999999999995</v>
      </c>
      <c r="R141" s="113">
        <f t="shared" si="64"/>
        <v>0.97019999999999995</v>
      </c>
      <c r="S141" s="113">
        <f t="shared" si="64"/>
        <v>0.97019999999999995</v>
      </c>
      <c r="T141" s="113">
        <f t="shared" si="64"/>
        <v>0.97019999999999995</v>
      </c>
      <c r="U141" s="113">
        <f t="shared" si="64"/>
        <v>0.97019999999999995</v>
      </c>
      <c r="V141" s="113">
        <f t="shared" si="64"/>
        <v>0.97019999999999995</v>
      </c>
      <c r="W141" s="113">
        <f t="shared" si="64"/>
        <v>0.97019999999999995</v>
      </c>
      <c r="X141" s="113">
        <f t="shared" si="64"/>
        <v>0.97019999999999995</v>
      </c>
      <c r="Y141" s="113">
        <f t="shared" si="64"/>
        <v>0.97019999999999995</v>
      </c>
      <c r="Z141" s="113">
        <f t="shared" si="64"/>
        <v>0.97019999999999995</v>
      </c>
      <c r="AA141" s="113">
        <f t="shared" si="64"/>
        <v>0.97019999999999995</v>
      </c>
      <c r="AB141" s="113">
        <f t="shared" si="64"/>
        <v>0.97019999999999995</v>
      </c>
      <c r="AC141" s="113">
        <f t="shared" si="64"/>
        <v>0.97019999999999995</v>
      </c>
      <c r="AD141" s="113">
        <f t="shared" si="64"/>
        <v>0.97019999999999995</v>
      </c>
      <c r="AE141" s="113">
        <f t="shared" si="64"/>
        <v>0.97019999999999995</v>
      </c>
      <c r="AF141" s="113">
        <f t="shared" si="64"/>
        <v>0.97019999999999995</v>
      </c>
      <c r="AG141" s="113">
        <f t="shared" si="64"/>
        <v>0.97019999999999995</v>
      </c>
      <c r="AH141" s="113">
        <f t="shared" si="64"/>
        <v>0.97019999999999995</v>
      </c>
      <c r="AI141" s="113">
        <f t="shared" si="64"/>
        <v>0.97019999999999995</v>
      </c>
      <c r="AJ141" s="113">
        <f t="shared" si="64"/>
        <v>0.97019999999999995</v>
      </c>
      <c r="AK141" s="113">
        <f t="shared" si="64"/>
        <v>0.97019999999999995</v>
      </c>
      <c r="AL141" s="113">
        <f t="shared" si="64"/>
        <v>0.97019999999999995</v>
      </c>
      <c r="AM141" s="113">
        <f t="shared" si="64"/>
        <v>0.97019999999999995</v>
      </c>
      <c r="AN141" s="113">
        <f t="shared" si="64"/>
        <v>0.97019999999999995</v>
      </c>
      <c r="AO141" s="113">
        <f t="shared" si="64"/>
        <v>0.97019999999999995</v>
      </c>
      <c r="AP141" s="113">
        <f t="shared" si="64"/>
        <v>0.97019999999999995</v>
      </c>
      <c r="AQ141" s="113">
        <f t="shared" si="64"/>
        <v>0.97019999999999995</v>
      </c>
      <c r="AR141" s="113">
        <f t="shared" si="64"/>
        <v>0.97019999999999995</v>
      </c>
      <c r="AS141" s="113">
        <f t="shared" si="64"/>
        <v>0.97019999999999995</v>
      </c>
      <c r="AT141" s="113">
        <f t="shared" si="64"/>
        <v>0.97019999999999995</v>
      </c>
      <c r="AU141" s="113">
        <f t="shared" si="64"/>
        <v>0.97019999999999995</v>
      </c>
      <c r="AV141" s="113">
        <f t="shared" si="64"/>
        <v>0.97019999999999995</v>
      </c>
    </row>
    <row r="142" spans="1:48">
      <c r="A142" s="199" t="s">
        <v>16</v>
      </c>
      <c r="B142" s="283" t="str">
        <f t="shared" si="62"/>
        <v>CNR</v>
      </c>
      <c r="C142" s="283" t="str">
        <f t="shared" si="62"/>
        <v>Commercial - Refrigeration</v>
      </c>
      <c r="E142" s="156">
        <f t="shared" si="63"/>
        <v>0.02</v>
      </c>
      <c r="I142" s="165"/>
      <c r="J142" s="168">
        <f t="shared" si="64"/>
        <v>0.97019999999999995</v>
      </c>
      <c r="K142" s="113">
        <f t="shared" si="64"/>
        <v>0.97019999999999995</v>
      </c>
      <c r="L142" s="113">
        <f t="shared" si="64"/>
        <v>0.97019999999999995</v>
      </c>
      <c r="M142" s="113">
        <f t="shared" si="64"/>
        <v>0.97019999999999995</v>
      </c>
      <c r="N142" s="113">
        <f t="shared" si="64"/>
        <v>0.97019999999999995</v>
      </c>
      <c r="O142" s="113">
        <f t="shared" si="64"/>
        <v>0.97019999999999995</v>
      </c>
      <c r="P142" s="113">
        <f t="shared" si="64"/>
        <v>0.97019999999999995</v>
      </c>
      <c r="Q142" s="113">
        <f t="shared" si="64"/>
        <v>0.97019999999999995</v>
      </c>
      <c r="R142" s="113">
        <f t="shared" si="64"/>
        <v>0.97019999999999995</v>
      </c>
      <c r="S142" s="113">
        <f t="shared" si="64"/>
        <v>0.97019999999999995</v>
      </c>
      <c r="T142" s="113">
        <f t="shared" si="64"/>
        <v>0.97019999999999995</v>
      </c>
      <c r="U142" s="113">
        <f t="shared" si="64"/>
        <v>0.97019999999999995</v>
      </c>
      <c r="V142" s="113">
        <f t="shared" si="64"/>
        <v>0.97019999999999995</v>
      </c>
      <c r="W142" s="113">
        <f t="shared" si="64"/>
        <v>0.97019999999999995</v>
      </c>
      <c r="X142" s="113">
        <f t="shared" si="64"/>
        <v>0.97019999999999995</v>
      </c>
      <c r="Y142" s="113">
        <f t="shared" si="64"/>
        <v>0.97019999999999995</v>
      </c>
      <c r="Z142" s="113">
        <f t="shared" si="64"/>
        <v>0.97019999999999995</v>
      </c>
      <c r="AA142" s="113">
        <f t="shared" si="64"/>
        <v>0.97019999999999995</v>
      </c>
      <c r="AB142" s="113">
        <f t="shared" si="64"/>
        <v>0.97019999999999995</v>
      </c>
      <c r="AC142" s="113">
        <f t="shared" si="64"/>
        <v>0.97019999999999995</v>
      </c>
      <c r="AD142" s="113">
        <f t="shared" si="64"/>
        <v>0.97019999999999995</v>
      </c>
      <c r="AE142" s="113">
        <f t="shared" si="64"/>
        <v>0.97019999999999995</v>
      </c>
      <c r="AF142" s="113">
        <f t="shared" si="64"/>
        <v>0.97019999999999995</v>
      </c>
      <c r="AG142" s="113">
        <f t="shared" si="64"/>
        <v>0.97019999999999995</v>
      </c>
      <c r="AH142" s="113">
        <f t="shared" si="64"/>
        <v>0.97019999999999995</v>
      </c>
      <c r="AI142" s="113">
        <f t="shared" si="64"/>
        <v>0.97019999999999995</v>
      </c>
      <c r="AJ142" s="113">
        <f t="shared" si="64"/>
        <v>0.97019999999999995</v>
      </c>
      <c r="AK142" s="113">
        <f t="shared" si="64"/>
        <v>0.97019999999999995</v>
      </c>
      <c r="AL142" s="113">
        <f t="shared" si="64"/>
        <v>0.97019999999999995</v>
      </c>
      <c r="AM142" s="113">
        <f t="shared" si="64"/>
        <v>0.97019999999999995</v>
      </c>
      <c r="AN142" s="113">
        <f t="shared" si="64"/>
        <v>0.97019999999999995</v>
      </c>
      <c r="AO142" s="113">
        <f t="shared" si="64"/>
        <v>0.97019999999999995</v>
      </c>
      <c r="AP142" s="113">
        <f t="shared" si="64"/>
        <v>0.97019999999999995</v>
      </c>
      <c r="AQ142" s="113">
        <f t="shared" si="64"/>
        <v>0.97019999999999995</v>
      </c>
      <c r="AR142" s="113">
        <f t="shared" si="64"/>
        <v>0.97019999999999995</v>
      </c>
      <c r="AS142" s="113">
        <f t="shared" si="64"/>
        <v>0.97019999999999995</v>
      </c>
      <c r="AT142" s="113">
        <f t="shared" si="64"/>
        <v>0.97019999999999995</v>
      </c>
      <c r="AU142" s="113">
        <f t="shared" si="64"/>
        <v>0.97019999999999995</v>
      </c>
      <c r="AV142" s="113">
        <f t="shared" si="64"/>
        <v>0.97019999999999995</v>
      </c>
    </row>
    <row r="143" spans="1:48">
      <c r="A143" s="199" t="s">
        <v>16</v>
      </c>
      <c r="B143" s="283" t="str">
        <f t="shared" si="62"/>
        <v>CNW</v>
      </c>
      <c r="C143" s="283" t="str">
        <f t="shared" si="62"/>
        <v>Commercial - Water Heating</v>
      </c>
      <c r="E143" s="156">
        <f t="shared" si="63"/>
        <v>0.02</v>
      </c>
      <c r="I143" s="165"/>
      <c r="J143" s="168">
        <f t="shared" si="64"/>
        <v>0.97019999999999995</v>
      </c>
      <c r="K143" s="113">
        <f t="shared" si="64"/>
        <v>0.97019999999999995</v>
      </c>
      <c r="L143" s="113">
        <f t="shared" si="64"/>
        <v>0.97019999999999995</v>
      </c>
      <c r="M143" s="113">
        <f t="shared" si="64"/>
        <v>0.97019999999999995</v>
      </c>
      <c r="N143" s="113">
        <f t="shared" si="64"/>
        <v>0.97019999999999995</v>
      </c>
      <c r="O143" s="113">
        <f t="shared" si="64"/>
        <v>0.97019999999999995</v>
      </c>
      <c r="P143" s="113">
        <f t="shared" si="64"/>
        <v>0.97019999999999995</v>
      </c>
      <c r="Q143" s="113">
        <f t="shared" si="64"/>
        <v>0.97019999999999995</v>
      </c>
      <c r="R143" s="113">
        <f t="shared" si="64"/>
        <v>0.97019999999999995</v>
      </c>
      <c r="S143" s="113">
        <f t="shared" si="64"/>
        <v>0.97019999999999995</v>
      </c>
      <c r="T143" s="113">
        <f t="shared" si="64"/>
        <v>0.97019999999999995</v>
      </c>
      <c r="U143" s="113">
        <f t="shared" si="64"/>
        <v>0.97019999999999995</v>
      </c>
      <c r="V143" s="113">
        <f t="shared" si="64"/>
        <v>0.97019999999999995</v>
      </c>
      <c r="W143" s="113">
        <f t="shared" si="64"/>
        <v>0.97019999999999995</v>
      </c>
      <c r="X143" s="113">
        <f t="shared" si="64"/>
        <v>0.97019999999999995</v>
      </c>
      <c r="Y143" s="113">
        <f t="shared" si="64"/>
        <v>0.97019999999999995</v>
      </c>
      <c r="Z143" s="113">
        <f t="shared" si="64"/>
        <v>0.97019999999999995</v>
      </c>
      <c r="AA143" s="113">
        <f t="shared" si="64"/>
        <v>0.97019999999999995</v>
      </c>
      <c r="AB143" s="113">
        <f t="shared" si="64"/>
        <v>0.97019999999999995</v>
      </c>
      <c r="AC143" s="113">
        <f t="shared" si="64"/>
        <v>0.97019999999999995</v>
      </c>
      <c r="AD143" s="113">
        <f t="shared" si="64"/>
        <v>0.97019999999999995</v>
      </c>
      <c r="AE143" s="113">
        <f t="shared" si="64"/>
        <v>0.97019999999999995</v>
      </c>
      <c r="AF143" s="113">
        <f t="shared" si="64"/>
        <v>0.97019999999999995</v>
      </c>
      <c r="AG143" s="113">
        <f t="shared" si="64"/>
        <v>0.97019999999999995</v>
      </c>
      <c r="AH143" s="113">
        <f t="shared" si="64"/>
        <v>0.97019999999999995</v>
      </c>
      <c r="AI143" s="113">
        <f t="shared" si="64"/>
        <v>0.97019999999999995</v>
      </c>
      <c r="AJ143" s="113">
        <f t="shared" si="64"/>
        <v>0.97019999999999995</v>
      </c>
      <c r="AK143" s="113">
        <f t="shared" si="64"/>
        <v>0.97019999999999995</v>
      </c>
      <c r="AL143" s="113">
        <f t="shared" si="64"/>
        <v>0.97019999999999995</v>
      </c>
      <c r="AM143" s="113">
        <f t="shared" si="64"/>
        <v>0.97019999999999995</v>
      </c>
      <c r="AN143" s="113">
        <f t="shared" si="64"/>
        <v>0.97019999999999995</v>
      </c>
      <c r="AO143" s="113">
        <f t="shared" si="64"/>
        <v>0.97019999999999995</v>
      </c>
      <c r="AP143" s="113">
        <f t="shared" si="64"/>
        <v>0.97019999999999995</v>
      </c>
      <c r="AQ143" s="113">
        <f t="shared" si="64"/>
        <v>0.97019999999999995</v>
      </c>
      <c r="AR143" s="113">
        <f t="shared" si="64"/>
        <v>0.97019999999999995</v>
      </c>
      <c r="AS143" s="113">
        <f t="shared" si="64"/>
        <v>0.97019999999999995</v>
      </c>
      <c r="AT143" s="113">
        <f t="shared" si="64"/>
        <v>0.97019999999999995</v>
      </c>
      <c r="AU143" s="113">
        <f t="shared" si="64"/>
        <v>0.97019999999999995</v>
      </c>
      <c r="AV143" s="113">
        <f t="shared" si="64"/>
        <v>0.97019999999999995</v>
      </c>
    </row>
    <row r="144" spans="1:48">
      <c r="A144" s="199" t="s">
        <v>16</v>
      </c>
      <c r="B144" s="283" t="str">
        <f t="shared" si="62"/>
        <v>CNG</v>
      </c>
      <c r="C144" s="283" t="str">
        <f t="shared" si="62"/>
        <v>Commercial - Public lights</v>
      </c>
      <c r="E144" s="156">
        <f t="shared" si="63"/>
        <v>0.02</v>
      </c>
      <c r="I144" s="165"/>
      <c r="J144" s="168">
        <f t="shared" si="64"/>
        <v>0.97019999999999995</v>
      </c>
      <c r="K144" s="113">
        <f t="shared" si="64"/>
        <v>0.97019999999999995</v>
      </c>
      <c r="L144" s="113">
        <f t="shared" si="64"/>
        <v>0.97019999999999995</v>
      </c>
      <c r="M144" s="113">
        <f t="shared" si="64"/>
        <v>0.97019999999999995</v>
      </c>
      <c r="N144" s="113">
        <f t="shared" si="64"/>
        <v>0.97019999999999995</v>
      </c>
      <c r="O144" s="113">
        <f t="shared" si="64"/>
        <v>0.97019999999999995</v>
      </c>
      <c r="P144" s="113">
        <f t="shared" si="64"/>
        <v>0.97019999999999995</v>
      </c>
      <c r="Q144" s="113">
        <f t="shared" si="64"/>
        <v>0.97019999999999995</v>
      </c>
      <c r="R144" s="113">
        <f t="shared" si="64"/>
        <v>0.97019999999999995</v>
      </c>
      <c r="S144" s="113">
        <f t="shared" si="64"/>
        <v>0.97019999999999995</v>
      </c>
      <c r="T144" s="113">
        <f t="shared" si="64"/>
        <v>0.97019999999999995</v>
      </c>
      <c r="U144" s="113">
        <f t="shared" si="64"/>
        <v>0.97019999999999995</v>
      </c>
      <c r="V144" s="113">
        <f t="shared" si="64"/>
        <v>0.97019999999999995</v>
      </c>
      <c r="W144" s="113">
        <f t="shared" si="64"/>
        <v>0.97019999999999995</v>
      </c>
      <c r="X144" s="113">
        <f t="shared" si="64"/>
        <v>0.97019999999999995</v>
      </c>
      <c r="Y144" s="113">
        <f t="shared" si="64"/>
        <v>0.97019999999999995</v>
      </c>
      <c r="Z144" s="113">
        <f t="shared" si="64"/>
        <v>0.97019999999999995</v>
      </c>
      <c r="AA144" s="113">
        <f t="shared" si="64"/>
        <v>0.97019999999999995</v>
      </c>
      <c r="AB144" s="113">
        <f t="shared" si="64"/>
        <v>0.97019999999999995</v>
      </c>
      <c r="AC144" s="113">
        <f t="shared" si="64"/>
        <v>0.97019999999999995</v>
      </c>
      <c r="AD144" s="113">
        <f t="shared" si="64"/>
        <v>0.97019999999999995</v>
      </c>
      <c r="AE144" s="113">
        <f t="shared" ref="AE144:AV146" si="65">AE133*(1-$E144)</f>
        <v>0.97019999999999995</v>
      </c>
      <c r="AF144" s="113">
        <f t="shared" si="65"/>
        <v>0.97019999999999995</v>
      </c>
      <c r="AG144" s="113">
        <f t="shared" si="65"/>
        <v>0.97019999999999995</v>
      </c>
      <c r="AH144" s="113">
        <f t="shared" si="65"/>
        <v>0.97019999999999995</v>
      </c>
      <c r="AI144" s="113">
        <f t="shared" si="65"/>
        <v>0.97019999999999995</v>
      </c>
      <c r="AJ144" s="113">
        <f t="shared" si="65"/>
        <v>0.97019999999999995</v>
      </c>
      <c r="AK144" s="113">
        <f t="shared" si="65"/>
        <v>0.97019999999999995</v>
      </c>
      <c r="AL144" s="113">
        <f t="shared" si="65"/>
        <v>0.97019999999999995</v>
      </c>
      <c r="AM144" s="113">
        <f t="shared" si="65"/>
        <v>0.97019999999999995</v>
      </c>
      <c r="AN144" s="113">
        <f t="shared" si="65"/>
        <v>0.97019999999999995</v>
      </c>
      <c r="AO144" s="113">
        <f t="shared" si="65"/>
        <v>0.97019999999999995</v>
      </c>
      <c r="AP144" s="113">
        <f t="shared" si="65"/>
        <v>0.97019999999999995</v>
      </c>
      <c r="AQ144" s="113">
        <f t="shared" si="65"/>
        <v>0.97019999999999995</v>
      </c>
      <c r="AR144" s="113">
        <f t="shared" si="65"/>
        <v>0.97019999999999995</v>
      </c>
      <c r="AS144" s="113">
        <f t="shared" si="65"/>
        <v>0.97019999999999995</v>
      </c>
      <c r="AT144" s="113">
        <f t="shared" si="65"/>
        <v>0.97019999999999995</v>
      </c>
      <c r="AU144" s="113">
        <f t="shared" si="65"/>
        <v>0.97019999999999995</v>
      </c>
      <c r="AV144" s="113">
        <f t="shared" si="65"/>
        <v>0.97019999999999995</v>
      </c>
    </row>
    <row r="145" spans="1:48">
      <c r="A145" s="199" t="s">
        <v>16</v>
      </c>
      <c r="B145" s="283" t="str">
        <f t="shared" si="62"/>
        <v>CNT</v>
      </c>
      <c r="C145" s="283" t="str">
        <f t="shared" si="62"/>
        <v>Commercial - Public Water</v>
      </c>
      <c r="E145" s="156">
        <f t="shared" si="63"/>
        <v>0.02</v>
      </c>
      <c r="I145" s="165"/>
      <c r="J145" s="168">
        <f t="shared" ref="J145:AV146" si="66">J134*(1-$E145)</f>
        <v>0.97019999999999995</v>
      </c>
      <c r="K145" s="113">
        <f t="shared" si="66"/>
        <v>0.97019999999999995</v>
      </c>
      <c r="L145" s="113">
        <f t="shared" si="66"/>
        <v>0.97019999999999995</v>
      </c>
      <c r="M145" s="113">
        <f t="shared" si="66"/>
        <v>0.97019999999999995</v>
      </c>
      <c r="N145" s="113">
        <f t="shared" si="66"/>
        <v>0.97019999999999995</v>
      </c>
      <c r="O145" s="113">
        <f t="shared" si="66"/>
        <v>0.97019999999999995</v>
      </c>
      <c r="P145" s="113">
        <f t="shared" si="66"/>
        <v>0.97019999999999995</v>
      </c>
      <c r="Q145" s="113">
        <f t="shared" si="66"/>
        <v>0.97019999999999995</v>
      </c>
      <c r="R145" s="113">
        <f t="shared" si="66"/>
        <v>0.97019999999999995</v>
      </c>
      <c r="S145" s="113">
        <f t="shared" si="66"/>
        <v>0.97019999999999995</v>
      </c>
      <c r="T145" s="113">
        <f t="shared" si="66"/>
        <v>0.97019999999999995</v>
      </c>
      <c r="U145" s="113">
        <f t="shared" si="66"/>
        <v>0.97019999999999995</v>
      </c>
      <c r="V145" s="113">
        <f t="shared" si="66"/>
        <v>0.97019999999999995</v>
      </c>
      <c r="W145" s="113">
        <f t="shared" si="66"/>
        <v>0.97019999999999995</v>
      </c>
      <c r="X145" s="113">
        <f t="shared" si="66"/>
        <v>0.97019999999999995</v>
      </c>
      <c r="Y145" s="113">
        <f t="shared" si="66"/>
        <v>0.97019999999999995</v>
      </c>
      <c r="Z145" s="113">
        <f t="shared" si="66"/>
        <v>0.97019999999999995</v>
      </c>
      <c r="AA145" s="113">
        <f t="shared" si="66"/>
        <v>0.97019999999999995</v>
      </c>
      <c r="AB145" s="113">
        <f t="shared" si="66"/>
        <v>0.97019999999999995</v>
      </c>
      <c r="AC145" s="113">
        <f t="shared" si="66"/>
        <v>0.97019999999999995</v>
      </c>
      <c r="AD145" s="113">
        <f t="shared" si="66"/>
        <v>0.97019999999999995</v>
      </c>
      <c r="AE145" s="113">
        <f t="shared" si="66"/>
        <v>0.97019999999999995</v>
      </c>
      <c r="AF145" s="113">
        <f t="shared" si="66"/>
        <v>0.97019999999999995</v>
      </c>
      <c r="AG145" s="113">
        <f t="shared" si="66"/>
        <v>0.97019999999999995</v>
      </c>
      <c r="AH145" s="113">
        <f t="shared" si="66"/>
        <v>0.97019999999999995</v>
      </c>
      <c r="AI145" s="113">
        <f t="shared" si="65"/>
        <v>0.97019999999999995</v>
      </c>
      <c r="AJ145" s="113">
        <f t="shared" si="65"/>
        <v>0.97019999999999995</v>
      </c>
      <c r="AK145" s="113">
        <f t="shared" si="65"/>
        <v>0.97019999999999995</v>
      </c>
      <c r="AL145" s="113">
        <f t="shared" si="65"/>
        <v>0.97019999999999995</v>
      </c>
      <c r="AM145" s="113">
        <f t="shared" si="65"/>
        <v>0.97019999999999995</v>
      </c>
      <c r="AN145" s="113">
        <f t="shared" si="65"/>
        <v>0.97019999999999995</v>
      </c>
      <c r="AO145" s="113">
        <f t="shared" si="65"/>
        <v>0.97019999999999995</v>
      </c>
      <c r="AP145" s="113">
        <f t="shared" si="65"/>
        <v>0.97019999999999995</v>
      </c>
      <c r="AQ145" s="113">
        <f t="shared" si="65"/>
        <v>0.97019999999999995</v>
      </c>
      <c r="AR145" s="113">
        <f t="shared" si="65"/>
        <v>0.97019999999999995</v>
      </c>
      <c r="AS145" s="113">
        <f t="shared" si="66"/>
        <v>0.97019999999999995</v>
      </c>
      <c r="AT145" s="113">
        <f t="shared" si="66"/>
        <v>0.97019999999999995</v>
      </c>
      <c r="AU145" s="113">
        <f t="shared" si="66"/>
        <v>0.97019999999999995</v>
      </c>
      <c r="AV145" s="113">
        <f t="shared" si="66"/>
        <v>0.97019999999999995</v>
      </c>
    </row>
    <row r="146" spans="1:48">
      <c r="A146" s="199" t="s">
        <v>16</v>
      </c>
      <c r="B146" s="283" t="str">
        <f t="shared" si="62"/>
        <v>CNO</v>
      </c>
      <c r="C146" s="283" t="str">
        <f t="shared" si="62"/>
        <v>Commercial - Other</v>
      </c>
      <c r="E146" s="156">
        <f t="shared" si="63"/>
        <v>0.02</v>
      </c>
      <c r="I146" s="165"/>
      <c r="J146" s="168">
        <f t="shared" si="66"/>
        <v>0.97019999999999995</v>
      </c>
      <c r="K146" s="113">
        <f t="shared" si="66"/>
        <v>0.97019999999999995</v>
      </c>
      <c r="L146" s="113">
        <f t="shared" si="66"/>
        <v>0.97019999999999995</v>
      </c>
      <c r="M146" s="113">
        <f t="shared" si="66"/>
        <v>0.97019999999999995</v>
      </c>
      <c r="N146" s="113">
        <f t="shared" si="66"/>
        <v>0.97019999999999995</v>
      </c>
      <c r="O146" s="113">
        <f t="shared" si="66"/>
        <v>0.97019999999999995</v>
      </c>
      <c r="P146" s="113">
        <f t="shared" si="66"/>
        <v>0.97019999999999995</v>
      </c>
      <c r="Q146" s="113">
        <f t="shared" si="66"/>
        <v>0.97019999999999995</v>
      </c>
      <c r="R146" s="113">
        <f t="shared" si="66"/>
        <v>0.97019999999999995</v>
      </c>
      <c r="S146" s="113">
        <f t="shared" si="66"/>
        <v>0.97019999999999995</v>
      </c>
      <c r="T146" s="113">
        <f t="shared" si="66"/>
        <v>0.97019999999999995</v>
      </c>
      <c r="U146" s="113">
        <f t="shared" si="66"/>
        <v>0.97019999999999995</v>
      </c>
      <c r="V146" s="113">
        <f t="shared" si="66"/>
        <v>0.97019999999999995</v>
      </c>
      <c r="W146" s="113">
        <f t="shared" si="66"/>
        <v>0.97019999999999995</v>
      </c>
      <c r="X146" s="113">
        <f t="shared" si="66"/>
        <v>0.97019999999999995</v>
      </c>
      <c r="Y146" s="113">
        <f t="shared" si="66"/>
        <v>0.97019999999999995</v>
      </c>
      <c r="Z146" s="113">
        <f t="shared" si="66"/>
        <v>0.97019999999999995</v>
      </c>
      <c r="AA146" s="113">
        <f t="shared" si="66"/>
        <v>0.97019999999999995</v>
      </c>
      <c r="AB146" s="113">
        <f t="shared" si="66"/>
        <v>0.97019999999999995</v>
      </c>
      <c r="AC146" s="113">
        <f t="shared" si="66"/>
        <v>0.97019999999999995</v>
      </c>
      <c r="AD146" s="113">
        <f t="shared" si="66"/>
        <v>0.97019999999999995</v>
      </c>
      <c r="AE146" s="113">
        <f t="shared" si="66"/>
        <v>0.97019999999999995</v>
      </c>
      <c r="AF146" s="113">
        <f t="shared" si="66"/>
        <v>0.97019999999999995</v>
      </c>
      <c r="AG146" s="113">
        <f t="shared" si="66"/>
        <v>0.97019999999999995</v>
      </c>
      <c r="AH146" s="113">
        <f t="shared" si="66"/>
        <v>0.97019999999999995</v>
      </c>
      <c r="AI146" s="113">
        <f t="shared" si="65"/>
        <v>0.97019999999999995</v>
      </c>
      <c r="AJ146" s="113">
        <f t="shared" si="65"/>
        <v>0.97019999999999995</v>
      </c>
      <c r="AK146" s="113">
        <f t="shared" si="65"/>
        <v>0.97019999999999995</v>
      </c>
      <c r="AL146" s="113">
        <f t="shared" si="65"/>
        <v>0.97019999999999995</v>
      </c>
      <c r="AM146" s="113">
        <f t="shared" si="65"/>
        <v>0.97019999999999995</v>
      </c>
      <c r="AN146" s="113">
        <f t="shared" si="65"/>
        <v>0.97019999999999995</v>
      </c>
      <c r="AO146" s="113">
        <f t="shared" si="65"/>
        <v>0.97019999999999995</v>
      </c>
      <c r="AP146" s="113">
        <f t="shared" si="65"/>
        <v>0.97019999999999995</v>
      </c>
      <c r="AQ146" s="113">
        <f t="shared" si="65"/>
        <v>0.97019999999999995</v>
      </c>
      <c r="AR146" s="113">
        <f t="shared" si="65"/>
        <v>0.97019999999999995</v>
      </c>
      <c r="AS146" s="113">
        <f t="shared" si="66"/>
        <v>0.97019999999999995</v>
      </c>
      <c r="AT146" s="113">
        <f t="shared" si="66"/>
        <v>0.97019999999999995</v>
      </c>
      <c r="AU146" s="113">
        <f t="shared" si="66"/>
        <v>0.97019999999999995</v>
      </c>
      <c r="AV146" s="113">
        <f t="shared" si="66"/>
        <v>0.97019999999999995</v>
      </c>
    </row>
    <row r="147" spans="1:48">
      <c r="A147" s="199" t="s">
        <v>16</v>
      </c>
      <c r="I147" s="165"/>
      <c r="K147" s="95"/>
    </row>
    <row r="148" spans="1:48" ht="19.5" thickBot="1">
      <c r="A148" s="199" t="s">
        <v>16</v>
      </c>
      <c r="B148" s="174" t="s">
        <v>480</v>
      </c>
      <c r="C148" s="93"/>
      <c r="D148" s="93"/>
      <c r="E148" s="93"/>
      <c r="F148" s="93"/>
      <c r="G148" s="93"/>
      <c r="H148" s="93"/>
      <c r="I148" s="166"/>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93"/>
      <c r="AL148" s="93"/>
      <c r="AM148" s="93"/>
      <c r="AN148" s="93"/>
      <c r="AO148" s="93"/>
      <c r="AP148" s="93"/>
      <c r="AQ148" s="93"/>
      <c r="AR148" s="93"/>
      <c r="AS148" s="93"/>
      <c r="AT148" s="93"/>
      <c r="AU148" s="93"/>
      <c r="AV148" s="93"/>
    </row>
    <row r="149" spans="1:48">
      <c r="A149" s="199" t="s">
        <v>16</v>
      </c>
      <c r="B149" s="173"/>
      <c r="C149" s="173"/>
      <c r="D149" s="173"/>
      <c r="E149" s="173"/>
      <c r="F149" s="173"/>
      <c r="G149" s="173"/>
      <c r="H149" s="173"/>
      <c r="I149" s="172"/>
      <c r="K149" s="95"/>
    </row>
    <row r="150" spans="1:48" ht="15.75" thickBot="1">
      <c r="A150" s="199" t="s">
        <v>16</v>
      </c>
      <c r="B150" s="93" t="s">
        <v>494</v>
      </c>
      <c r="C150" s="173"/>
      <c r="D150" s="173"/>
      <c r="E150" s="173"/>
      <c r="F150" s="173"/>
      <c r="G150" s="173"/>
      <c r="H150" s="173"/>
      <c r="I150" s="172"/>
      <c r="K150" s="95"/>
    </row>
    <row r="151" spans="1:48">
      <c r="A151" s="199" t="s">
        <v>16</v>
      </c>
      <c r="B151" s="95" t="str">
        <f>B92</f>
        <v>CEC</v>
      </c>
      <c r="C151" s="95" t="str">
        <f>C92</f>
        <v>Commercial - Cooling</v>
      </c>
      <c r="D151" s="173"/>
      <c r="E151" s="173"/>
      <c r="F151" s="173"/>
      <c r="G151" s="173"/>
      <c r="H151" s="173"/>
      <c r="I151" s="172"/>
      <c r="J151" s="171">
        <f t="shared" ref="J151:AV157" si="67">J92*J$34/1000</f>
        <v>27.932878870776872</v>
      </c>
      <c r="K151" s="171">
        <f t="shared" si="67"/>
        <v>27.176103384466973</v>
      </c>
      <c r="L151" s="171">
        <f t="shared" si="67"/>
        <v>26.479233144216856</v>
      </c>
      <c r="M151" s="171">
        <f t="shared" si="67"/>
        <v>25.72171165571951</v>
      </c>
      <c r="N151" s="171">
        <f t="shared" si="67"/>
        <v>24.932151052175207</v>
      </c>
      <c r="O151" s="171">
        <f t="shared" si="67"/>
        <v>24.05666806479956</v>
      </c>
      <c r="P151" s="171">
        <f>P92*P$34/1000</f>
        <v>24.280177126559007</v>
      </c>
      <c r="Q151" s="171">
        <f>Q92*Q$34/1000</f>
        <v>24.551158882747405</v>
      </c>
      <c r="R151" s="171">
        <f t="shared" si="67"/>
        <v>24.551158882747405</v>
      </c>
      <c r="S151" s="171">
        <f t="shared" si="67"/>
        <v>24.376323962101832</v>
      </c>
      <c r="T151" s="171">
        <f t="shared" si="67"/>
        <v>24.131204217613064</v>
      </c>
      <c r="U151" s="171">
        <f t="shared" si="67"/>
        <v>23.888967652182259</v>
      </c>
      <c r="V151" s="171">
        <f t="shared" si="67"/>
        <v>23.675295127942196</v>
      </c>
      <c r="W151" s="171">
        <f t="shared" si="67"/>
        <v>23.466430780896903</v>
      </c>
      <c r="X151" s="171">
        <f t="shared" si="67"/>
        <v>23.273731040202463</v>
      </c>
      <c r="Y151" s="171">
        <f t="shared" si="67"/>
        <v>23.078622331297499</v>
      </c>
      <c r="Z151" s="171">
        <f t="shared" si="67"/>
        <v>22.881008784825685</v>
      </c>
      <c r="AA151" s="171">
        <f t="shared" si="67"/>
        <v>22.701227974130784</v>
      </c>
      <c r="AB151" s="171">
        <f t="shared" si="67"/>
        <v>22.505199020413311</v>
      </c>
      <c r="AC151" s="171">
        <f t="shared" si="67"/>
        <v>23.039753365710453</v>
      </c>
      <c r="AD151" s="171">
        <f t="shared" si="67"/>
        <v>23.595387215428755</v>
      </c>
      <c r="AE151" s="171">
        <f t="shared" si="67"/>
        <v>24.166892239026843</v>
      </c>
      <c r="AF151" s="171">
        <f t="shared" si="67"/>
        <v>24.756130412367551</v>
      </c>
      <c r="AG151" s="171">
        <f t="shared" si="67"/>
        <v>25.327141991328421</v>
      </c>
      <c r="AH151" s="171">
        <f t="shared" si="67"/>
        <v>25.90808113573879</v>
      </c>
      <c r="AI151" s="171">
        <f t="shared" si="67"/>
        <v>26.538588654497531</v>
      </c>
      <c r="AJ151" s="171">
        <f t="shared" si="67"/>
        <v>27.196256336863147</v>
      </c>
      <c r="AK151" s="171">
        <f t="shared" si="67"/>
        <v>27.87484802699122</v>
      </c>
      <c r="AL151" s="171">
        <f t="shared" si="67"/>
        <v>28.566573211172912</v>
      </c>
      <c r="AM151" s="171">
        <f t="shared" si="67"/>
        <v>29.358555569366988</v>
      </c>
      <c r="AN151" s="171">
        <f t="shared" si="67"/>
        <v>30.124575041687052</v>
      </c>
      <c r="AO151" s="171">
        <f t="shared" si="67"/>
        <v>30.866878976362802</v>
      </c>
      <c r="AP151" s="171">
        <f t="shared" si="67"/>
        <v>31.587412065089662</v>
      </c>
      <c r="AQ151" s="171">
        <f t="shared" si="67"/>
        <v>32.287870207011785</v>
      </c>
      <c r="AR151" s="171">
        <f t="shared" si="67"/>
        <v>33.149724946909785</v>
      </c>
      <c r="AS151" s="171">
        <f t="shared" si="67"/>
        <v>33.98431748220051</v>
      </c>
      <c r="AT151" s="171">
        <f t="shared" si="67"/>
        <v>34.793929288480584</v>
      </c>
      <c r="AU151" s="171">
        <f t="shared" si="67"/>
        <v>35.580544268680448</v>
      </c>
      <c r="AV151" s="171">
        <f t="shared" si="67"/>
        <v>36.428183145903219</v>
      </c>
    </row>
    <row r="152" spans="1:48">
      <c r="A152" s="199" t="s">
        <v>16</v>
      </c>
      <c r="B152" s="95" t="str">
        <f t="shared" ref="B152:C159" si="68">B93</f>
        <v>CEH</v>
      </c>
      <c r="C152" s="95" t="str">
        <f t="shared" si="68"/>
        <v>Commercial - Space Heating</v>
      </c>
      <c r="D152" s="173"/>
      <c r="E152" s="173"/>
      <c r="F152" s="173"/>
      <c r="G152" s="173"/>
      <c r="H152" s="173"/>
      <c r="I152" s="172"/>
      <c r="J152" s="171">
        <f t="shared" si="67"/>
        <v>1.5703509815003798</v>
      </c>
      <c r="K152" s="171">
        <f t="shared" si="67"/>
        <v>1.7090273735565396</v>
      </c>
      <c r="L152" s="171">
        <f t="shared" si="67"/>
        <v>1.8553745755209725</v>
      </c>
      <c r="M152" s="171">
        <f t="shared" si="67"/>
        <v>2.0018214691521177</v>
      </c>
      <c r="N152" s="171">
        <f t="shared" si="67"/>
        <v>2.1499092887003544</v>
      </c>
      <c r="O152" s="171">
        <f t="shared" si="67"/>
        <v>2.2941963422736769</v>
      </c>
      <c r="P152" s="171">
        <f t="shared" si="67"/>
        <v>2.3155115830448563</v>
      </c>
      <c r="Q152" s="171">
        <f t="shared" si="67"/>
        <v>2.3413541208475031</v>
      </c>
      <c r="R152" s="171">
        <f t="shared" si="67"/>
        <v>2.3413541208475031</v>
      </c>
      <c r="S152" s="171">
        <f t="shared" si="67"/>
        <v>2.3246807546786572</v>
      </c>
      <c r="T152" s="171">
        <f t="shared" si="67"/>
        <v>2.301304582229903</v>
      </c>
      <c r="U152" s="171">
        <f t="shared" si="67"/>
        <v>2.2782033680102383</v>
      </c>
      <c r="V152" s="171">
        <f t="shared" si="67"/>
        <v>2.2578262018027022</v>
      </c>
      <c r="W152" s="171">
        <f t="shared" si="67"/>
        <v>2.2379075738475769</v>
      </c>
      <c r="X152" s="171">
        <f t="shared" si="67"/>
        <v>2.2195305052083349</v>
      </c>
      <c r="Y152" s="171">
        <f t="shared" si="67"/>
        <v>2.2009237020920516</v>
      </c>
      <c r="Z152" s="171">
        <f t="shared" si="67"/>
        <v>2.1820780217892684</v>
      </c>
      <c r="AA152" s="171">
        <f t="shared" si="67"/>
        <v>2.1649329841973524</v>
      </c>
      <c r="AB152" s="171">
        <f t="shared" si="67"/>
        <v>2.1462384207030687</v>
      </c>
      <c r="AC152" s="171">
        <f t="shared" si="67"/>
        <v>2.1972169111749751</v>
      </c>
      <c r="AD152" s="171">
        <f t="shared" si="67"/>
        <v>2.2502056767942831</v>
      </c>
      <c r="AE152" s="171">
        <f t="shared" si="67"/>
        <v>2.3047080181492059</v>
      </c>
      <c r="AF152" s="171">
        <f t="shared" si="67"/>
        <v>2.3609015050595694</v>
      </c>
      <c r="AG152" s="171">
        <f t="shared" si="67"/>
        <v>2.4153567884063434</v>
      </c>
      <c r="AH152" s="171">
        <f t="shared" si="67"/>
        <v>2.4707588273171281</v>
      </c>
      <c r="AI152" s="171">
        <f t="shared" si="67"/>
        <v>2.5308880205793045</v>
      </c>
      <c r="AJ152" s="171">
        <f t="shared" si="67"/>
        <v>2.5936073791891761</v>
      </c>
      <c r="AK152" s="171">
        <f t="shared" si="67"/>
        <v>2.658322183799509</v>
      </c>
      <c r="AL152" s="171">
        <f t="shared" si="67"/>
        <v>2.7242894816453105</v>
      </c>
      <c r="AM152" s="171">
        <f t="shared" si="67"/>
        <v>2.7998179390534572</v>
      </c>
      <c r="AN152" s="171">
        <f t="shared" si="67"/>
        <v>2.872870411107082</v>
      </c>
      <c r="AO152" s="171">
        <f t="shared" si="67"/>
        <v>2.9436612191774789</v>
      </c>
      <c r="AP152" s="171">
        <f t="shared" si="67"/>
        <v>3.0123758213905383</v>
      </c>
      <c r="AQ152" s="171">
        <f t="shared" si="67"/>
        <v>3.0791759494375701</v>
      </c>
      <c r="AR152" s="171">
        <f t="shared" si="67"/>
        <v>3.1613678800290894</v>
      </c>
      <c r="AS152" s="171">
        <f t="shared" si="67"/>
        <v>3.2409599139963605</v>
      </c>
      <c r="AT152" s="171">
        <f t="shared" si="67"/>
        <v>3.3181696273126922</v>
      </c>
      <c r="AU152" s="171">
        <f t="shared" si="67"/>
        <v>3.3931862175358756</v>
      </c>
      <c r="AV152" s="171">
        <f t="shared" si="67"/>
        <v>3.4740224333599161</v>
      </c>
    </row>
    <row r="153" spans="1:48">
      <c r="A153" s="199" t="s">
        <v>16</v>
      </c>
      <c r="B153" s="95" t="str">
        <f t="shared" si="68"/>
        <v>CEK</v>
      </c>
      <c r="C153" s="95" t="str">
        <f t="shared" si="68"/>
        <v>Commercial - Cooking</v>
      </c>
      <c r="D153" s="173"/>
      <c r="E153" s="173"/>
      <c r="F153" s="173"/>
      <c r="G153" s="173"/>
      <c r="H153" s="173"/>
      <c r="I153" s="172"/>
      <c r="J153" s="171">
        <f t="shared" si="67"/>
        <v>1.9788999513059524</v>
      </c>
      <c r="K153" s="171">
        <f t="shared" si="67"/>
        <v>1.9275282817156423</v>
      </c>
      <c r="L153" s="171">
        <f t="shared" si="67"/>
        <v>1.8804538230880816</v>
      </c>
      <c r="M153" s="171">
        <f t="shared" si="67"/>
        <v>1.8291259537816045</v>
      </c>
      <c r="N153" s="171">
        <f t="shared" si="67"/>
        <v>1.7755708627647009</v>
      </c>
      <c r="O153" s="171">
        <f t="shared" si="67"/>
        <v>1.7159413539708162</v>
      </c>
      <c r="P153" s="171">
        <f t="shared" si="67"/>
        <v>1.731884062288825</v>
      </c>
      <c r="Q153" s="171">
        <f t="shared" si="67"/>
        <v>1.7512129568956258</v>
      </c>
      <c r="R153" s="171">
        <f t="shared" si="67"/>
        <v>1.7512129568956258</v>
      </c>
      <c r="S153" s="171">
        <f t="shared" si="67"/>
        <v>1.7387421330206887</v>
      </c>
      <c r="T153" s="171">
        <f t="shared" si="67"/>
        <v>1.7212579533699544</v>
      </c>
      <c r="U153" s="171">
        <f t="shared" si="67"/>
        <v>1.7039794283910612</v>
      </c>
      <c r="V153" s="171">
        <f t="shared" si="67"/>
        <v>1.6887383517979417</v>
      </c>
      <c r="W153" s="171">
        <f t="shared" si="67"/>
        <v>1.6738402383310333</v>
      </c>
      <c r="X153" s="171">
        <f t="shared" si="67"/>
        <v>1.6600951322728561</v>
      </c>
      <c r="Y153" s="171">
        <f t="shared" si="67"/>
        <v>1.6461781965929825</v>
      </c>
      <c r="Z153" s="171">
        <f t="shared" si="67"/>
        <v>1.6320825930130338</v>
      </c>
      <c r="AA153" s="171">
        <f t="shared" si="67"/>
        <v>1.61925898307292</v>
      </c>
      <c r="AB153" s="171">
        <f t="shared" si="67"/>
        <v>1.605276407125438</v>
      </c>
      <c r="AC153" s="171">
        <f t="shared" si="67"/>
        <v>1.6434057068509613</v>
      </c>
      <c r="AD153" s="171">
        <f t="shared" si="67"/>
        <v>1.6830385894192967</v>
      </c>
      <c r="AE153" s="171">
        <f t="shared" si="67"/>
        <v>1.7238035491116566</v>
      </c>
      <c r="AF153" s="171">
        <f t="shared" si="67"/>
        <v>1.7658333990580426</v>
      </c>
      <c r="AG153" s="171">
        <f t="shared" si="67"/>
        <v>1.8065631617706455</v>
      </c>
      <c r="AH153" s="171">
        <f t="shared" si="67"/>
        <v>1.8480010491517662</v>
      </c>
      <c r="AI153" s="171">
        <f t="shared" si="67"/>
        <v>1.892974605860176</v>
      </c>
      <c r="AJ153" s="171">
        <f t="shared" si="67"/>
        <v>1.9398854735789099</v>
      </c>
      <c r="AK153" s="171">
        <f t="shared" si="67"/>
        <v>1.988288832698103</v>
      </c>
      <c r="AL153" s="171">
        <f t="shared" si="67"/>
        <v>2.0376289926040059</v>
      </c>
      <c r="AM153" s="171">
        <f t="shared" si="67"/>
        <v>2.0941204101344773</v>
      </c>
      <c r="AN153" s="171">
        <f t="shared" si="67"/>
        <v>2.1487599174411534</v>
      </c>
      <c r="AO153" s="171">
        <f t="shared" si="67"/>
        <v>2.2017078159320986</v>
      </c>
      <c r="AP153" s="171">
        <f t="shared" si="67"/>
        <v>2.2531028187862083</v>
      </c>
      <c r="AQ153" s="171">
        <f t="shared" si="67"/>
        <v>2.3030658930245917</v>
      </c>
      <c r="AR153" s="171">
        <f t="shared" si="67"/>
        <v>2.3645412471893157</v>
      </c>
      <c r="AS153" s="171">
        <f t="shared" si="67"/>
        <v>2.424072011847294</v>
      </c>
      <c r="AT153" s="171">
        <f t="shared" si="67"/>
        <v>2.4818209226821981</v>
      </c>
      <c r="AU153" s="171">
        <f t="shared" si="67"/>
        <v>2.5379294897764466</v>
      </c>
      <c r="AV153" s="171">
        <f t="shared" si="67"/>
        <v>2.5983908387355821</v>
      </c>
    </row>
    <row r="154" spans="1:48">
      <c r="A154" s="199" t="s">
        <v>16</v>
      </c>
      <c r="B154" s="95" t="str">
        <f t="shared" si="68"/>
        <v>CEL</v>
      </c>
      <c r="C154" s="95" t="str">
        <f t="shared" si="68"/>
        <v>Commercial - Lighting</v>
      </c>
      <c r="D154" s="173"/>
      <c r="E154" s="173"/>
      <c r="F154" s="173"/>
      <c r="G154" s="173"/>
      <c r="H154" s="173"/>
      <c r="I154" s="172"/>
      <c r="J154" s="171">
        <f t="shared" si="67"/>
        <v>24.308054381137783</v>
      </c>
      <c r="K154" s="171">
        <f t="shared" si="67"/>
        <v>23.649484966913224</v>
      </c>
      <c r="L154" s="171">
        <f t="shared" si="67"/>
        <v>23.043046949014595</v>
      </c>
      <c r="M154" s="171">
        <f t="shared" si="67"/>
        <v>22.3838283406334</v>
      </c>
      <c r="N154" s="171">
        <f t="shared" si="67"/>
        <v>21.696728304258773</v>
      </c>
      <c r="O154" s="171">
        <f t="shared" si="67"/>
        <v>20.934855954282259</v>
      </c>
      <c r="P154" s="171">
        <f t="shared" si="67"/>
        <v>21.129360446750084</v>
      </c>
      <c r="Q154" s="171">
        <f t="shared" si="67"/>
        <v>21.365177144921322</v>
      </c>
      <c r="R154" s="171">
        <f t="shared" si="67"/>
        <v>21.365177144921322</v>
      </c>
      <c r="S154" s="171">
        <f t="shared" si="67"/>
        <v>21.213030394189492</v>
      </c>
      <c r="T154" s="171">
        <f t="shared" si="67"/>
        <v>20.999719617792678</v>
      </c>
      <c r="U154" s="171">
        <f t="shared" si="67"/>
        <v>20.788917872908716</v>
      </c>
      <c r="V154" s="171">
        <f t="shared" si="67"/>
        <v>20.602973439361037</v>
      </c>
      <c r="W154" s="171">
        <f t="shared" si="67"/>
        <v>20.421213230191569</v>
      </c>
      <c r="X154" s="171">
        <f t="shared" si="67"/>
        <v>20.253519960990733</v>
      </c>
      <c r="Y154" s="171">
        <f t="shared" si="67"/>
        <v>20.083730333210642</v>
      </c>
      <c r="Z154" s="171">
        <f t="shared" si="67"/>
        <v>19.911760918374853</v>
      </c>
      <c r="AA154" s="171">
        <f t="shared" si="67"/>
        <v>19.755310101283147</v>
      </c>
      <c r="AB154" s="171">
        <f t="shared" si="67"/>
        <v>19.58471964802963</v>
      </c>
      <c r="AC154" s="171">
        <f t="shared" si="67"/>
        <v>20.049905358219736</v>
      </c>
      <c r="AD154" s="171">
        <f t="shared" si="67"/>
        <v>20.533435104560471</v>
      </c>
      <c r="AE154" s="171">
        <f t="shared" si="67"/>
        <v>21.030776436865811</v>
      </c>
      <c r="AF154" s="171">
        <f t="shared" si="67"/>
        <v>21.543549704070756</v>
      </c>
      <c r="AG154" s="171">
        <f t="shared" si="67"/>
        <v>22.040461625604255</v>
      </c>
      <c r="AH154" s="171">
        <f t="shared" si="67"/>
        <v>22.546012821375651</v>
      </c>
      <c r="AI154" s="171">
        <f t="shared" si="67"/>
        <v>23.094699948277491</v>
      </c>
      <c r="AJ154" s="171">
        <f t="shared" si="67"/>
        <v>23.667022688859216</v>
      </c>
      <c r="AK154" s="171">
        <f t="shared" si="67"/>
        <v>24.257554147593982</v>
      </c>
      <c r="AL154" s="171">
        <f t="shared" si="67"/>
        <v>24.859514778708242</v>
      </c>
      <c r="AM154" s="171">
        <f t="shared" si="67"/>
        <v>25.548722300816689</v>
      </c>
      <c r="AN154" s="171">
        <f t="shared" si="67"/>
        <v>26.215336117326913</v>
      </c>
      <c r="AO154" s="171">
        <f t="shared" si="67"/>
        <v>26.861311940116458</v>
      </c>
      <c r="AP154" s="171">
        <f t="shared" si="67"/>
        <v>27.488342099993943</v>
      </c>
      <c r="AQ154" s="171">
        <f t="shared" si="67"/>
        <v>28.097902420801656</v>
      </c>
      <c r="AR154" s="171">
        <f t="shared" si="67"/>
        <v>28.847915048680115</v>
      </c>
      <c r="AS154" s="171">
        <f t="shared" si="67"/>
        <v>29.574203263646851</v>
      </c>
      <c r="AT154" s="171">
        <f t="shared" si="67"/>
        <v>30.278752476268696</v>
      </c>
      <c r="AU154" s="171">
        <f t="shared" si="67"/>
        <v>30.963289140182706</v>
      </c>
      <c r="AV154" s="171">
        <f t="shared" si="67"/>
        <v>31.700930685059554</v>
      </c>
    </row>
    <row r="155" spans="1:48">
      <c r="A155" s="199" t="s">
        <v>16</v>
      </c>
      <c r="B155" s="95" t="str">
        <f t="shared" si="68"/>
        <v>CER</v>
      </c>
      <c r="C155" s="95" t="str">
        <f t="shared" si="68"/>
        <v>Commercial - Refrigeration</v>
      </c>
      <c r="D155" s="173"/>
      <c r="E155" s="173"/>
      <c r="F155" s="173"/>
      <c r="G155" s="173"/>
      <c r="H155" s="173"/>
      <c r="I155" s="172"/>
      <c r="J155" s="171">
        <f t="shared" si="67"/>
        <v>5.9132780747494111</v>
      </c>
      <c r="K155" s="171">
        <f t="shared" si="67"/>
        <v>5.75307174902815</v>
      </c>
      <c r="L155" s="171">
        <f t="shared" si="67"/>
        <v>5.6055471228813083</v>
      </c>
      <c r="M155" s="171">
        <f t="shared" si="67"/>
        <v>5.4451828714983534</v>
      </c>
      <c r="N155" s="171">
        <f t="shared" si="67"/>
        <v>5.2780360683627476</v>
      </c>
      <c r="O155" s="171">
        <f t="shared" si="67"/>
        <v>5.0926998422610916</v>
      </c>
      <c r="P155" s="171">
        <f t="shared" si="67"/>
        <v>5.1400158113928196</v>
      </c>
      <c r="Q155" s="171">
        <f t="shared" si="67"/>
        <v>5.197381558938531</v>
      </c>
      <c r="R155" s="171">
        <f t="shared" si="67"/>
        <v>5.197381558938531</v>
      </c>
      <c r="S155" s="171">
        <f t="shared" si="67"/>
        <v>5.1603697096502135</v>
      </c>
      <c r="T155" s="171">
        <f t="shared" si="67"/>
        <v>5.1084788459308275</v>
      </c>
      <c r="U155" s="171">
        <f t="shared" si="67"/>
        <v>5.0571983396181341</v>
      </c>
      <c r="V155" s="171">
        <f t="shared" si="67"/>
        <v>5.0119647259039741</v>
      </c>
      <c r="W155" s="171">
        <f t="shared" si="67"/>
        <v>4.9677489839572351</v>
      </c>
      <c r="X155" s="171">
        <f t="shared" si="67"/>
        <v>4.926955224140003</v>
      </c>
      <c r="Y155" s="171">
        <f t="shared" si="67"/>
        <v>4.8856514954445904</v>
      </c>
      <c r="Z155" s="171">
        <f t="shared" si="67"/>
        <v>4.843817502713974</v>
      </c>
      <c r="AA155" s="171">
        <f t="shared" si="67"/>
        <v>4.8057586284009854</v>
      </c>
      <c r="AB155" s="171">
        <f t="shared" si="67"/>
        <v>4.7642600875811816</v>
      </c>
      <c r="AC155" s="171">
        <f t="shared" si="67"/>
        <v>4.8774230918111021</v>
      </c>
      <c r="AD155" s="171">
        <f t="shared" si="67"/>
        <v>4.9950485423179325</v>
      </c>
      <c r="AE155" s="171">
        <f t="shared" si="67"/>
        <v>5.1160338564807093</v>
      </c>
      <c r="AF155" s="171">
        <f t="shared" si="67"/>
        <v>5.2407732070983162</v>
      </c>
      <c r="AG155" s="171">
        <f t="shared" si="67"/>
        <v>5.3616540610166679</v>
      </c>
      <c r="AH155" s="171">
        <f t="shared" si="67"/>
        <v>5.4846365405991584</v>
      </c>
      <c r="AI155" s="171">
        <f t="shared" si="67"/>
        <v>5.618112445603038</v>
      </c>
      <c r="AJ155" s="171">
        <f t="shared" si="67"/>
        <v>5.7573380479691618</v>
      </c>
      <c r="AK155" s="171">
        <f t="shared" si="67"/>
        <v>5.9009931785951553</v>
      </c>
      <c r="AL155" s="171">
        <f t="shared" si="67"/>
        <v>6.0474286170723852</v>
      </c>
      <c r="AM155" s="171">
        <f t="shared" si="67"/>
        <v>6.2150880959239156</v>
      </c>
      <c r="AN155" s="171">
        <f t="shared" si="67"/>
        <v>6.3772513362922494</v>
      </c>
      <c r="AO155" s="171">
        <f t="shared" si="67"/>
        <v>6.5343940927558704</v>
      </c>
      <c r="AP155" s="171">
        <f t="shared" si="67"/>
        <v>6.6869280487226339</v>
      </c>
      <c r="AQ155" s="171">
        <f t="shared" si="67"/>
        <v>6.8352122192182554</v>
      </c>
      <c r="AR155" s="171">
        <f t="shared" si="67"/>
        <v>7.0176634001593472</v>
      </c>
      <c r="AS155" s="171">
        <f t="shared" si="67"/>
        <v>7.1943432820689521</v>
      </c>
      <c r="AT155" s="171">
        <f t="shared" si="67"/>
        <v>7.3657348441518291</v>
      </c>
      <c r="AU155" s="171">
        <f t="shared" si="67"/>
        <v>7.5322580706765248</v>
      </c>
      <c r="AV155" s="171">
        <f t="shared" si="67"/>
        <v>7.7116998106838697</v>
      </c>
    </row>
    <row r="156" spans="1:48">
      <c r="A156" s="199" t="s">
        <v>16</v>
      </c>
      <c r="B156" s="95" t="str">
        <f t="shared" si="68"/>
        <v>CEW</v>
      </c>
      <c r="C156" s="95" t="str">
        <f t="shared" si="68"/>
        <v>Commercial - Water Heating</v>
      </c>
      <c r="D156" s="173"/>
      <c r="E156" s="173"/>
      <c r="F156" s="173"/>
      <c r="G156" s="173"/>
      <c r="H156" s="173"/>
      <c r="I156" s="172"/>
      <c r="J156" s="171">
        <f t="shared" si="67"/>
        <v>1.9366218046150063</v>
      </c>
      <c r="K156" s="171">
        <f t="shared" si="67"/>
        <v>2.0740596445755037</v>
      </c>
      <c r="L156" s="171">
        <f t="shared" si="67"/>
        <v>2.220160017822105</v>
      </c>
      <c r="M156" s="171">
        <f t="shared" si="67"/>
        <v>2.3657329739080333</v>
      </c>
      <c r="N156" s="171">
        <f t="shared" si="67"/>
        <v>2.5126916992563944</v>
      </c>
      <c r="O156" s="171">
        <f t="shared" si="67"/>
        <v>2.6547723439938684</v>
      </c>
      <c r="P156" s="171">
        <f t="shared" si="67"/>
        <v>2.6794376747949884</v>
      </c>
      <c r="Q156" s="171">
        <f t="shared" si="67"/>
        <v>2.7093418523027823</v>
      </c>
      <c r="R156" s="171">
        <f t="shared" si="67"/>
        <v>2.7093418523027823</v>
      </c>
      <c r="S156" s="171">
        <f t="shared" si="67"/>
        <v>2.6900479537943105</v>
      </c>
      <c r="T156" s="171">
        <f t="shared" si="67"/>
        <v>2.6629977772327527</v>
      </c>
      <c r="U156" s="171">
        <f t="shared" si="67"/>
        <v>2.6362657737450901</v>
      </c>
      <c r="V156" s="171">
        <f t="shared" si="67"/>
        <v>2.6126859535265989</v>
      </c>
      <c r="W156" s="171">
        <f t="shared" si="67"/>
        <v>2.5896367394505431</v>
      </c>
      <c r="X156" s="171">
        <f t="shared" si="67"/>
        <v>2.5683713696614943</v>
      </c>
      <c r="Y156" s="171">
        <f t="shared" si="67"/>
        <v>2.5468401583117743</v>
      </c>
      <c r="Z156" s="171">
        <f t="shared" si="67"/>
        <v>2.5250325257435899</v>
      </c>
      <c r="AA156" s="171">
        <f t="shared" si="67"/>
        <v>2.5051928237978336</v>
      </c>
      <c r="AB156" s="171">
        <f t="shared" si="67"/>
        <v>2.4835600588800397</v>
      </c>
      <c r="AC156" s="171">
        <f t="shared" si="67"/>
        <v>2.5425507756507089</v>
      </c>
      <c r="AD156" s="171">
        <f t="shared" si="67"/>
        <v>2.603867720027448</v>
      </c>
      <c r="AE156" s="171">
        <f t="shared" si="67"/>
        <v>2.6669361269662213</v>
      </c>
      <c r="AF156" s="171">
        <f t="shared" si="67"/>
        <v>2.7319614747158254</v>
      </c>
      <c r="AG156" s="171">
        <f t="shared" si="67"/>
        <v>2.7949754275975094</v>
      </c>
      <c r="AH156" s="171">
        <f t="shared" si="67"/>
        <v>2.8590849364442801</v>
      </c>
      <c r="AI156" s="171">
        <f t="shared" si="67"/>
        <v>2.9286645606454438</v>
      </c>
      <c r="AJ156" s="171">
        <f t="shared" si="67"/>
        <v>3.0012414432785599</v>
      </c>
      <c r="AK156" s="171">
        <f t="shared" si="67"/>
        <v>3.0761273936921212</v>
      </c>
      <c r="AL156" s="171">
        <f t="shared" si="67"/>
        <v>3.1524626901539219</v>
      </c>
      <c r="AM156" s="171">
        <f t="shared" si="67"/>
        <v>3.2398618618015189</v>
      </c>
      <c r="AN156" s="171">
        <f t="shared" si="67"/>
        <v>3.3243959005386499</v>
      </c>
      <c r="AO156" s="171">
        <f t="shared" si="67"/>
        <v>3.4063128123614699</v>
      </c>
      <c r="AP156" s="171">
        <f t="shared" si="67"/>
        <v>3.4858272036201448</v>
      </c>
      <c r="AQ156" s="171">
        <f t="shared" si="67"/>
        <v>3.5631262251758837</v>
      </c>
      <c r="AR156" s="171">
        <f t="shared" si="67"/>
        <v>3.6582361598458952</v>
      </c>
      <c r="AS156" s="171">
        <f t="shared" si="67"/>
        <v>3.7503375753547017</v>
      </c>
      <c r="AT156" s="171">
        <f t="shared" si="67"/>
        <v>3.8396822438222453</v>
      </c>
      <c r="AU156" s="171">
        <f t="shared" si="67"/>
        <v>3.9264890987524805</v>
      </c>
      <c r="AV156" s="171">
        <f t="shared" si="67"/>
        <v>4.0200302426417167</v>
      </c>
    </row>
    <row r="157" spans="1:48">
      <c r="A157" s="199" t="s">
        <v>16</v>
      </c>
      <c r="B157" s="95" t="str">
        <f t="shared" si="68"/>
        <v>CEG</v>
      </c>
      <c r="C157" s="95" t="str">
        <f t="shared" si="68"/>
        <v>Commercial - Public lights</v>
      </c>
      <c r="D157" s="173"/>
      <c r="E157" s="173"/>
      <c r="F157" s="173"/>
      <c r="G157" s="173"/>
      <c r="H157" s="173"/>
      <c r="I157" s="172"/>
      <c r="J157" s="171">
        <f t="shared" si="67"/>
        <v>10.30055287377321</v>
      </c>
      <c r="K157" s="171">
        <f t="shared" si="67"/>
        <v>10.02148368271801</v>
      </c>
      <c r="L157" s="171">
        <f t="shared" si="67"/>
        <v>9.7645052026600503</v>
      </c>
      <c r="M157" s="171">
        <f t="shared" si="67"/>
        <v>9.4851609151849186</v>
      </c>
      <c r="N157" s="171">
        <f t="shared" si="67"/>
        <v>9.1940018555877732</v>
      </c>
      <c r="O157" s="171">
        <f t="shared" si="67"/>
        <v>8.8711579824850144</v>
      </c>
      <c r="P157" s="171">
        <f t="shared" si="67"/>
        <v>8.9535793798308223</v>
      </c>
      <c r="Q157" s="171">
        <f t="shared" si="67"/>
        <v>9.0535068495470483</v>
      </c>
      <c r="R157" s="171">
        <f t="shared" si="67"/>
        <v>9.0535068495470483</v>
      </c>
      <c r="S157" s="171">
        <f t="shared" si="67"/>
        <v>9.0351321842884627</v>
      </c>
      <c r="T157" s="171">
        <f t="shared" si="67"/>
        <v>8.9923139363058517</v>
      </c>
      <c r="U157" s="171">
        <f t="shared" si="67"/>
        <v>8.9521704146826426</v>
      </c>
      <c r="V157" s="171">
        <f t="shared" si="67"/>
        <v>8.9245341768538147</v>
      </c>
      <c r="W157" s="171">
        <f t="shared" si="67"/>
        <v>8.9007444666415232</v>
      </c>
      <c r="X157" s="171">
        <f t="shared" si="67"/>
        <v>8.8853511375312202</v>
      </c>
      <c r="Y157" s="171">
        <f t="shared" si="67"/>
        <v>8.8715441986930816</v>
      </c>
      <c r="Z157" s="171">
        <f t="shared" si="67"/>
        <v>8.8595018786959567</v>
      </c>
      <c r="AA157" s="171">
        <f t="shared" si="67"/>
        <v>8.8574016261732655</v>
      </c>
      <c r="AB157" s="171">
        <f t="shared" si="67"/>
        <v>8.852306025626028</v>
      </c>
      <c r="AC157" s="171">
        <f t="shared" si="67"/>
        <v>9.0625702693506138</v>
      </c>
      <c r="AD157" s="171">
        <f t="shared" si="67"/>
        <v>9.281126029352631</v>
      </c>
      <c r="AE157" s="171">
        <f t="shared" si="67"/>
        <v>9.5059246351985074</v>
      </c>
      <c r="AF157" s="171">
        <f t="shared" si="67"/>
        <v>9.7376984856613067</v>
      </c>
      <c r="AG157" s="171">
        <f t="shared" ref="K157:AV159" si="69">AG98*AG$34/1000</f>
        <v>9.9623029975588739</v>
      </c>
      <c r="AH157" s="171">
        <f t="shared" si="69"/>
        <v>10.190812467033965</v>
      </c>
      <c r="AI157" s="171">
        <f t="shared" si="69"/>
        <v>10.438819405450632</v>
      </c>
      <c r="AJ157" s="171">
        <f t="shared" si="69"/>
        <v>10.697509656631434</v>
      </c>
      <c r="AK157" s="171">
        <f t="shared" si="69"/>
        <v>10.964430260266699</v>
      </c>
      <c r="AL157" s="171">
        <f t="shared" si="69"/>
        <v>11.236516857255006</v>
      </c>
      <c r="AM157" s="171">
        <f t="shared" si="69"/>
        <v>11.548039105748421</v>
      </c>
      <c r="AN157" s="171">
        <f t="shared" si="69"/>
        <v>11.849348984608636</v>
      </c>
      <c r="AO157" s="171">
        <f t="shared" si="69"/>
        <v>12.141330476876966</v>
      </c>
      <c r="AP157" s="171">
        <f t="shared" si="69"/>
        <v>12.424748517180198</v>
      </c>
      <c r="AQ157" s="171">
        <f t="shared" si="69"/>
        <v>12.700270178855428</v>
      </c>
      <c r="AR157" s="171">
        <f t="shared" si="69"/>
        <v>13.039276374725688</v>
      </c>
      <c r="AS157" s="171">
        <f t="shared" si="69"/>
        <v>13.367559120521237</v>
      </c>
      <c r="AT157" s="171">
        <f t="shared" si="69"/>
        <v>13.686015823110283</v>
      </c>
      <c r="AU157" s="171">
        <f t="shared" si="69"/>
        <v>13.995426840660265</v>
      </c>
      <c r="AV157" s="171">
        <f t="shared" si="69"/>
        <v>14.32884129896334</v>
      </c>
    </row>
    <row r="158" spans="1:48">
      <c r="A158" s="199" t="s">
        <v>16</v>
      </c>
      <c r="B158" s="95" t="str">
        <f t="shared" si="68"/>
        <v>CET</v>
      </c>
      <c r="C158" s="95" t="str">
        <f t="shared" si="68"/>
        <v>Commercial - Public Water</v>
      </c>
      <c r="D158" s="173"/>
      <c r="E158" s="173"/>
      <c r="F158" s="173"/>
      <c r="G158" s="173"/>
      <c r="H158" s="173"/>
      <c r="I158" s="172"/>
      <c r="J158" s="171">
        <f t="shared" ref="J158:J159" si="70">J99*J$34/1000</f>
        <v>3.5593512487513528</v>
      </c>
      <c r="K158" s="171">
        <f t="shared" si="69"/>
        <v>3.4629190197396977</v>
      </c>
      <c r="L158" s="171">
        <f t="shared" si="69"/>
        <v>3.3741202256258949</v>
      </c>
      <c r="M158" s="171">
        <f t="shared" si="69"/>
        <v>3.2775929371744406</v>
      </c>
      <c r="N158" s="171">
        <f t="shared" si="69"/>
        <v>3.176983059718149</v>
      </c>
      <c r="O158" s="171">
        <f t="shared" si="69"/>
        <v>3.0654245097100388</v>
      </c>
      <c r="P158" s="171">
        <f t="shared" si="69"/>
        <v>3.0939051851807302</v>
      </c>
      <c r="Q158" s="171">
        <f t="shared" si="69"/>
        <v>3.1284350758067578</v>
      </c>
      <c r="R158" s="171">
        <f t="shared" si="69"/>
        <v>3.1284350758067578</v>
      </c>
      <c r="S158" s="171">
        <f t="shared" si="69"/>
        <v>3.1220857187834037</v>
      </c>
      <c r="T158" s="171">
        <f t="shared" si="69"/>
        <v>3.1072898931326955</v>
      </c>
      <c r="U158" s="171">
        <f t="shared" si="69"/>
        <v>3.0934183179299066</v>
      </c>
      <c r="V158" s="171">
        <f t="shared" si="69"/>
        <v>3.0838686288178505</v>
      </c>
      <c r="W158" s="171">
        <f t="shared" si="69"/>
        <v>3.0756481055324305</v>
      </c>
      <c r="X158" s="171">
        <f t="shared" si="69"/>
        <v>3.0703289478267601</v>
      </c>
      <c r="Y158" s="171">
        <f t="shared" si="69"/>
        <v>3.0655579665408825</v>
      </c>
      <c r="Z158" s="171">
        <f t="shared" si="69"/>
        <v>3.0613967484737667</v>
      </c>
      <c r="AA158" s="171">
        <f t="shared" si="69"/>
        <v>3.0606710071926009</v>
      </c>
      <c r="AB158" s="171">
        <f t="shared" si="69"/>
        <v>3.0589102247964317</v>
      </c>
      <c r="AC158" s="171">
        <f t="shared" si="69"/>
        <v>3.1315669362992105</v>
      </c>
      <c r="AD158" s="171">
        <f t="shared" si="69"/>
        <v>3.2070887773904468</v>
      </c>
      <c r="AE158" s="171">
        <f t="shared" si="69"/>
        <v>3.284767830955849</v>
      </c>
      <c r="AF158" s="171">
        <f t="shared" si="69"/>
        <v>3.3648571770503835</v>
      </c>
      <c r="AG158" s="171">
        <f t="shared" si="69"/>
        <v>3.4424691615423333</v>
      </c>
      <c r="AH158" s="171">
        <f t="shared" si="69"/>
        <v>3.5214305023067278</v>
      </c>
      <c r="AI158" s="171">
        <f t="shared" si="69"/>
        <v>3.6071291843842666</v>
      </c>
      <c r="AJ158" s="171">
        <f t="shared" si="69"/>
        <v>3.6965194802124262</v>
      </c>
      <c r="AK158" s="171">
        <f t="shared" si="69"/>
        <v>3.7887537704984999</v>
      </c>
      <c r="AL158" s="171">
        <f t="shared" si="69"/>
        <v>3.8827731673820072</v>
      </c>
      <c r="AM158" s="171">
        <f t="shared" si="69"/>
        <v>3.9904195352786358</v>
      </c>
      <c r="AN158" s="171">
        <f t="shared" si="69"/>
        <v>4.0945370236042278</v>
      </c>
      <c r="AO158" s="171">
        <f t="shared" si="69"/>
        <v>4.1954310922870555</v>
      </c>
      <c r="AP158" s="171">
        <f t="shared" si="69"/>
        <v>4.2933660641311864</v>
      </c>
      <c r="AQ158" s="171">
        <f t="shared" si="69"/>
        <v>4.3885724460176121</v>
      </c>
      <c r="AR158" s="171">
        <f t="shared" si="69"/>
        <v>4.5057158791315333</v>
      </c>
      <c r="AS158" s="171">
        <f t="shared" si="69"/>
        <v>4.6191538290658549</v>
      </c>
      <c r="AT158" s="171">
        <f t="shared" si="69"/>
        <v>4.7291963943459789</v>
      </c>
      <c r="AU158" s="171">
        <f t="shared" si="69"/>
        <v>4.8361132273732652</v>
      </c>
      <c r="AV158" s="171">
        <f t="shared" si="69"/>
        <v>4.9513244381748169</v>
      </c>
    </row>
    <row r="159" spans="1:48">
      <c r="A159" s="199" t="s">
        <v>16</v>
      </c>
      <c r="B159" s="95" t="str">
        <f t="shared" si="68"/>
        <v>CEO</v>
      </c>
      <c r="C159" s="95" t="str">
        <f t="shared" si="68"/>
        <v>Commercial - Other</v>
      </c>
      <c r="D159" s="173"/>
      <c r="E159" s="173"/>
      <c r="F159" s="173"/>
      <c r="G159" s="173"/>
      <c r="H159" s="173"/>
      <c r="I159" s="172"/>
      <c r="J159" s="171">
        <f t="shared" si="70"/>
        <v>3.7520368714157861</v>
      </c>
      <c r="K159" s="171">
        <f t="shared" si="69"/>
        <v>3.6828039932440833</v>
      </c>
      <c r="L159" s="171">
        <f t="shared" si="69"/>
        <v>3.6223875766469327</v>
      </c>
      <c r="M159" s="171">
        <f t="shared" si="69"/>
        <v>3.5544521047804305</v>
      </c>
      <c r="N159" s="171">
        <f t="shared" si="69"/>
        <v>3.4828288138961812</v>
      </c>
      <c r="O159" s="171">
        <f t="shared" si="69"/>
        <v>3.3998483491588085</v>
      </c>
      <c r="P159" s="171">
        <f t="shared" si="69"/>
        <v>3.4314361364865476</v>
      </c>
      <c r="Q159" s="171">
        <f t="shared" si="69"/>
        <v>3.4697330807660984</v>
      </c>
      <c r="R159" s="171">
        <f t="shared" si="69"/>
        <v>3.4697330807660984</v>
      </c>
      <c r="S159" s="171">
        <f t="shared" si="69"/>
        <v>3.4450242468273733</v>
      </c>
      <c r="T159" s="171">
        <f t="shared" si="69"/>
        <v>3.4103822940680977</v>
      </c>
      <c r="U159" s="171">
        <f t="shared" si="69"/>
        <v>3.3761478113513954</v>
      </c>
      <c r="V159" s="171">
        <f t="shared" si="69"/>
        <v>3.3459501889357979</v>
      </c>
      <c r="W159" s="171">
        <f t="shared" si="69"/>
        <v>3.3164320901040183</v>
      </c>
      <c r="X159" s="171">
        <f t="shared" si="69"/>
        <v>3.2891984809641914</v>
      </c>
      <c r="Y159" s="171">
        <f t="shared" si="69"/>
        <v>3.2616244204130682</v>
      </c>
      <c r="Z159" s="171">
        <f t="shared" si="69"/>
        <v>3.2336963595555175</v>
      </c>
      <c r="AA159" s="171">
        <f t="shared" si="69"/>
        <v>3.2082885395363414</v>
      </c>
      <c r="AB159" s="171">
        <f t="shared" si="69"/>
        <v>3.1805844238671028</v>
      </c>
      <c r="AC159" s="171">
        <f t="shared" si="69"/>
        <v>3.2561311996507967</v>
      </c>
      <c r="AD159" s="171">
        <f t="shared" si="69"/>
        <v>3.3346570712142678</v>
      </c>
      <c r="AE159" s="171">
        <f t="shared" si="69"/>
        <v>3.4154259626410504</v>
      </c>
      <c r="AF159" s="171">
        <f t="shared" si="69"/>
        <v>3.4987010207454219</v>
      </c>
      <c r="AG159" s="171">
        <f t="shared" si="69"/>
        <v>3.5794001752938156</v>
      </c>
      <c r="AH159" s="171">
        <f t="shared" si="69"/>
        <v>3.6615023594269274</v>
      </c>
      <c r="AI159" s="171">
        <f t="shared" si="69"/>
        <v>3.7506098759379416</v>
      </c>
      <c r="AJ159" s="171">
        <f t="shared" si="69"/>
        <v>3.8435558474317078</v>
      </c>
      <c r="AK159" s="171">
        <f t="shared" si="69"/>
        <v>3.9394589388831234</v>
      </c>
      <c r="AL159" s="171">
        <f t="shared" si="69"/>
        <v>4.037218143074532</v>
      </c>
      <c r="AM159" s="171">
        <f t="shared" si="69"/>
        <v>4.1491463579801104</v>
      </c>
      <c r="AN159" s="171">
        <f t="shared" si="69"/>
        <v>4.2574053251561015</v>
      </c>
      <c r="AO159" s="171">
        <f t="shared" si="69"/>
        <v>4.3623126548030626</v>
      </c>
      <c r="AP159" s="171">
        <f t="shared" si="69"/>
        <v>4.4641431836869359</v>
      </c>
      <c r="AQ159" s="171">
        <f t="shared" si="69"/>
        <v>4.5631365875554204</v>
      </c>
      <c r="AR159" s="171">
        <f t="shared" si="69"/>
        <v>4.6849396322149772</v>
      </c>
      <c r="AS159" s="171">
        <f t="shared" si="69"/>
        <v>4.8028898007788579</v>
      </c>
      <c r="AT159" s="171">
        <f t="shared" si="69"/>
        <v>4.9173095265541162</v>
      </c>
      <c r="AU159" s="171">
        <f t="shared" si="69"/>
        <v>5.0284791878992507</v>
      </c>
      <c r="AV159" s="171">
        <f t="shared" si="69"/>
        <v>5.1482731522855936</v>
      </c>
    </row>
    <row r="160" spans="1:48">
      <c r="A160" s="199" t="s">
        <v>16</v>
      </c>
      <c r="B160" s="173"/>
      <c r="C160" s="173"/>
      <c r="D160" s="173"/>
      <c r="E160" s="173"/>
      <c r="F160" s="173"/>
      <c r="G160" s="173"/>
      <c r="H160" s="173"/>
      <c r="I160" s="172"/>
      <c r="K160" s="95"/>
    </row>
    <row r="161" spans="1:48" ht="15.75" thickBot="1">
      <c r="A161" s="199" t="s">
        <v>16</v>
      </c>
      <c r="B161" s="93" t="s">
        <v>479</v>
      </c>
      <c r="C161" s="93"/>
      <c r="D161" s="93"/>
      <c r="E161" s="93"/>
      <c r="F161" s="93"/>
      <c r="G161" s="93"/>
      <c r="H161" s="93"/>
      <c r="I161" s="165"/>
      <c r="K161" s="95"/>
    </row>
    <row r="162" spans="1:48">
      <c r="A162" s="199" t="s">
        <v>16</v>
      </c>
      <c r="B162" s="95" t="str">
        <f t="shared" ref="B162:B170" si="71">B70</f>
        <v>CEC</v>
      </c>
      <c r="C162" s="95" t="str">
        <f t="shared" ref="C162:C170" si="72">C138</f>
        <v>Commercial - Cooling</v>
      </c>
      <c r="E162" s="114"/>
      <c r="F162" s="114"/>
      <c r="I162" s="165"/>
      <c r="J162" s="171">
        <f t="shared" ref="J162:AV168" si="73">J$35*J70/1000</f>
        <v>111.73151548310749</v>
      </c>
      <c r="K162" s="171">
        <f t="shared" si="73"/>
        <v>108.70441353786788</v>
      </c>
      <c r="L162" s="171">
        <f t="shared" si="73"/>
        <v>105.9169325768674</v>
      </c>
      <c r="M162" s="171">
        <f t="shared" si="73"/>
        <v>102.88684662287802</v>
      </c>
      <c r="N162" s="171">
        <f t="shared" si="73"/>
        <v>99.72860420870083</v>
      </c>
      <c r="O162" s="171">
        <f t="shared" si="73"/>
        <v>96.226672259198224</v>
      </c>
      <c r="P162" s="171">
        <f t="shared" si="73"/>
        <v>95.264405536606247</v>
      </c>
      <c r="Q162" s="171">
        <f>Q$35*Q70/1000</f>
        <v>94.302138814014256</v>
      </c>
      <c r="R162" s="171">
        <f t="shared" si="73"/>
        <v>93.339872091422265</v>
      </c>
      <c r="S162" s="171">
        <f t="shared" si="73"/>
        <v>92.377605368830302</v>
      </c>
      <c r="T162" s="171">
        <f t="shared" si="73"/>
        <v>91.415338646238325</v>
      </c>
      <c r="U162" s="171">
        <f t="shared" si="73"/>
        <v>90.45307192364632</v>
      </c>
      <c r="V162" s="171">
        <f t="shared" si="73"/>
        <v>89.490805201054343</v>
      </c>
      <c r="W162" s="171">
        <f t="shared" si="73"/>
        <v>88.52853847846238</v>
      </c>
      <c r="X162" s="171">
        <f t="shared" si="73"/>
        <v>87.566271755870375</v>
      </c>
      <c r="Y162" s="171">
        <f t="shared" si="73"/>
        <v>86.604005033278398</v>
      </c>
      <c r="Z162" s="171">
        <f t="shared" si="73"/>
        <v>85.641738310686421</v>
      </c>
      <c r="AA162" s="171">
        <f t="shared" si="73"/>
        <v>84.67947158809443</v>
      </c>
      <c r="AB162" s="171">
        <f t="shared" si="73"/>
        <v>83.717204865502438</v>
      </c>
      <c r="AC162" s="171">
        <f t="shared" si="73"/>
        <v>82.754938142910476</v>
      </c>
      <c r="AD162" s="171">
        <f t="shared" si="73"/>
        <v>81.79267142031847</v>
      </c>
      <c r="AE162" s="171">
        <f t="shared" si="73"/>
        <v>80.830404697726493</v>
      </c>
      <c r="AF162" s="171">
        <f t="shared" si="73"/>
        <v>79.868137975134502</v>
      </c>
      <c r="AG162" s="171">
        <f t="shared" si="73"/>
        <v>78.905871252542539</v>
      </c>
      <c r="AH162" s="171">
        <f t="shared" si="73"/>
        <v>77.943604529950534</v>
      </c>
      <c r="AI162" s="171">
        <f t="shared" si="73"/>
        <v>76.981337807358571</v>
      </c>
      <c r="AJ162" s="171">
        <f t="shared" si="73"/>
        <v>76.01907108476658</v>
      </c>
      <c r="AK162" s="171">
        <f t="shared" si="73"/>
        <v>75.056804362174603</v>
      </c>
      <c r="AL162" s="171">
        <f t="shared" si="73"/>
        <v>74.094537639582612</v>
      </c>
      <c r="AM162" s="171">
        <f t="shared" si="73"/>
        <v>73.132270916990635</v>
      </c>
      <c r="AN162" s="171">
        <f t="shared" si="73"/>
        <v>72.170004194398643</v>
      </c>
      <c r="AO162" s="171">
        <f t="shared" si="73"/>
        <v>71.207737471806666</v>
      </c>
      <c r="AP162" s="171">
        <f t="shared" si="73"/>
        <v>70.245470749214689</v>
      </c>
      <c r="AQ162" s="171">
        <f t="shared" si="73"/>
        <v>69.283204026622698</v>
      </c>
      <c r="AR162" s="171">
        <f t="shared" si="73"/>
        <v>68.320937304030707</v>
      </c>
      <c r="AS162" s="171">
        <f t="shared" si="73"/>
        <v>67.358670581438744</v>
      </c>
      <c r="AT162" s="171">
        <f t="shared" si="73"/>
        <v>66.396403858846739</v>
      </c>
      <c r="AU162" s="171">
        <f t="shared" si="73"/>
        <v>65.434137136254762</v>
      </c>
      <c r="AV162" s="171">
        <f t="shared" si="73"/>
        <v>64.471870413662785</v>
      </c>
    </row>
    <row r="163" spans="1:48">
      <c r="A163" s="199" t="s">
        <v>16</v>
      </c>
      <c r="B163" s="95" t="str">
        <f t="shared" si="71"/>
        <v>CEH</v>
      </c>
      <c r="C163" s="95" t="str">
        <f t="shared" si="72"/>
        <v>Commercial - Space Heating</v>
      </c>
      <c r="E163" s="114"/>
      <c r="F163" s="114"/>
      <c r="I163" s="165"/>
      <c r="J163" s="171">
        <f t="shared" si="73"/>
        <v>6.2814039260015191</v>
      </c>
      <c r="K163" s="171">
        <f t="shared" si="73"/>
        <v>6.8361094942261573</v>
      </c>
      <c r="L163" s="171">
        <f t="shared" si="73"/>
        <v>7.4214983020838892</v>
      </c>
      <c r="M163" s="171">
        <f t="shared" si="73"/>
        <v>8.0072858766084689</v>
      </c>
      <c r="N163" s="171">
        <f t="shared" si="73"/>
        <v>8.5996371548014174</v>
      </c>
      <c r="O163" s="171">
        <f t="shared" si="73"/>
        <v>9.1767853690947057</v>
      </c>
      <c r="P163" s="171">
        <f t="shared" si="73"/>
        <v>9.0850175154037593</v>
      </c>
      <c r="Q163" s="171">
        <f t="shared" si="73"/>
        <v>8.9932496617128113</v>
      </c>
      <c r="R163" s="171">
        <f t="shared" si="73"/>
        <v>8.9014818080218632</v>
      </c>
      <c r="S163" s="171">
        <f t="shared" si="73"/>
        <v>8.8097139543309169</v>
      </c>
      <c r="T163" s="171">
        <f t="shared" si="73"/>
        <v>8.7179461006399706</v>
      </c>
      <c r="U163" s="171">
        <f t="shared" si="73"/>
        <v>8.6261782469490207</v>
      </c>
      <c r="V163" s="171">
        <f t="shared" si="73"/>
        <v>8.5344103932580762</v>
      </c>
      <c r="W163" s="171">
        <f t="shared" si="73"/>
        <v>8.4426425395671281</v>
      </c>
      <c r="X163" s="171">
        <f t="shared" si="73"/>
        <v>8.35087468587618</v>
      </c>
      <c r="Y163" s="171">
        <f t="shared" si="73"/>
        <v>8.2591068321852337</v>
      </c>
      <c r="Z163" s="171">
        <f t="shared" si="73"/>
        <v>8.1673389784942874</v>
      </c>
      <c r="AA163" s="171">
        <f t="shared" si="73"/>
        <v>8.0755711248033393</v>
      </c>
      <c r="AB163" s="171">
        <f t="shared" si="73"/>
        <v>7.9838032711123921</v>
      </c>
      <c r="AC163" s="171">
        <f t="shared" si="73"/>
        <v>7.8920354174214458</v>
      </c>
      <c r="AD163" s="171">
        <f t="shared" si="73"/>
        <v>7.8002675637304977</v>
      </c>
      <c r="AE163" s="171">
        <f t="shared" si="73"/>
        <v>7.7084997100395505</v>
      </c>
      <c r="AF163" s="171">
        <f t="shared" si="73"/>
        <v>7.6167318563486042</v>
      </c>
      <c r="AG163" s="171">
        <f t="shared" si="73"/>
        <v>7.524964002657657</v>
      </c>
      <c r="AH163" s="171">
        <f t="shared" si="73"/>
        <v>7.4331961489667089</v>
      </c>
      <c r="AI163" s="171">
        <f t="shared" si="73"/>
        <v>7.3414282952757635</v>
      </c>
      <c r="AJ163" s="171">
        <f t="shared" si="73"/>
        <v>7.2496604415848154</v>
      </c>
      <c r="AK163" s="171">
        <f t="shared" si="73"/>
        <v>7.1578925878938691</v>
      </c>
      <c r="AL163" s="171">
        <f t="shared" si="73"/>
        <v>7.0661247342029219</v>
      </c>
      <c r="AM163" s="171">
        <f t="shared" si="73"/>
        <v>6.9743568805119738</v>
      </c>
      <c r="AN163" s="171">
        <f t="shared" si="73"/>
        <v>6.8825890268210266</v>
      </c>
      <c r="AO163" s="171">
        <f t="shared" si="73"/>
        <v>6.7908211731300803</v>
      </c>
      <c r="AP163" s="171">
        <f t="shared" si="73"/>
        <v>6.6990533194391331</v>
      </c>
      <c r="AQ163" s="171">
        <f t="shared" si="73"/>
        <v>6.607285465748185</v>
      </c>
      <c r="AR163" s="171">
        <f t="shared" si="73"/>
        <v>6.5155176120572387</v>
      </c>
      <c r="AS163" s="171">
        <f t="shared" si="73"/>
        <v>6.4237497583662915</v>
      </c>
      <c r="AT163" s="171">
        <f t="shared" si="73"/>
        <v>6.3319819046753434</v>
      </c>
      <c r="AU163" s="171">
        <f t="shared" si="73"/>
        <v>6.2402140509843971</v>
      </c>
      <c r="AV163" s="171">
        <f t="shared" si="73"/>
        <v>6.1484461972934499</v>
      </c>
    </row>
    <row r="164" spans="1:48">
      <c r="A164" s="199" t="s">
        <v>16</v>
      </c>
      <c r="B164" s="95" t="str">
        <f t="shared" si="71"/>
        <v>CEK</v>
      </c>
      <c r="C164" s="95" t="str">
        <f t="shared" si="72"/>
        <v>Commercial - Cooking</v>
      </c>
      <c r="E164" s="114"/>
      <c r="F164" s="114"/>
      <c r="I164" s="165"/>
      <c r="J164" s="171">
        <f t="shared" si="73"/>
        <v>7.9155998052238097</v>
      </c>
      <c r="K164" s="171">
        <f t="shared" si="73"/>
        <v>7.7101131268625682</v>
      </c>
      <c r="L164" s="171">
        <f t="shared" si="73"/>
        <v>7.5218152923523247</v>
      </c>
      <c r="M164" s="171">
        <f t="shared" si="73"/>
        <v>7.316503815126417</v>
      </c>
      <c r="N164" s="171">
        <f t="shared" si="73"/>
        <v>7.1022834510588035</v>
      </c>
      <c r="O164" s="171">
        <f t="shared" si="73"/>
        <v>6.8637654158832637</v>
      </c>
      <c r="P164" s="171">
        <f t="shared" si="73"/>
        <v>6.7951277617244319</v>
      </c>
      <c r="Q164" s="171">
        <f t="shared" si="73"/>
        <v>6.7264901075655983</v>
      </c>
      <c r="R164" s="171">
        <f t="shared" si="73"/>
        <v>6.6578524534067656</v>
      </c>
      <c r="S164" s="171">
        <f t="shared" si="73"/>
        <v>6.5892147992479337</v>
      </c>
      <c r="T164" s="171">
        <f t="shared" si="73"/>
        <v>6.5205771450891019</v>
      </c>
      <c r="U164" s="171">
        <f t="shared" si="73"/>
        <v>6.4519394909302674</v>
      </c>
      <c r="V164" s="171">
        <f t="shared" si="73"/>
        <v>6.3833018367714356</v>
      </c>
      <c r="W164" s="171">
        <f t="shared" si="73"/>
        <v>6.3146641826126038</v>
      </c>
      <c r="X164" s="171">
        <f t="shared" si="73"/>
        <v>6.2460265284537702</v>
      </c>
      <c r="Y164" s="171">
        <f t="shared" si="73"/>
        <v>6.1773888742949374</v>
      </c>
      <c r="Z164" s="171">
        <f t="shared" si="73"/>
        <v>6.1087512201361047</v>
      </c>
      <c r="AA164" s="171">
        <f t="shared" si="73"/>
        <v>6.040113565977272</v>
      </c>
      <c r="AB164" s="171">
        <f t="shared" si="73"/>
        <v>5.9714759118184384</v>
      </c>
      <c r="AC164" s="171">
        <f t="shared" si="73"/>
        <v>5.9028382576596057</v>
      </c>
      <c r="AD164" s="171">
        <f t="shared" si="73"/>
        <v>5.834200603500773</v>
      </c>
      <c r="AE164" s="171">
        <f t="shared" si="73"/>
        <v>5.7655629493419402</v>
      </c>
      <c r="AF164" s="171">
        <f t="shared" si="73"/>
        <v>5.6969252951831075</v>
      </c>
      <c r="AG164" s="171">
        <f t="shared" si="73"/>
        <v>5.6282876410242748</v>
      </c>
      <c r="AH164" s="171">
        <f t="shared" si="73"/>
        <v>5.5596499868654421</v>
      </c>
      <c r="AI164" s="171">
        <f t="shared" si="73"/>
        <v>5.4910123327066103</v>
      </c>
      <c r="AJ164" s="171">
        <f t="shared" si="73"/>
        <v>5.4223746785477767</v>
      </c>
      <c r="AK164" s="171">
        <f t="shared" si="73"/>
        <v>5.3537370243889448</v>
      </c>
      <c r="AL164" s="171">
        <f t="shared" si="73"/>
        <v>5.2850993702301121</v>
      </c>
      <c r="AM164" s="171">
        <f t="shared" si="73"/>
        <v>5.2164617160712785</v>
      </c>
      <c r="AN164" s="171">
        <f t="shared" si="73"/>
        <v>5.1478240619124467</v>
      </c>
      <c r="AO164" s="171">
        <f t="shared" si="73"/>
        <v>5.079186407753614</v>
      </c>
      <c r="AP164" s="171">
        <f t="shared" si="73"/>
        <v>5.0105487535947812</v>
      </c>
      <c r="AQ164" s="171">
        <f t="shared" si="73"/>
        <v>4.9419110994359476</v>
      </c>
      <c r="AR164" s="171">
        <f t="shared" si="73"/>
        <v>4.8732734452771158</v>
      </c>
      <c r="AS164" s="171">
        <f t="shared" si="73"/>
        <v>4.8046357911182831</v>
      </c>
      <c r="AT164" s="171">
        <f t="shared" si="73"/>
        <v>4.7359981369594495</v>
      </c>
      <c r="AU164" s="171">
        <f t="shared" si="73"/>
        <v>4.6673604828006177</v>
      </c>
      <c r="AV164" s="171">
        <f t="shared" si="73"/>
        <v>4.5987228286417849</v>
      </c>
    </row>
    <row r="165" spans="1:48">
      <c r="A165" s="199" t="s">
        <v>16</v>
      </c>
      <c r="B165" s="95" t="str">
        <f t="shared" si="71"/>
        <v>CEL</v>
      </c>
      <c r="C165" s="95" t="str">
        <f t="shared" si="72"/>
        <v>Commercial - Lighting</v>
      </c>
      <c r="E165" s="114"/>
      <c r="F165" s="114"/>
      <c r="I165" s="165"/>
      <c r="J165" s="171">
        <f t="shared" si="73"/>
        <v>97.232217524551132</v>
      </c>
      <c r="K165" s="171">
        <f t="shared" si="73"/>
        <v>94.597939867652883</v>
      </c>
      <c r="L165" s="171">
        <f t="shared" si="73"/>
        <v>92.172187796058367</v>
      </c>
      <c r="M165" s="171">
        <f t="shared" si="73"/>
        <v>89.5353133625336</v>
      </c>
      <c r="N165" s="171">
        <f t="shared" si="73"/>
        <v>86.786913217035092</v>
      </c>
      <c r="O165" s="171">
        <f t="shared" si="73"/>
        <v>83.739423817129023</v>
      </c>
      <c r="P165" s="171">
        <f t="shared" si="73"/>
        <v>82.902029578957737</v>
      </c>
      <c r="Q165" s="171">
        <f t="shared" si="73"/>
        <v>82.064635340786438</v>
      </c>
      <c r="R165" s="171">
        <f t="shared" si="73"/>
        <v>81.227241102615139</v>
      </c>
      <c r="S165" s="171">
        <f t="shared" si="73"/>
        <v>80.389846864443868</v>
      </c>
      <c r="T165" s="171">
        <f t="shared" si="73"/>
        <v>79.552452626272569</v>
      </c>
      <c r="U165" s="171">
        <f t="shared" si="73"/>
        <v>78.715058388101269</v>
      </c>
      <c r="V165" s="171">
        <f t="shared" si="73"/>
        <v>77.877664149929984</v>
      </c>
      <c r="W165" s="171">
        <f t="shared" si="73"/>
        <v>77.040269911758699</v>
      </c>
      <c r="X165" s="171">
        <f t="shared" si="73"/>
        <v>76.2028756735874</v>
      </c>
      <c r="Y165" s="171">
        <f t="shared" si="73"/>
        <v>75.365481435416115</v>
      </c>
      <c r="Z165" s="171">
        <f t="shared" si="73"/>
        <v>74.528087197244815</v>
      </c>
      <c r="AA165" s="171">
        <f t="shared" si="73"/>
        <v>73.69069295907353</v>
      </c>
      <c r="AB165" s="171">
        <f t="shared" si="73"/>
        <v>72.853298720902245</v>
      </c>
      <c r="AC165" s="171">
        <f t="shared" si="73"/>
        <v>72.01590448273096</v>
      </c>
      <c r="AD165" s="171">
        <f t="shared" si="73"/>
        <v>71.178510244559661</v>
      </c>
      <c r="AE165" s="171">
        <f t="shared" si="73"/>
        <v>70.341116006388361</v>
      </c>
      <c r="AF165" s="171">
        <f t="shared" si="73"/>
        <v>69.503721768217076</v>
      </c>
      <c r="AG165" s="171">
        <f t="shared" si="73"/>
        <v>68.666327530045791</v>
      </c>
      <c r="AH165" s="171">
        <f t="shared" si="73"/>
        <v>67.828933291874492</v>
      </c>
      <c r="AI165" s="171">
        <f t="shared" si="73"/>
        <v>66.991539053703207</v>
      </c>
      <c r="AJ165" s="171">
        <f t="shared" si="73"/>
        <v>66.154144815531907</v>
      </c>
      <c r="AK165" s="171">
        <f t="shared" si="73"/>
        <v>65.316750577360622</v>
      </c>
      <c r="AL165" s="171">
        <f t="shared" si="73"/>
        <v>64.479356339189337</v>
      </c>
      <c r="AM165" s="171">
        <f t="shared" si="73"/>
        <v>63.641962101018038</v>
      </c>
      <c r="AN165" s="171">
        <f t="shared" si="73"/>
        <v>62.804567862846753</v>
      </c>
      <c r="AO165" s="171">
        <f t="shared" si="73"/>
        <v>61.967173624675461</v>
      </c>
      <c r="AP165" s="171">
        <f t="shared" si="73"/>
        <v>61.129779386504175</v>
      </c>
      <c r="AQ165" s="171">
        <f t="shared" si="73"/>
        <v>60.292385148332876</v>
      </c>
      <c r="AR165" s="171">
        <f t="shared" si="73"/>
        <v>59.454990910161584</v>
      </c>
      <c r="AS165" s="171">
        <f t="shared" si="73"/>
        <v>58.617596671990292</v>
      </c>
      <c r="AT165" s="171">
        <f t="shared" si="73"/>
        <v>57.780202433818992</v>
      </c>
      <c r="AU165" s="171">
        <f t="shared" si="73"/>
        <v>56.942808195647714</v>
      </c>
      <c r="AV165" s="171">
        <f t="shared" si="73"/>
        <v>56.105413957476422</v>
      </c>
    </row>
    <row r="166" spans="1:48">
      <c r="A166" s="199" t="s">
        <v>16</v>
      </c>
      <c r="B166" s="95" t="str">
        <f t="shared" si="71"/>
        <v>CER</v>
      </c>
      <c r="C166" s="95" t="str">
        <f t="shared" si="72"/>
        <v>Commercial - Refrigeration</v>
      </c>
      <c r="E166" s="114"/>
      <c r="F166" s="114"/>
      <c r="I166" s="165"/>
      <c r="J166" s="171">
        <f t="shared" si="73"/>
        <v>23.653112298997645</v>
      </c>
      <c r="K166" s="171">
        <f t="shared" si="73"/>
        <v>23.0122869961126</v>
      </c>
      <c r="L166" s="171">
        <f t="shared" si="73"/>
        <v>22.42218849152523</v>
      </c>
      <c r="M166" s="171">
        <f t="shared" si="73"/>
        <v>21.780731485993414</v>
      </c>
      <c r="N166" s="171">
        <f t="shared" si="73"/>
        <v>21.112144273450991</v>
      </c>
      <c r="O166" s="171">
        <f t="shared" si="73"/>
        <v>20.370799369044363</v>
      </c>
      <c r="P166" s="171">
        <f t="shared" si="73"/>
        <v>20.167091375353923</v>
      </c>
      <c r="Q166" s="171">
        <f t="shared" si="73"/>
        <v>19.963383381663476</v>
      </c>
      <c r="R166" s="171">
        <f t="shared" si="73"/>
        <v>19.759675387973033</v>
      </c>
      <c r="S166" s="171">
        <f t="shared" si="73"/>
        <v>19.55596739428259</v>
      </c>
      <c r="T166" s="171">
        <f t="shared" si="73"/>
        <v>19.35225940059215</v>
      </c>
      <c r="U166" s="171">
        <f t="shared" si="73"/>
        <v>19.148551406901699</v>
      </c>
      <c r="V166" s="171">
        <f t="shared" si="73"/>
        <v>18.94484341321126</v>
      </c>
      <c r="W166" s="171">
        <f t="shared" si="73"/>
        <v>18.741135419520816</v>
      </c>
      <c r="X166" s="171">
        <f t="shared" si="73"/>
        <v>18.537427425830369</v>
      </c>
      <c r="Y166" s="171">
        <f t="shared" si="73"/>
        <v>18.333719432139926</v>
      </c>
      <c r="Z166" s="171">
        <f t="shared" si="73"/>
        <v>18.130011438449486</v>
      </c>
      <c r="AA166" s="171">
        <f t="shared" si="73"/>
        <v>17.926303444759036</v>
      </c>
      <c r="AB166" s="171">
        <f t="shared" si="73"/>
        <v>17.722595451068596</v>
      </c>
      <c r="AC166" s="171">
        <f t="shared" si="73"/>
        <v>17.518887457378149</v>
      </c>
      <c r="AD166" s="171">
        <f t="shared" si="73"/>
        <v>17.315179463687706</v>
      </c>
      <c r="AE166" s="171">
        <f t="shared" si="73"/>
        <v>17.111471469997262</v>
      </c>
      <c r="AF166" s="171">
        <f t="shared" si="73"/>
        <v>16.907763476306819</v>
      </c>
      <c r="AG166" s="171">
        <f t="shared" si="73"/>
        <v>16.704055482616376</v>
      </c>
      <c r="AH166" s="171">
        <f t="shared" si="73"/>
        <v>16.500347488925932</v>
      </c>
      <c r="AI166" s="171">
        <f t="shared" si="73"/>
        <v>16.296639495235489</v>
      </c>
      <c r="AJ166" s="171">
        <f t="shared" si="73"/>
        <v>16.092931501545046</v>
      </c>
      <c r="AK166" s="171">
        <f t="shared" si="73"/>
        <v>15.8892235078546</v>
      </c>
      <c r="AL166" s="171">
        <f t="shared" si="73"/>
        <v>15.685515514164157</v>
      </c>
      <c r="AM166" s="171">
        <f t="shared" si="73"/>
        <v>15.481807520473712</v>
      </c>
      <c r="AN166" s="171">
        <f t="shared" si="73"/>
        <v>15.278099526783269</v>
      </c>
      <c r="AO166" s="171">
        <f t="shared" si="73"/>
        <v>15.074391533092825</v>
      </c>
      <c r="AP166" s="171">
        <f t="shared" si="73"/>
        <v>14.870683539402382</v>
      </c>
      <c r="AQ166" s="171">
        <f t="shared" si="73"/>
        <v>14.666975545711937</v>
      </c>
      <c r="AR166" s="171">
        <f t="shared" si="73"/>
        <v>14.463267552021494</v>
      </c>
      <c r="AS166" s="171">
        <f t="shared" si="73"/>
        <v>14.25955955833105</v>
      </c>
      <c r="AT166" s="171">
        <f t="shared" si="73"/>
        <v>14.055851564640605</v>
      </c>
      <c r="AU166" s="171">
        <f t="shared" si="73"/>
        <v>13.852143570950162</v>
      </c>
      <c r="AV166" s="171">
        <f t="shared" si="73"/>
        <v>13.648435577259718</v>
      </c>
    </row>
    <row r="167" spans="1:48">
      <c r="A167" s="199" t="s">
        <v>16</v>
      </c>
      <c r="B167" s="95" t="str">
        <f t="shared" si="71"/>
        <v>CEW</v>
      </c>
      <c r="C167" s="95" t="str">
        <f t="shared" si="72"/>
        <v>Commercial - Water Heating</v>
      </c>
      <c r="E167" s="114"/>
      <c r="F167" s="114"/>
      <c r="I167" s="165"/>
      <c r="J167" s="171">
        <f t="shared" si="73"/>
        <v>7.7464872184600253</v>
      </c>
      <c r="K167" s="171">
        <f t="shared" si="73"/>
        <v>8.2962385783020132</v>
      </c>
      <c r="L167" s="171">
        <f t="shared" si="73"/>
        <v>8.8806400712884201</v>
      </c>
      <c r="M167" s="171">
        <f t="shared" si="73"/>
        <v>9.4629318956321313</v>
      </c>
      <c r="N167" s="171">
        <f t="shared" si="73"/>
        <v>10.050766797025577</v>
      </c>
      <c r="O167" s="171">
        <f t="shared" si="73"/>
        <v>10.619089375975474</v>
      </c>
      <c r="P167" s="171">
        <f t="shared" si="73"/>
        <v>10.51289848221572</v>
      </c>
      <c r="Q167" s="171">
        <f t="shared" si="73"/>
        <v>10.406707588455964</v>
      </c>
      <c r="R167" s="171">
        <f t="shared" si="73"/>
        <v>10.30051669469621</v>
      </c>
      <c r="S167" s="171">
        <f t="shared" si="73"/>
        <v>10.194325800936456</v>
      </c>
      <c r="T167" s="171">
        <f t="shared" si="73"/>
        <v>10.088134907176702</v>
      </c>
      <c r="U167" s="171">
        <f t="shared" si="73"/>
        <v>9.9819440134169444</v>
      </c>
      <c r="V167" s="171">
        <f t="shared" si="73"/>
        <v>9.8757531196571904</v>
      </c>
      <c r="W167" s="171">
        <f t="shared" si="73"/>
        <v>9.7695622258974364</v>
      </c>
      <c r="X167" s="171">
        <f t="shared" si="73"/>
        <v>9.6633713321376806</v>
      </c>
      <c r="Y167" s="171">
        <f t="shared" si="73"/>
        <v>9.5571804383779249</v>
      </c>
      <c r="Z167" s="171">
        <f t="shared" si="73"/>
        <v>9.4509895446181709</v>
      </c>
      <c r="AA167" s="171">
        <f t="shared" si="73"/>
        <v>9.3447986508584169</v>
      </c>
      <c r="AB167" s="171">
        <f t="shared" si="73"/>
        <v>9.2386077570986611</v>
      </c>
      <c r="AC167" s="171">
        <f t="shared" si="73"/>
        <v>9.1324168633389071</v>
      </c>
      <c r="AD167" s="171">
        <f t="shared" si="73"/>
        <v>9.0262259695791514</v>
      </c>
      <c r="AE167" s="171">
        <f t="shared" si="73"/>
        <v>8.9200350758193956</v>
      </c>
      <c r="AF167" s="171">
        <f t="shared" si="73"/>
        <v>8.8138441820596416</v>
      </c>
      <c r="AG167" s="171">
        <f t="shared" si="73"/>
        <v>8.7076532882998876</v>
      </c>
      <c r="AH167" s="171">
        <f t="shared" si="73"/>
        <v>8.6014623945401301</v>
      </c>
      <c r="AI167" s="171">
        <f t="shared" si="73"/>
        <v>8.4952715007803778</v>
      </c>
      <c r="AJ167" s="171">
        <f t="shared" si="73"/>
        <v>8.3890806070206221</v>
      </c>
      <c r="AK167" s="171">
        <f t="shared" si="73"/>
        <v>8.2828897132608681</v>
      </c>
      <c r="AL167" s="171">
        <f t="shared" si="73"/>
        <v>8.1766988195011141</v>
      </c>
      <c r="AM167" s="171">
        <f t="shared" si="73"/>
        <v>8.0705079257413583</v>
      </c>
      <c r="AN167" s="171">
        <f t="shared" si="73"/>
        <v>7.9643170319816035</v>
      </c>
      <c r="AO167" s="171">
        <f t="shared" si="73"/>
        <v>7.8581261382218495</v>
      </c>
      <c r="AP167" s="171">
        <f t="shared" si="73"/>
        <v>7.7519352444620946</v>
      </c>
      <c r="AQ167" s="171">
        <f t="shared" si="73"/>
        <v>7.6457443507023379</v>
      </c>
      <c r="AR167" s="171">
        <f t="shared" si="73"/>
        <v>7.5395534569425839</v>
      </c>
      <c r="AS167" s="171">
        <f t="shared" si="73"/>
        <v>7.4333625631828291</v>
      </c>
      <c r="AT167" s="171">
        <f t="shared" si="73"/>
        <v>7.3271716694230733</v>
      </c>
      <c r="AU167" s="171">
        <f t="shared" si="73"/>
        <v>7.2209807756633193</v>
      </c>
      <c r="AV167" s="171">
        <f t="shared" si="73"/>
        <v>7.1147898819035644</v>
      </c>
    </row>
    <row r="168" spans="1:48">
      <c r="A168" s="199" t="s">
        <v>16</v>
      </c>
      <c r="B168" s="95" t="str">
        <f t="shared" si="71"/>
        <v>CEG</v>
      </c>
      <c r="C168" s="95" t="str">
        <f t="shared" si="72"/>
        <v>Commercial - Public lights</v>
      </c>
      <c r="E168" s="114"/>
      <c r="F168" s="114"/>
      <c r="I168" s="165"/>
      <c r="J168" s="171">
        <f t="shared" si="73"/>
        <v>0</v>
      </c>
      <c r="K168" s="171">
        <f t="shared" si="73"/>
        <v>0</v>
      </c>
      <c r="L168" s="171">
        <f t="shared" si="73"/>
        <v>0</v>
      </c>
      <c r="M168" s="171">
        <f t="shared" si="73"/>
        <v>0</v>
      </c>
      <c r="N168" s="171">
        <f t="shared" si="73"/>
        <v>0</v>
      </c>
      <c r="O168" s="171">
        <f t="shared" si="73"/>
        <v>0</v>
      </c>
      <c r="P168" s="171">
        <f t="shared" si="73"/>
        <v>0</v>
      </c>
      <c r="Q168" s="171">
        <f t="shared" si="73"/>
        <v>0</v>
      </c>
      <c r="R168" s="171">
        <f t="shared" si="73"/>
        <v>0</v>
      </c>
      <c r="S168" s="171">
        <f t="shared" si="73"/>
        <v>0</v>
      </c>
      <c r="T168" s="171">
        <f t="shared" si="73"/>
        <v>0</v>
      </c>
      <c r="U168" s="171">
        <f t="shared" si="73"/>
        <v>0</v>
      </c>
      <c r="V168" s="171">
        <f t="shared" si="73"/>
        <v>0</v>
      </c>
      <c r="W168" s="171">
        <f t="shared" si="73"/>
        <v>0</v>
      </c>
      <c r="X168" s="171">
        <f t="shared" si="73"/>
        <v>0</v>
      </c>
      <c r="Y168" s="171">
        <f t="shared" si="73"/>
        <v>0</v>
      </c>
      <c r="Z168" s="171">
        <f t="shared" si="73"/>
        <v>0</v>
      </c>
      <c r="AA168" s="171">
        <f t="shared" si="73"/>
        <v>0</v>
      </c>
      <c r="AB168" s="171">
        <f t="shared" si="73"/>
        <v>0</v>
      </c>
      <c r="AC168" s="171">
        <f t="shared" si="73"/>
        <v>0</v>
      </c>
      <c r="AD168" s="171">
        <f t="shared" si="73"/>
        <v>0</v>
      </c>
      <c r="AE168" s="171">
        <f t="shared" si="73"/>
        <v>0</v>
      </c>
      <c r="AF168" s="171">
        <f t="shared" ref="AF168:AV168" si="74">AF$35*AF76/1000</f>
        <v>0</v>
      </c>
      <c r="AG168" s="171">
        <f t="shared" si="74"/>
        <v>0</v>
      </c>
      <c r="AH168" s="171">
        <f t="shared" si="74"/>
        <v>0</v>
      </c>
      <c r="AI168" s="171">
        <f t="shared" si="74"/>
        <v>0</v>
      </c>
      <c r="AJ168" s="171">
        <f t="shared" si="74"/>
        <v>0</v>
      </c>
      <c r="AK168" s="171">
        <f t="shared" si="74"/>
        <v>0</v>
      </c>
      <c r="AL168" s="171">
        <f t="shared" si="74"/>
        <v>0</v>
      </c>
      <c r="AM168" s="171">
        <f t="shared" si="74"/>
        <v>0</v>
      </c>
      <c r="AN168" s="171">
        <f t="shared" si="74"/>
        <v>0</v>
      </c>
      <c r="AO168" s="171">
        <f t="shared" si="74"/>
        <v>0</v>
      </c>
      <c r="AP168" s="171">
        <f t="shared" si="74"/>
        <v>0</v>
      </c>
      <c r="AQ168" s="171">
        <f t="shared" si="74"/>
        <v>0</v>
      </c>
      <c r="AR168" s="171">
        <f t="shared" si="74"/>
        <v>0</v>
      </c>
      <c r="AS168" s="171">
        <f t="shared" si="74"/>
        <v>0</v>
      </c>
      <c r="AT168" s="171">
        <f t="shared" si="74"/>
        <v>0</v>
      </c>
      <c r="AU168" s="171">
        <f t="shared" si="74"/>
        <v>0</v>
      </c>
      <c r="AV168" s="171">
        <f t="shared" si="74"/>
        <v>0</v>
      </c>
    </row>
    <row r="169" spans="1:48">
      <c r="A169" s="199" t="s">
        <v>16</v>
      </c>
      <c r="B169" s="95" t="str">
        <f t="shared" si="71"/>
        <v>CET</v>
      </c>
      <c r="C169" s="95" t="str">
        <f t="shared" si="72"/>
        <v>Commercial - Public Water</v>
      </c>
      <c r="E169" s="114"/>
      <c r="F169" s="114"/>
      <c r="I169" s="165"/>
      <c r="J169" s="171">
        <f t="shared" ref="J169:AV170" si="75">J$35*J77/1000</f>
        <v>0</v>
      </c>
      <c r="K169" s="171">
        <f t="shared" si="75"/>
        <v>0</v>
      </c>
      <c r="L169" s="171">
        <f t="shared" si="75"/>
        <v>0</v>
      </c>
      <c r="M169" s="171">
        <f t="shared" si="75"/>
        <v>0</v>
      </c>
      <c r="N169" s="171">
        <f t="shared" si="75"/>
        <v>0</v>
      </c>
      <c r="O169" s="171">
        <f t="shared" si="75"/>
        <v>0</v>
      </c>
      <c r="P169" s="171">
        <f t="shared" si="75"/>
        <v>0</v>
      </c>
      <c r="Q169" s="171">
        <f t="shared" si="75"/>
        <v>0</v>
      </c>
      <c r="R169" s="171">
        <f t="shared" si="75"/>
        <v>0</v>
      </c>
      <c r="S169" s="171">
        <f t="shared" si="75"/>
        <v>0</v>
      </c>
      <c r="T169" s="171">
        <f t="shared" si="75"/>
        <v>0</v>
      </c>
      <c r="U169" s="171">
        <f t="shared" si="75"/>
        <v>0</v>
      </c>
      <c r="V169" s="171">
        <f t="shared" si="75"/>
        <v>0</v>
      </c>
      <c r="W169" s="171">
        <f t="shared" si="75"/>
        <v>0</v>
      </c>
      <c r="X169" s="171">
        <f t="shared" si="75"/>
        <v>0</v>
      </c>
      <c r="Y169" s="171">
        <f t="shared" si="75"/>
        <v>0</v>
      </c>
      <c r="Z169" s="171">
        <f t="shared" si="75"/>
        <v>0</v>
      </c>
      <c r="AA169" s="171">
        <f t="shared" si="75"/>
        <v>0</v>
      </c>
      <c r="AB169" s="171">
        <f t="shared" si="75"/>
        <v>0</v>
      </c>
      <c r="AC169" s="171">
        <f t="shared" si="75"/>
        <v>0</v>
      </c>
      <c r="AD169" s="171">
        <f t="shared" si="75"/>
        <v>0</v>
      </c>
      <c r="AE169" s="171">
        <f t="shared" si="75"/>
        <v>0</v>
      </c>
      <c r="AF169" s="171">
        <f t="shared" si="75"/>
        <v>0</v>
      </c>
      <c r="AG169" s="171">
        <f t="shared" si="75"/>
        <v>0</v>
      </c>
      <c r="AH169" s="171">
        <f t="shared" si="75"/>
        <v>0</v>
      </c>
      <c r="AI169" s="171">
        <f t="shared" si="75"/>
        <v>0</v>
      </c>
      <c r="AJ169" s="171">
        <f t="shared" si="75"/>
        <v>0</v>
      </c>
      <c r="AK169" s="171">
        <f t="shared" si="75"/>
        <v>0</v>
      </c>
      <c r="AL169" s="171">
        <f t="shared" si="75"/>
        <v>0</v>
      </c>
      <c r="AM169" s="171">
        <f t="shared" si="75"/>
        <v>0</v>
      </c>
      <c r="AN169" s="171">
        <f t="shared" si="75"/>
        <v>0</v>
      </c>
      <c r="AO169" s="171">
        <f t="shared" si="75"/>
        <v>0</v>
      </c>
      <c r="AP169" s="171">
        <f t="shared" si="75"/>
        <v>0</v>
      </c>
      <c r="AQ169" s="171">
        <f t="shared" si="75"/>
        <v>0</v>
      </c>
      <c r="AR169" s="171">
        <f t="shared" si="75"/>
        <v>0</v>
      </c>
      <c r="AS169" s="171">
        <f t="shared" si="75"/>
        <v>0</v>
      </c>
      <c r="AT169" s="171">
        <f t="shared" si="75"/>
        <v>0</v>
      </c>
      <c r="AU169" s="171">
        <f t="shared" si="75"/>
        <v>0</v>
      </c>
      <c r="AV169" s="171">
        <f t="shared" si="75"/>
        <v>0</v>
      </c>
    </row>
    <row r="170" spans="1:48">
      <c r="A170" s="199" t="s">
        <v>16</v>
      </c>
      <c r="B170" s="95" t="str">
        <f t="shared" si="71"/>
        <v>CEO</v>
      </c>
      <c r="C170" s="95" t="str">
        <f t="shared" si="72"/>
        <v>Commercial - Other</v>
      </c>
      <c r="E170" s="114"/>
      <c r="F170" s="114"/>
      <c r="I170" s="165"/>
      <c r="J170" s="171">
        <f t="shared" si="75"/>
        <v>15.008147485663144</v>
      </c>
      <c r="K170" s="171">
        <f t="shared" si="75"/>
        <v>14.731215972976331</v>
      </c>
      <c r="L170" s="171">
        <f t="shared" si="75"/>
        <v>14.489550306587729</v>
      </c>
      <c r="M170" s="171">
        <f t="shared" si="75"/>
        <v>14.21780841912172</v>
      </c>
      <c r="N170" s="171">
        <f t="shared" si="75"/>
        <v>13.931315255584725</v>
      </c>
      <c r="O170" s="171">
        <f t="shared" si="75"/>
        <v>13.599393396635232</v>
      </c>
      <c r="P170" s="171">
        <f t="shared" si="75"/>
        <v>13.463399462668882</v>
      </c>
      <c r="Q170" s="171">
        <f t="shared" si="75"/>
        <v>13.327405528702528</v>
      </c>
      <c r="R170" s="171">
        <f t="shared" si="75"/>
        <v>13.191411594736175</v>
      </c>
      <c r="S170" s="171">
        <f t="shared" si="75"/>
        <v>13.055417660769825</v>
      </c>
      <c r="T170" s="171">
        <f t="shared" si="75"/>
        <v>12.919423726803473</v>
      </c>
      <c r="U170" s="171">
        <f t="shared" si="75"/>
        <v>12.783429792837119</v>
      </c>
      <c r="V170" s="171">
        <f t="shared" si="75"/>
        <v>12.647435858870768</v>
      </c>
      <c r="W170" s="171">
        <f t="shared" si="75"/>
        <v>12.511441924904416</v>
      </c>
      <c r="X170" s="171">
        <f t="shared" si="75"/>
        <v>12.37544799093806</v>
      </c>
      <c r="Y170" s="171">
        <f t="shared" si="75"/>
        <v>12.239454056971709</v>
      </c>
      <c r="Z170" s="171">
        <f t="shared" si="75"/>
        <v>12.103460123005357</v>
      </c>
      <c r="AA170" s="171">
        <f t="shared" si="75"/>
        <v>11.967466189039003</v>
      </c>
      <c r="AB170" s="171">
        <f t="shared" si="75"/>
        <v>11.831472255072651</v>
      </c>
      <c r="AC170" s="171">
        <f t="shared" si="75"/>
        <v>11.695478321106298</v>
      </c>
      <c r="AD170" s="171">
        <f t="shared" si="75"/>
        <v>11.559484387139946</v>
      </c>
      <c r="AE170" s="171">
        <f t="shared" si="75"/>
        <v>11.423490453173594</v>
      </c>
      <c r="AF170" s="171">
        <f t="shared" si="75"/>
        <v>11.287496519207242</v>
      </c>
      <c r="AG170" s="171">
        <f t="shared" si="75"/>
        <v>11.151502585240889</v>
      </c>
      <c r="AH170" s="171">
        <f t="shared" si="75"/>
        <v>11.015508651274537</v>
      </c>
      <c r="AI170" s="171">
        <f t="shared" si="75"/>
        <v>10.879514717308187</v>
      </c>
      <c r="AJ170" s="171">
        <f t="shared" si="75"/>
        <v>10.743520783341832</v>
      </c>
      <c r="AK170" s="171">
        <f t="shared" si="75"/>
        <v>10.607526849375478</v>
      </c>
      <c r="AL170" s="171">
        <f t="shared" si="75"/>
        <v>10.471532915409126</v>
      </c>
      <c r="AM170" s="171">
        <f t="shared" si="75"/>
        <v>10.335538981442774</v>
      </c>
      <c r="AN170" s="171">
        <f t="shared" si="75"/>
        <v>10.199545047476422</v>
      </c>
      <c r="AO170" s="171">
        <f t="shared" si="75"/>
        <v>10.063551113510069</v>
      </c>
      <c r="AP170" s="171">
        <f t="shared" si="75"/>
        <v>9.927557179543717</v>
      </c>
      <c r="AQ170" s="171">
        <f t="shared" si="75"/>
        <v>9.7915632455773647</v>
      </c>
      <c r="AR170" s="171">
        <f t="shared" si="75"/>
        <v>9.6555693116110124</v>
      </c>
      <c r="AS170" s="171">
        <f t="shared" si="75"/>
        <v>9.5195753776446601</v>
      </c>
      <c r="AT170" s="171">
        <f t="shared" si="75"/>
        <v>9.383581443678306</v>
      </c>
      <c r="AU170" s="171">
        <f t="shared" si="75"/>
        <v>9.2475875097119555</v>
      </c>
      <c r="AV170" s="171">
        <f t="shared" si="75"/>
        <v>9.1115935757456032</v>
      </c>
    </row>
    <row r="171" spans="1:48">
      <c r="A171" s="199" t="s">
        <v>16</v>
      </c>
      <c r="E171" s="114"/>
      <c r="F171" s="114"/>
      <c r="I171" s="165"/>
      <c r="J171" s="102"/>
      <c r="K171" s="102"/>
      <c r="L171" s="102"/>
      <c r="M171" s="102"/>
      <c r="N171" s="102"/>
      <c r="O171" s="102"/>
      <c r="P171" s="102"/>
      <c r="Q171" s="102"/>
      <c r="R171" s="102"/>
      <c r="S171" s="102"/>
      <c r="T171" s="102"/>
      <c r="U171" s="102"/>
      <c r="V171" s="102"/>
      <c r="W171" s="102"/>
      <c r="X171" s="102"/>
      <c r="Y171" s="102"/>
      <c r="Z171" s="102"/>
      <c r="AA171" s="102"/>
      <c r="AB171" s="102"/>
      <c r="AC171" s="102"/>
      <c r="AD171" s="102"/>
      <c r="AE171" s="102"/>
      <c r="AF171" s="102"/>
      <c r="AG171" s="102"/>
      <c r="AH171" s="102"/>
      <c r="AI171" s="102"/>
      <c r="AJ171" s="102"/>
      <c r="AK171" s="102"/>
      <c r="AL171" s="102"/>
      <c r="AM171" s="102"/>
      <c r="AN171" s="102"/>
      <c r="AO171" s="102"/>
      <c r="AP171" s="102"/>
      <c r="AQ171" s="102"/>
      <c r="AR171" s="102"/>
      <c r="AS171" s="102"/>
      <c r="AT171" s="102"/>
      <c r="AU171" s="102"/>
      <c r="AV171" s="102"/>
    </row>
    <row r="172" spans="1:48">
      <c r="A172" s="199" t="s">
        <v>16</v>
      </c>
      <c r="E172" s="114"/>
      <c r="F172" s="114"/>
      <c r="I172" s="169"/>
      <c r="J172" s="102"/>
      <c r="K172" s="102"/>
      <c r="L172" s="102"/>
      <c r="M172" s="102"/>
      <c r="N172" s="102"/>
      <c r="O172" s="102"/>
      <c r="P172" s="102"/>
      <c r="Q172" s="102"/>
      <c r="R172" s="102"/>
      <c r="S172" s="102"/>
      <c r="T172" s="102"/>
      <c r="U172" s="102"/>
      <c r="V172" s="102"/>
      <c r="W172" s="102"/>
      <c r="X172" s="102"/>
      <c r="Y172" s="102"/>
      <c r="Z172" s="102"/>
      <c r="AA172" s="102"/>
      <c r="AB172" s="102"/>
      <c r="AC172" s="102"/>
      <c r="AD172" s="102"/>
      <c r="AE172" s="102"/>
      <c r="AF172" s="102"/>
      <c r="AG172" s="102"/>
      <c r="AH172" s="102"/>
      <c r="AI172" s="102"/>
      <c r="AJ172" s="102"/>
      <c r="AK172" s="102"/>
      <c r="AL172" s="102"/>
      <c r="AM172" s="102"/>
      <c r="AN172" s="102"/>
      <c r="AO172" s="102"/>
      <c r="AP172" s="102"/>
      <c r="AQ172" s="102"/>
      <c r="AR172" s="102"/>
      <c r="AS172" s="102"/>
      <c r="AT172" s="102"/>
      <c r="AU172" s="102"/>
      <c r="AV172" s="102"/>
    </row>
    <row r="173" spans="1:48" ht="15.75" thickBot="1">
      <c r="A173" s="199" t="s">
        <v>16</v>
      </c>
      <c r="B173" s="170" t="s">
        <v>483</v>
      </c>
      <c r="C173" s="93"/>
      <c r="D173" s="93"/>
      <c r="I173" s="169" t="s">
        <v>109</v>
      </c>
      <c r="J173" s="102"/>
      <c r="K173" s="102"/>
      <c r="L173" s="102"/>
      <c r="M173" s="102"/>
      <c r="N173" s="102"/>
      <c r="O173" s="102"/>
      <c r="P173" s="102"/>
      <c r="Q173" s="102"/>
      <c r="R173" s="102"/>
      <c r="S173" s="102"/>
      <c r="T173" s="102"/>
      <c r="U173" s="102"/>
      <c r="V173" s="102"/>
      <c r="W173" s="102"/>
      <c r="X173" s="102"/>
      <c r="Y173" s="102"/>
      <c r="Z173" s="102"/>
      <c r="AA173" s="102"/>
      <c r="AB173" s="102"/>
      <c r="AC173" s="102"/>
      <c r="AD173" s="102"/>
      <c r="AE173" s="102"/>
      <c r="AF173" s="102"/>
      <c r="AG173" s="102"/>
      <c r="AH173" s="102"/>
      <c r="AI173" s="102"/>
      <c r="AJ173" s="102"/>
      <c r="AK173" s="102"/>
      <c r="AL173" s="102"/>
      <c r="AM173" s="102"/>
      <c r="AN173" s="102"/>
      <c r="AO173" s="102"/>
      <c r="AP173" s="102"/>
      <c r="AQ173" s="102"/>
      <c r="AR173" s="102"/>
      <c r="AS173" s="102"/>
      <c r="AT173" s="102"/>
      <c r="AU173" s="102"/>
      <c r="AV173" s="102"/>
    </row>
    <row r="174" spans="1:48">
      <c r="A174" s="199" t="s">
        <v>16</v>
      </c>
      <c r="B174" s="95" t="str">
        <f t="shared" ref="B174:B182" si="76">B105</f>
        <v>CNC</v>
      </c>
      <c r="C174" s="95" t="str">
        <f t="shared" ref="C174:C182" si="77">C162</f>
        <v>Commercial - Cooling</v>
      </c>
      <c r="E174" s="114"/>
      <c r="F174" s="114"/>
      <c r="I174" s="169"/>
      <c r="J174" s="171">
        <f t="shared" ref="J174:Y182" si="78">INDEX(J$49:J$52,MATCH($I$173,$B$49:$B$52,0),1)*INDEX(J$81:J$89,MATCH($B174,$B$81:$B$89,0))*INDEX(J$105:J$113,MATCH($B174,$B$105:$B$113,0))/1000</f>
        <v>0</v>
      </c>
      <c r="K174" s="171">
        <f t="shared" si="78"/>
        <v>0</v>
      </c>
      <c r="L174" s="171">
        <f t="shared" si="78"/>
        <v>0</v>
      </c>
      <c r="M174" s="171">
        <f t="shared" si="78"/>
        <v>0</v>
      </c>
      <c r="N174" s="171">
        <f t="shared" si="78"/>
        <v>0</v>
      </c>
      <c r="O174" s="171">
        <f t="shared" si="78"/>
        <v>0</v>
      </c>
      <c r="P174" s="171">
        <f t="shared" si="78"/>
        <v>0</v>
      </c>
      <c r="Q174" s="171">
        <f t="shared" si="78"/>
        <v>0</v>
      </c>
      <c r="R174" s="171">
        <f t="shared" si="78"/>
        <v>0</v>
      </c>
      <c r="S174" s="171">
        <f t="shared" si="78"/>
        <v>0</v>
      </c>
      <c r="T174" s="171">
        <f t="shared" si="78"/>
        <v>0</v>
      </c>
      <c r="U174" s="171">
        <f t="shared" si="78"/>
        <v>0</v>
      </c>
      <c r="V174" s="171">
        <f t="shared" si="78"/>
        <v>0</v>
      </c>
      <c r="W174" s="171">
        <f t="shared" si="78"/>
        <v>0</v>
      </c>
      <c r="X174" s="171">
        <f t="shared" si="78"/>
        <v>0</v>
      </c>
      <c r="Y174" s="171">
        <f t="shared" si="78"/>
        <v>0</v>
      </c>
      <c r="Z174" s="171">
        <f t="shared" ref="Z174:AO182" si="79">INDEX(Z$49:Z$52,MATCH($I$173,$B$49:$B$52,0),1)*INDEX(Z$81:Z$89,MATCH($B174,$B$81:$B$89,0))*INDEX(Z$105:Z$113,MATCH($B174,$B$105:$B$113,0))/1000</f>
        <v>0</v>
      </c>
      <c r="AA174" s="171">
        <f t="shared" si="79"/>
        <v>0</v>
      </c>
      <c r="AB174" s="171">
        <f t="shared" si="79"/>
        <v>0</v>
      </c>
      <c r="AC174" s="171">
        <f t="shared" si="79"/>
        <v>0</v>
      </c>
      <c r="AD174" s="171">
        <f t="shared" si="79"/>
        <v>0</v>
      </c>
      <c r="AE174" s="171">
        <f t="shared" si="79"/>
        <v>0</v>
      </c>
      <c r="AF174" s="171">
        <f t="shared" si="79"/>
        <v>0</v>
      </c>
      <c r="AG174" s="171">
        <f t="shared" si="79"/>
        <v>0</v>
      </c>
      <c r="AH174" s="171">
        <f t="shared" si="79"/>
        <v>0</v>
      </c>
      <c r="AI174" s="171">
        <f t="shared" si="79"/>
        <v>0</v>
      </c>
      <c r="AJ174" s="171">
        <f t="shared" si="79"/>
        <v>0</v>
      </c>
      <c r="AK174" s="171">
        <f t="shared" si="79"/>
        <v>0</v>
      </c>
      <c r="AL174" s="171">
        <f t="shared" si="79"/>
        <v>0</v>
      </c>
      <c r="AM174" s="171">
        <f t="shared" si="79"/>
        <v>0</v>
      </c>
      <c r="AN174" s="171">
        <f t="shared" si="79"/>
        <v>0</v>
      </c>
      <c r="AO174" s="171">
        <f t="shared" si="79"/>
        <v>0</v>
      </c>
      <c r="AP174" s="171">
        <f t="shared" ref="AN174:AV182" si="80">INDEX(AP$49:AP$52,MATCH($I$173,$B$49:$B$52,0),1)*INDEX(AP$81:AP$89,MATCH($B174,$B$81:$B$89,0))*INDEX(AP$105:AP$113,MATCH($B174,$B$105:$B$113,0))/1000</f>
        <v>0</v>
      </c>
      <c r="AQ174" s="171">
        <f t="shared" si="80"/>
        <v>0</v>
      </c>
      <c r="AR174" s="171">
        <f t="shared" si="80"/>
        <v>0</v>
      </c>
      <c r="AS174" s="171">
        <f t="shared" si="80"/>
        <v>0</v>
      </c>
      <c r="AT174" s="171">
        <f t="shared" si="80"/>
        <v>0</v>
      </c>
      <c r="AU174" s="171">
        <f t="shared" si="80"/>
        <v>0</v>
      </c>
      <c r="AV174" s="171">
        <f t="shared" si="80"/>
        <v>0</v>
      </c>
    </row>
    <row r="175" spans="1:48">
      <c r="A175" s="199" t="s">
        <v>16</v>
      </c>
      <c r="B175" s="95" t="str">
        <f t="shared" si="76"/>
        <v>CNH</v>
      </c>
      <c r="C175" s="95" t="str">
        <f t="shared" si="77"/>
        <v>Commercial - Space Heating</v>
      </c>
      <c r="E175" s="114"/>
      <c r="F175" s="114"/>
      <c r="I175" s="169"/>
      <c r="J175" s="171">
        <f t="shared" si="78"/>
        <v>0</v>
      </c>
      <c r="K175" s="171">
        <f t="shared" si="78"/>
        <v>0</v>
      </c>
      <c r="L175" s="171">
        <f t="shared" si="78"/>
        <v>0</v>
      </c>
      <c r="M175" s="171">
        <f t="shared" si="78"/>
        <v>0</v>
      </c>
      <c r="N175" s="171">
        <f t="shared" si="78"/>
        <v>0</v>
      </c>
      <c r="O175" s="171">
        <f t="shared" si="78"/>
        <v>0</v>
      </c>
      <c r="P175" s="171">
        <f t="shared" si="78"/>
        <v>0</v>
      </c>
      <c r="Q175" s="171">
        <f t="shared" si="78"/>
        <v>0</v>
      </c>
      <c r="R175" s="171">
        <f t="shared" si="78"/>
        <v>0</v>
      </c>
      <c r="S175" s="171">
        <f t="shared" si="78"/>
        <v>0</v>
      </c>
      <c r="T175" s="171">
        <f t="shared" si="78"/>
        <v>0</v>
      </c>
      <c r="U175" s="171">
        <f t="shared" si="78"/>
        <v>0</v>
      </c>
      <c r="V175" s="171">
        <f t="shared" si="78"/>
        <v>0</v>
      </c>
      <c r="W175" s="171">
        <f t="shared" si="78"/>
        <v>0</v>
      </c>
      <c r="X175" s="171">
        <f t="shared" si="78"/>
        <v>0</v>
      </c>
      <c r="Y175" s="171">
        <f t="shared" si="78"/>
        <v>0</v>
      </c>
      <c r="Z175" s="171">
        <f t="shared" si="79"/>
        <v>0</v>
      </c>
      <c r="AA175" s="171">
        <f t="shared" si="79"/>
        <v>0</v>
      </c>
      <c r="AB175" s="171">
        <f t="shared" si="79"/>
        <v>0</v>
      </c>
      <c r="AC175" s="171">
        <f t="shared" si="79"/>
        <v>0</v>
      </c>
      <c r="AD175" s="171">
        <f t="shared" si="79"/>
        <v>0</v>
      </c>
      <c r="AE175" s="171">
        <f t="shared" si="79"/>
        <v>0</v>
      </c>
      <c r="AF175" s="171">
        <f t="shared" si="79"/>
        <v>0</v>
      </c>
      <c r="AG175" s="171">
        <f t="shared" si="79"/>
        <v>0</v>
      </c>
      <c r="AH175" s="171">
        <f t="shared" si="79"/>
        <v>0</v>
      </c>
      <c r="AI175" s="171">
        <f t="shared" si="79"/>
        <v>0</v>
      </c>
      <c r="AJ175" s="171">
        <f t="shared" si="79"/>
        <v>0</v>
      </c>
      <c r="AK175" s="171">
        <f t="shared" si="79"/>
        <v>0</v>
      </c>
      <c r="AL175" s="171">
        <f t="shared" si="79"/>
        <v>0</v>
      </c>
      <c r="AM175" s="171">
        <f t="shared" si="79"/>
        <v>0</v>
      </c>
      <c r="AN175" s="171">
        <f t="shared" si="80"/>
        <v>0</v>
      </c>
      <c r="AO175" s="171">
        <f t="shared" si="80"/>
        <v>0</v>
      </c>
      <c r="AP175" s="171">
        <f t="shared" si="80"/>
        <v>0</v>
      </c>
      <c r="AQ175" s="171">
        <f t="shared" si="80"/>
        <v>0</v>
      </c>
      <c r="AR175" s="171">
        <f t="shared" si="80"/>
        <v>0</v>
      </c>
      <c r="AS175" s="171">
        <f t="shared" si="80"/>
        <v>0</v>
      </c>
      <c r="AT175" s="171">
        <f t="shared" si="80"/>
        <v>0</v>
      </c>
      <c r="AU175" s="171">
        <f t="shared" si="80"/>
        <v>0</v>
      </c>
      <c r="AV175" s="171">
        <f t="shared" si="80"/>
        <v>0</v>
      </c>
    </row>
    <row r="176" spans="1:48">
      <c r="A176" s="199" t="s">
        <v>16</v>
      </c>
      <c r="B176" s="95" t="str">
        <f t="shared" si="76"/>
        <v>CNK</v>
      </c>
      <c r="C176" s="95" t="str">
        <f t="shared" si="77"/>
        <v>Commercial - Cooking</v>
      </c>
      <c r="E176" s="114"/>
      <c r="F176" s="114"/>
      <c r="I176" s="169"/>
      <c r="J176" s="171">
        <f t="shared" si="78"/>
        <v>0</v>
      </c>
      <c r="K176" s="171">
        <f t="shared" si="78"/>
        <v>0</v>
      </c>
      <c r="L176" s="171">
        <f t="shared" si="78"/>
        <v>0</v>
      </c>
      <c r="M176" s="171">
        <f t="shared" si="78"/>
        <v>0</v>
      </c>
      <c r="N176" s="171">
        <f t="shared" si="78"/>
        <v>0</v>
      </c>
      <c r="O176" s="171">
        <f t="shared" si="78"/>
        <v>0</v>
      </c>
      <c r="P176" s="171">
        <f t="shared" si="78"/>
        <v>0</v>
      </c>
      <c r="Q176" s="171">
        <f t="shared" si="78"/>
        <v>0</v>
      </c>
      <c r="R176" s="171">
        <f t="shared" si="78"/>
        <v>0</v>
      </c>
      <c r="S176" s="171">
        <f t="shared" si="78"/>
        <v>0</v>
      </c>
      <c r="T176" s="171">
        <f t="shared" si="78"/>
        <v>0</v>
      </c>
      <c r="U176" s="171">
        <f t="shared" si="78"/>
        <v>0</v>
      </c>
      <c r="V176" s="171">
        <f t="shared" si="78"/>
        <v>0</v>
      </c>
      <c r="W176" s="171">
        <f t="shared" si="78"/>
        <v>0</v>
      </c>
      <c r="X176" s="171">
        <f t="shared" si="78"/>
        <v>0</v>
      </c>
      <c r="Y176" s="171">
        <f t="shared" si="78"/>
        <v>0</v>
      </c>
      <c r="Z176" s="171">
        <f t="shared" si="79"/>
        <v>0</v>
      </c>
      <c r="AA176" s="171">
        <f t="shared" si="79"/>
        <v>0</v>
      </c>
      <c r="AB176" s="171">
        <f t="shared" si="79"/>
        <v>0</v>
      </c>
      <c r="AC176" s="171">
        <f t="shared" si="79"/>
        <v>0</v>
      </c>
      <c r="AD176" s="171">
        <f t="shared" si="79"/>
        <v>0</v>
      </c>
      <c r="AE176" s="171">
        <f t="shared" si="79"/>
        <v>0</v>
      </c>
      <c r="AF176" s="171">
        <f t="shared" si="79"/>
        <v>0</v>
      </c>
      <c r="AG176" s="171">
        <f t="shared" si="79"/>
        <v>0</v>
      </c>
      <c r="AH176" s="171">
        <f t="shared" si="79"/>
        <v>0</v>
      </c>
      <c r="AI176" s="171">
        <f t="shared" si="79"/>
        <v>0</v>
      </c>
      <c r="AJ176" s="171">
        <f t="shared" si="79"/>
        <v>0</v>
      </c>
      <c r="AK176" s="171">
        <f t="shared" si="79"/>
        <v>0</v>
      </c>
      <c r="AL176" s="171">
        <f t="shared" si="79"/>
        <v>0</v>
      </c>
      <c r="AM176" s="171">
        <f t="shared" si="79"/>
        <v>0</v>
      </c>
      <c r="AN176" s="171">
        <f t="shared" si="80"/>
        <v>0</v>
      </c>
      <c r="AO176" s="171">
        <f t="shared" si="80"/>
        <v>0</v>
      </c>
      <c r="AP176" s="171">
        <f t="shared" si="80"/>
        <v>0</v>
      </c>
      <c r="AQ176" s="171">
        <f t="shared" si="80"/>
        <v>0</v>
      </c>
      <c r="AR176" s="171">
        <f t="shared" si="80"/>
        <v>0</v>
      </c>
      <c r="AS176" s="171">
        <f t="shared" si="80"/>
        <v>0</v>
      </c>
      <c r="AT176" s="171">
        <f t="shared" si="80"/>
        <v>0</v>
      </c>
      <c r="AU176" s="171">
        <f t="shared" si="80"/>
        <v>0</v>
      </c>
      <c r="AV176" s="171">
        <f t="shared" si="80"/>
        <v>0</v>
      </c>
    </row>
    <row r="177" spans="1:48">
      <c r="A177" s="199" t="s">
        <v>16</v>
      </c>
      <c r="B177" s="95" t="str">
        <f t="shared" si="76"/>
        <v>CNL</v>
      </c>
      <c r="C177" s="95" t="str">
        <f t="shared" si="77"/>
        <v>Commercial - Lighting</v>
      </c>
      <c r="E177" s="114"/>
      <c r="F177" s="114"/>
      <c r="I177" s="169"/>
      <c r="J177" s="171">
        <f t="shared" si="78"/>
        <v>0</v>
      </c>
      <c r="K177" s="171">
        <f t="shared" si="78"/>
        <v>0</v>
      </c>
      <c r="L177" s="171">
        <f t="shared" si="78"/>
        <v>0</v>
      </c>
      <c r="M177" s="171">
        <f t="shared" si="78"/>
        <v>0</v>
      </c>
      <c r="N177" s="171">
        <f t="shared" si="78"/>
        <v>0</v>
      </c>
      <c r="O177" s="171">
        <f t="shared" si="78"/>
        <v>0</v>
      </c>
      <c r="P177" s="171">
        <f t="shared" si="78"/>
        <v>0</v>
      </c>
      <c r="Q177" s="171">
        <f t="shared" si="78"/>
        <v>0</v>
      </c>
      <c r="R177" s="171">
        <f t="shared" si="78"/>
        <v>0</v>
      </c>
      <c r="S177" s="171">
        <f t="shared" si="78"/>
        <v>0</v>
      </c>
      <c r="T177" s="171">
        <f t="shared" si="78"/>
        <v>0</v>
      </c>
      <c r="U177" s="171">
        <f t="shared" si="78"/>
        <v>0</v>
      </c>
      <c r="V177" s="171">
        <f t="shared" si="78"/>
        <v>0</v>
      </c>
      <c r="W177" s="171">
        <f t="shared" si="78"/>
        <v>0</v>
      </c>
      <c r="X177" s="171">
        <f t="shared" si="78"/>
        <v>0</v>
      </c>
      <c r="Y177" s="171">
        <f t="shared" si="78"/>
        <v>0</v>
      </c>
      <c r="Z177" s="171">
        <f t="shared" si="79"/>
        <v>0</v>
      </c>
      <c r="AA177" s="171">
        <f t="shared" si="79"/>
        <v>0</v>
      </c>
      <c r="AB177" s="171">
        <f t="shared" si="79"/>
        <v>0</v>
      </c>
      <c r="AC177" s="171">
        <f t="shared" si="79"/>
        <v>0</v>
      </c>
      <c r="AD177" s="171">
        <f t="shared" si="79"/>
        <v>0</v>
      </c>
      <c r="AE177" s="171">
        <f t="shared" si="79"/>
        <v>0</v>
      </c>
      <c r="AF177" s="171">
        <f t="shared" si="79"/>
        <v>0</v>
      </c>
      <c r="AG177" s="171">
        <f t="shared" si="79"/>
        <v>0</v>
      </c>
      <c r="AH177" s="171">
        <f t="shared" si="79"/>
        <v>0</v>
      </c>
      <c r="AI177" s="171">
        <f t="shared" si="79"/>
        <v>0</v>
      </c>
      <c r="AJ177" s="171">
        <f t="shared" si="79"/>
        <v>0</v>
      </c>
      <c r="AK177" s="171">
        <f t="shared" si="79"/>
        <v>0</v>
      </c>
      <c r="AL177" s="171">
        <f t="shared" si="79"/>
        <v>0</v>
      </c>
      <c r="AM177" s="171">
        <f t="shared" si="79"/>
        <v>0</v>
      </c>
      <c r="AN177" s="171">
        <f t="shared" si="80"/>
        <v>0</v>
      </c>
      <c r="AO177" s="171">
        <f t="shared" si="80"/>
        <v>0</v>
      </c>
      <c r="AP177" s="171">
        <f t="shared" si="80"/>
        <v>0</v>
      </c>
      <c r="AQ177" s="171">
        <f t="shared" si="80"/>
        <v>0</v>
      </c>
      <c r="AR177" s="171">
        <f t="shared" si="80"/>
        <v>0</v>
      </c>
      <c r="AS177" s="171">
        <f t="shared" si="80"/>
        <v>0</v>
      </c>
      <c r="AT177" s="171">
        <f t="shared" si="80"/>
        <v>0</v>
      </c>
      <c r="AU177" s="171">
        <f t="shared" si="80"/>
        <v>0</v>
      </c>
      <c r="AV177" s="171">
        <f t="shared" si="80"/>
        <v>0</v>
      </c>
    </row>
    <row r="178" spans="1:48">
      <c r="A178" s="199" t="s">
        <v>16</v>
      </c>
      <c r="B178" s="95" t="str">
        <f t="shared" si="76"/>
        <v>CNR</v>
      </c>
      <c r="C178" s="95" t="str">
        <f t="shared" si="77"/>
        <v>Commercial - Refrigeration</v>
      </c>
      <c r="E178" s="114"/>
      <c r="F178" s="114"/>
      <c r="I178" s="169"/>
      <c r="J178" s="171">
        <f t="shared" si="78"/>
        <v>0</v>
      </c>
      <c r="K178" s="171">
        <f t="shared" si="78"/>
        <v>0</v>
      </c>
      <c r="L178" s="171">
        <f t="shared" si="78"/>
        <v>0</v>
      </c>
      <c r="M178" s="171">
        <f t="shared" si="78"/>
        <v>0</v>
      </c>
      <c r="N178" s="171">
        <f t="shared" si="78"/>
        <v>0</v>
      </c>
      <c r="O178" s="171">
        <f t="shared" si="78"/>
        <v>0</v>
      </c>
      <c r="P178" s="171">
        <f t="shared" si="78"/>
        <v>0</v>
      </c>
      <c r="Q178" s="171">
        <f t="shared" si="78"/>
        <v>0</v>
      </c>
      <c r="R178" s="171">
        <f t="shared" si="78"/>
        <v>0</v>
      </c>
      <c r="S178" s="171">
        <f t="shared" si="78"/>
        <v>0</v>
      </c>
      <c r="T178" s="171">
        <f t="shared" si="78"/>
        <v>0</v>
      </c>
      <c r="U178" s="171">
        <f t="shared" si="78"/>
        <v>0</v>
      </c>
      <c r="V178" s="171">
        <f t="shared" si="78"/>
        <v>0</v>
      </c>
      <c r="W178" s="171">
        <f t="shared" si="78"/>
        <v>0</v>
      </c>
      <c r="X178" s="171">
        <f t="shared" si="78"/>
        <v>0</v>
      </c>
      <c r="Y178" s="171">
        <f t="shared" si="78"/>
        <v>0</v>
      </c>
      <c r="Z178" s="171">
        <f t="shared" si="79"/>
        <v>0</v>
      </c>
      <c r="AA178" s="171">
        <f t="shared" si="79"/>
        <v>0</v>
      </c>
      <c r="AB178" s="171">
        <f t="shared" si="79"/>
        <v>0</v>
      </c>
      <c r="AC178" s="171">
        <f t="shared" si="79"/>
        <v>0</v>
      </c>
      <c r="AD178" s="171">
        <f t="shared" si="79"/>
        <v>0</v>
      </c>
      <c r="AE178" s="171">
        <f t="shared" si="79"/>
        <v>0</v>
      </c>
      <c r="AF178" s="171">
        <f t="shared" si="79"/>
        <v>0</v>
      </c>
      <c r="AG178" s="171">
        <f t="shared" si="79"/>
        <v>0</v>
      </c>
      <c r="AH178" s="171">
        <f t="shared" si="79"/>
        <v>0</v>
      </c>
      <c r="AI178" s="171">
        <f t="shared" si="79"/>
        <v>0</v>
      </c>
      <c r="AJ178" s="171">
        <f t="shared" si="79"/>
        <v>0</v>
      </c>
      <c r="AK178" s="171">
        <f t="shared" si="79"/>
        <v>0</v>
      </c>
      <c r="AL178" s="171">
        <f t="shared" si="79"/>
        <v>0</v>
      </c>
      <c r="AM178" s="171">
        <f t="shared" si="79"/>
        <v>0</v>
      </c>
      <c r="AN178" s="171">
        <f t="shared" si="80"/>
        <v>0</v>
      </c>
      <c r="AO178" s="171">
        <f t="shared" si="80"/>
        <v>0</v>
      </c>
      <c r="AP178" s="171">
        <f t="shared" si="80"/>
        <v>0</v>
      </c>
      <c r="AQ178" s="171">
        <f t="shared" si="80"/>
        <v>0</v>
      </c>
      <c r="AR178" s="171">
        <f t="shared" si="80"/>
        <v>0</v>
      </c>
      <c r="AS178" s="171">
        <f t="shared" si="80"/>
        <v>0</v>
      </c>
      <c r="AT178" s="171">
        <f t="shared" si="80"/>
        <v>0</v>
      </c>
      <c r="AU178" s="171">
        <f t="shared" si="80"/>
        <v>0</v>
      </c>
      <c r="AV178" s="171">
        <f t="shared" si="80"/>
        <v>0</v>
      </c>
    </row>
    <row r="179" spans="1:48">
      <c r="A179" s="199" t="s">
        <v>16</v>
      </c>
      <c r="B179" s="95" t="str">
        <f t="shared" si="76"/>
        <v>CNW</v>
      </c>
      <c r="C179" s="95" t="str">
        <f t="shared" si="77"/>
        <v>Commercial - Water Heating</v>
      </c>
      <c r="E179" s="114"/>
      <c r="F179" s="114"/>
      <c r="I179" s="169"/>
      <c r="J179" s="171">
        <f t="shared" si="78"/>
        <v>0</v>
      </c>
      <c r="K179" s="171">
        <f t="shared" si="78"/>
        <v>0</v>
      </c>
      <c r="L179" s="171">
        <f t="shared" si="78"/>
        <v>0</v>
      </c>
      <c r="M179" s="171">
        <f t="shared" si="78"/>
        <v>0</v>
      </c>
      <c r="N179" s="171">
        <f t="shared" si="78"/>
        <v>0</v>
      </c>
      <c r="O179" s="171">
        <f t="shared" si="78"/>
        <v>0</v>
      </c>
      <c r="P179" s="171">
        <f t="shared" si="78"/>
        <v>0</v>
      </c>
      <c r="Q179" s="171">
        <f t="shared" si="78"/>
        <v>0</v>
      </c>
      <c r="R179" s="171">
        <f t="shared" si="78"/>
        <v>0</v>
      </c>
      <c r="S179" s="171">
        <f t="shared" si="78"/>
        <v>0</v>
      </c>
      <c r="T179" s="171">
        <f t="shared" si="78"/>
        <v>0</v>
      </c>
      <c r="U179" s="171">
        <f t="shared" si="78"/>
        <v>0</v>
      </c>
      <c r="V179" s="171">
        <f t="shared" si="78"/>
        <v>0</v>
      </c>
      <c r="W179" s="171">
        <f t="shared" si="78"/>
        <v>0</v>
      </c>
      <c r="X179" s="171">
        <f t="shared" si="78"/>
        <v>0</v>
      </c>
      <c r="Y179" s="171">
        <f t="shared" si="78"/>
        <v>0</v>
      </c>
      <c r="Z179" s="171">
        <f t="shared" si="79"/>
        <v>0</v>
      </c>
      <c r="AA179" s="171">
        <f t="shared" si="79"/>
        <v>0</v>
      </c>
      <c r="AB179" s="171">
        <f t="shared" si="79"/>
        <v>0</v>
      </c>
      <c r="AC179" s="171">
        <f t="shared" si="79"/>
        <v>0</v>
      </c>
      <c r="AD179" s="171">
        <f t="shared" si="79"/>
        <v>0</v>
      </c>
      <c r="AE179" s="171">
        <f t="shared" si="79"/>
        <v>0</v>
      </c>
      <c r="AF179" s="171">
        <f t="shared" si="79"/>
        <v>0</v>
      </c>
      <c r="AG179" s="171">
        <f t="shared" si="79"/>
        <v>0</v>
      </c>
      <c r="AH179" s="171">
        <f t="shared" si="79"/>
        <v>0</v>
      </c>
      <c r="AI179" s="171">
        <f t="shared" si="79"/>
        <v>0</v>
      </c>
      <c r="AJ179" s="171">
        <f t="shared" si="79"/>
        <v>0</v>
      </c>
      <c r="AK179" s="171">
        <f t="shared" si="79"/>
        <v>0</v>
      </c>
      <c r="AL179" s="171">
        <f t="shared" si="79"/>
        <v>0</v>
      </c>
      <c r="AM179" s="171">
        <f t="shared" si="79"/>
        <v>0</v>
      </c>
      <c r="AN179" s="171">
        <f t="shared" si="80"/>
        <v>0</v>
      </c>
      <c r="AO179" s="171">
        <f t="shared" si="80"/>
        <v>0</v>
      </c>
      <c r="AP179" s="171">
        <f t="shared" si="80"/>
        <v>0</v>
      </c>
      <c r="AQ179" s="171">
        <f t="shared" si="80"/>
        <v>0</v>
      </c>
      <c r="AR179" s="171">
        <f t="shared" si="80"/>
        <v>0</v>
      </c>
      <c r="AS179" s="171">
        <f t="shared" si="80"/>
        <v>0</v>
      </c>
      <c r="AT179" s="171">
        <f t="shared" si="80"/>
        <v>0</v>
      </c>
      <c r="AU179" s="171">
        <f t="shared" si="80"/>
        <v>0</v>
      </c>
      <c r="AV179" s="171">
        <f t="shared" si="80"/>
        <v>0</v>
      </c>
    </row>
    <row r="180" spans="1:48">
      <c r="A180" s="199" t="s">
        <v>16</v>
      </c>
      <c r="B180" s="95" t="str">
        <f t="shared" si="76"/>
        <v>CNG</v>
      </c>
      <c r="C180" s="95" t="str">
        <f t="shared" si="77"/>
        <v>Commercial - Public lights</v>
      </c>
      <c r="E180" s="114"/>
      <c r="F180" s="114"/>
      <c r="I180" s="169"/>
      <c r="J180" s="171">
        <f t="shared" si="78"/>
        <v>0</v>
      </c>
      <c r="K180" s="171">
        <f t="shared" si="78"/>
        <v>0</v>
      </c>
      <c r="L180" s="171">
        <f t="shared" si="78"/>
        <v>0</v>
      </c>
      <c r="M180" s="171">
        <f t="shared" si="78"/>
        <v>0</v>
      </c>
      <c r="N180" s="171">
        <f t="shared" si="78"/>
        <v>0</v>
      </c>
      <c r="O180" s="171">
        <f t="shared" si="78"/>
        <v>0</v>
      </c>
      <c r="P180" s="171">
        <f t="shared" si="78"/>
        <v>0</v>
      </c>
      <c r="Q180" s="171">
        <f t="shared" si="78"/>
        <v>0</v>
      </c>
      <c r="R180" s="171">
        <f t="shared" si="78"/>
        <v>0</v>
      </c>
      <c r="S180" s="171">
        <f t="shared" si="78"/>
        <v>0</v>
      </c>
      <c r="T180" s="171">
        <f t="shared" si="78"/>
        <v>0</v>
      </c>
      <c r="U180" s="171">
        <f t="shared" si="78"/>
        <v>0</v>
      </c>
      <c r="V180" s="171">
        <f t="shared" si="78"/>
        <v>0</v>
      </c>
      <c r="W180" s="171">
        <f t="shared" si="78"/>
        <v>0</v>
      </c>
      <c r="X180" s="171">
        <f t="shared" si="78"/>
        <v>0</v>
      </c>
      <c r="Y180" s="171">
        <f t="shared" si="78"/>
        <v>0</v>
      </c>
      <c r="Z180" s="171">
        <f t="shared" si="79"/>
        <v>0</v>
      </c>
      <c r="AA180" s="171">
        <f t="shared" si="79"/>
        <v>0</v>
      </c>
      <c r="AB180" s="171">
        <f t="shared" si="79"/>
        <v>0</v>
      </c>
      <c r="AC180" s="171">
        <f t="shared" si="79"/>
        <v>0</v>
      </c>
      <c r="AD180" s="171">
        <f t="shared" si="79"/>
        <v>0</v>
      </c>
      <c r="AE180" s="171">
        <f t="shared" si="79"/>
        <v>0</v>
      </c>
      <c r="AF180" s="171">
        <f t="shared" si="79"/>
        <v>0</v>
      </c>
      <c r="AG180" s="171">
        <f t="shared" si="79"/>
        <v>0</v>
      </c>
      <c r="AH180" s="171">
        <f t="shared" si="79"/>
        <v>0</v>
      </c>
      <c r="AI180" s="171">
        <f t="shared" si="79"/>
        <v>0</v>
      </c>
      <c r="AJ180" s="171">
        <f t="shared" si="79"/>
        <v>0</v>
      </c>
      <c r="AK180" s="171">
        <f t="shared" si="79"/>
        <v>0</v>
      </c>
      <c r="AL180" s="171">
        <f t="shared" si="79"/>
        <v>0</v>
      </c>
      <c r="AM180" s="171">
        <f t="shared" si="79"/>
        <v>0</v>
      </c>
      <c r="AN180" s="171">
        <f t="shared" si="80"/>
        <v>0</v>
      </c>
      <c r="AO180" s="171">
        <f t="shared" si="80"/>
        <v>0</v>
      </c>
      <c r="AP180" s="171">
        <f t="shared" si="80"/>
        <v>0</v>
      </c>
      <c r="AQ180" s="171">
        <f t="shared" si="80"/>
        <v>0</v>
      </c>
      <c r="AR180" s="171">
        <f t="shared" si="80"/>
        <v>0</v>
      </c>
      <c r="AS180" s="171">
        <f t="shared" si="80"/>
        <v>0</v>
      </c>
      <c r="AT180" s="171">
        <f t="shared" si="80"/>
        <v>0</v>
      </c>
      <c r="AU180" s="171">
        <f t="shared" si="80"/>
        <v>0</v>
      </c>
      <c r="AV180" s="171">
        <f t="shared" si="80"/>
        <v>0</v>
      </c>
    </row>
    <row r="181" spans="1:48">
      <c r="A181" s="199" t="s">
        <v>16</v>
      </c>
      <c r="B181" s="95" t="str">
        <f t="shared" si="76"/>
        <v>CNT</v>
      </c>
      <c r="C181" s="95" t="str">
        <f t="shared" si="77"/>
        <v>Commercial - Public Water</v>
      </c>
      <c r="E181" s="114"/>
      <c r="F181" s="114"/>
      <c r="I181" s="169"/>
      <c r="J181" s="171">
        <f t="shared" si="78"/>
        <v>0</v>
      </c>
      <c r="K181" s="171">
        <f t="shared" si="78"/>
        <v>0</v>
      </c>
      <c r="L181" s="171">
        <f t="shared" si="78"/>
        <v>0</v>
      </c>
      <c r="M181" s="171">
        <f t="shared" si="78"/>
        <v>0</v>
      </c>
      <c r="N181" s="171">
        <f t="shared" si="78"/>
        <v>0</v>
      </c>
      <c r="O181" s="171">
        <f t="shared" si="78"/>
        <v>0</v>
      </c>
      <c r="P181" s="171">
        <f t="shared" si="78"/>
        <v>0</v>
      </c>
      <c r="Q181" s="171">
        <f t="shared" si="78"/>
        <v>0</v>
      </c>
      <c r="R181" s="171">
        <f t="shared" si="78"/>
        <v>0</v>
      </c>
      <c r="S181" s="171">
        <f t="shared" si="78"/>
        <v>0</v>
      </c>
      <c r="T181" s="171">
        <f t="shared" si="78"/>
        <v>0</v>
      </c>
      <c r="U181" s="171">
        <f t="shared" si="78"/>
        <v>0</v>
      </c>
      <c r="V181" s="171">
        <f t="shared" si="78"/>
        <v>0</v>
      </c>
      <c r="W181" s="171">
        <f t="shared" si="78"/>
        <v>0</v>
      </c>
      <c r="X181" s="171">
        <f t="shared" si="78"/>
        <v>0</v>
      </c>
      <c r="Y181" s="171">
        <f t="shared" si="78"/>
        <v>0</v>
      </c>
      <c r="Z181" s="171">
        <f t="shared" si="79"/>
        <v>0</v>
      </c>
      <c r="AA181" s="171">
        <f t="shared" si="79"/>
        <v>0</v>
      </c>
      <c r="AB181" s="171">
        <f t="shared" si="79"/>
        <v>0</v>
      </c>
      <c r="AC181" s="171">
        <f t="shared" si="79"/>
        <v>0</v>
      </c>
      <c r="AD181" s="171">
        <f t="shared" si="79"/>
        <v>0</v>
      </c>
      <c r="AE181" s="171">
        <f t="shared" si="79"/>
        <v>0</v>
      </c>
      <c r="AF181" s="171">
        <f t="shared" si="79"/>
        <v>0</v>
      </c>
      <c r="AG181" s="171">
        <f t="shared" si="79"/>
        <v>0</v>
      </c>
      <c r="AH181" s="171">
        <f t="shared" si="79"/>
        <v>0</v>
      </c>
      <c r="AI181" s="171">
        <f t="shared" si="79"/>
        <v>0</v>
      </c>
      <c r="AJ181" s="171">
        <f t="shared" si="79"/>
        <v>0</v>
      </c>
      <c r="AK181" s="171">
        <f t="shared" si="79"/>
        <v>0</v>
      </c>
      <c r="AL181" s="171">
        <f t="shared" si="79"/>
        <v>0</v>
      </c>
      <c r="AM181" s="171">
        <f t="shared" si="79"/>
        <v>0</v>
      </c>
      <c r="AN181" s="171">
        <f t="shared" si="80"/>
        <v>0</v>
      </c>
      <c r="AO181" s="171">
        <f t="shared" si="80"/>
        <v>0</v>
      </c>
      <c r="AP181" s="171">
        <f t="shared" si="80"/>
        <v>0</v>
      </c>
      <c r="AQ181" s="171">
        <f t="shared" si="80"/>
        <v>0</v>
      </c>
      <c r="AR181" s="171">
        <f t="shared" si="80"/>
        <v>0</v>
      </c>
      <c r="AS181" s="171">
        <f t="shared" si="80"/>
        <v>0</v>
      </c>
      <c r="AT181" s="171">
        <f t="shared" si="80"/>
        <v>0</v>
      </c>
      <c r="AU181" s="171">
        <f t="shared" si="80"/>
        <v>0</v>
      </c>
      <c r="AV181" s="171">
        <f t="shared" si="80"/>
        <v>0</v>
      </c>
    </row>
    <row r="182" spans="1:48">
      <c r="A182" s="199" t="s">
        <v>16</v>
      </c>
      <c r="B182" s="95" t="str">
        <f t="shared" si="76"/>
        <v>CNO</v>
      </c>
      <c r="C182" s="95" t="str">
        <f t="shared" si="77"/>
        <v>Commercial - Other</v>
      </c>
      <c r="E182" s="114"/>
      <c r="F182" s="114"/>
      <c r="I182" s="169"/>
      <c r="J182" s="171">
        <f t="shared" si="78"/>
        <v>0</v>
      </c>
      <c r="K182" s="171">
        <f t="shared" si="78"/>
        <v>0</v>
      </c>
      <c r="L182" s="171">
        <f t="shared" si="78"/>
        <v>0</v>
      </c>
      <c r="M182" s="171">
        <f t="shared" si="78"/>
        <v>0</v>
      </c>
      <c r="N182" s="171">
        <f t="shared" si="78"/>
        <v>0</v>
      </c>
      <c r="O182" s="171">
        <f t="shared" si="78"/>
        <v>0</v>
      </c>
      <c r="P182" s="171">
        <f t="shared" si="78"/>
        <v>0</v>
      </c>
      <c r="Q182" s="171">
        <f t="shared" si="78"/>
        <v>0</v>
      </c>
      <c r="R182" s="171">
        <f t="shared" si="78"/>
        <v>0</v>
      </c>
      <c r="S182" s="171">
        <f t="shared" si="78"/>
        <v>0</v>
      </c>
      <c r="T182" s="171">
        <f t="shared" si="78"/>
        <v>0</v>
      </c>
      <c r="U182" s="171">
        <f t="shared" si="78"/>
        <v>0</v>
      </c>
      <c r="V182" s="171">
        <f t="shared" si="78"/>
        <v>0</v>
      </c>
      <c r="W182" s="171">
        <f t="shared" si="78"/>
        <v>0</v>
      </c>
      <c r="X182" s="171">
        <f t="shared" si="78"/>
        <v>0</v>
      </c>
      <c r="Y182" s="171">
        <f t="shared" si="78"/>
        <v>0</v>
      </c>
      <c r="Z182" s="171">
        <f t="shared" si="79"/>
        <v>0</v>
      </c>
      <c r="AA182" s="171">
        <f t="shared" si="79"/>
        <v>0</v>
      </c>
      <c r="AB182" s="171">
        <f t="shared" si="79"/>
        <v>0</v>
      </c>
      <c r="AC182" s="171">
        <f t="shared" si="79"/>
        <v>0</v>
      </c>
      <c r="AD182" s="171">
        <f t="shared" si="79"/>
        <v>0</v>
      </c>
      <c r="AE182" s="171">
        <f t="shared" si="79"/>
        <v>0</v>
      </c>
      <c r="AF182" s="171">
        <f t="shared" si="79"/>
        <v>0</v>
      </c>
      <c r="AG182" s="171">
        <f t="shared" si="79"/>
        <v>0</v>
      </c>
      <c r="AH182" s="171">
        <f t="shared" si="79"/>
        <v>0</v>
      </c>
      <c r="AI182" s="171">
        <f t="shared" si="79"/>
        <v>0</v>
      </c>
      <c r="AJ182" s="171">
        <f t="shared" si="79"/>
        <v>0</v>
      </c>
      <c r="AK182" s="171">
        <f t="shared" si="79"/>
        <v>0</v>
      </c>
      <c r="AL182" s="171">
        <f t="shared" si="79"/>
        <v>0</v>
      </c>
      <c r="AM182" s="171">
        <f t="shared" si="79"/>
        <v>0</v>
      </c>
      <c r="AN182" s="171">
        <f t="shared" si="80"/>
        <v>0</v>
      </c>
      <c r="AO182" s="171">
        <f t="shared" si="80"/>
        <v>0</v>
      </c>
      <c r="AP182" s="171">
        <f t="shared" si="80"/>
        <v>0</v>
      </c>
      <c r="AQ182" s="171">
        <f t="shared" si="80"/>
        <v>0</v>
      </c>
      <c r="AR182" s="171">
        <f t="shared" si="80"/>
        <v>0</v>
      </c>
      <c r="AS182" s="171">
        <f t="shared" si="80"/>
        <v>0</v>
      </c>
      <c r="AT182" s="171">
        <f t="shared" si="80"/>
        <v>0</v>
      </c>
      <c r="AU182" s="171">
        <f t="shared" si="80"/>
        <v>0</v>
      </c>
      <c r="AV182" s="171">
        <f t="shared" si="80"/>
        <v>0</v>
      </c>
    </row>
    <row r="183" spans="1:48">
      <c r="A183" s="199" t="s">
        <v>16</v>
      </c>
      <c r="E183" s="114"/>
      <c r="F183" s="114"/>
      <c r="I183" s="169"/>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row>
    <row r="184" spans="1:48">
      <c r="A184" s="199" t="s">
        <v>16</v>
      </c>
      <c r="E184" s="114"/>
      <c r="F184" s="114"/>
      <c r="I184" s="169"/>
      <c r="J184" s="171"/>
      <c r="K184" s="171"/>
      <c r="L184" s="171"/>
      <c r="M184" s="171"/>
      <c r="N184" s="171"/>
      <c r="O184" s="171"/>
      <c r="P184" s="171"/>
      <c r="Q184" s="171"/>
      <c r="R184" s="171"/>
      <c r="S184" s="171"/>
      <c r="T184" s="171"/>
      <c r="U184" s="171"/>
      <c r="V184" s="171"/>
      <c r="W184" s="171"/>
      <c r="X184" s="171"/>
      <c r="Y184" s="171"/>
      <c r="Z184" s="171"/>
      <c r="AA184" s="171"/>
      <c r="AB184" s="171"/>
      <c r="AC184" s="171"/>
      <c r="AD184" s="171"/>
      <c r="AE184" s="171"/>
      <c r="AF184" s="171"/>
      <c r="AG184" s="171"/>
      <c r="AH184" s="171"/>
      <c r="AI184" s="171"/>
      <c r="AJ184" s="171"/>
      <c r="AK184" s="171"/>
      <c r="AL184" s="171"/>
      <c r="AM184" s="171"/>
      <c r="AN184" s="171"/>
      <c r="AO184" s="171"/>
      <c r="AP184" s="171"/>
      <c r="AQ184" s="171"/>
      <c r="AR184" s="171"/>
      <c r="AS184" s="171"/>
      <c r="AT184" s="171"/>
      <c r="AU184" s="171"/>
      <c r="AV184" s="171"/>
    </row>
    <row r="185" spans="1:48" ht="15.75" thickBot="1">
      <c r="A185" s="199" t="s">
        <v>16</v>
      </c>
      <c r="B185" s="93" t="s">
        <v>484</v>
      </c>
      <c r="C185" s="93"/>
      <c r="D185" s="93"/>
      <c r="E185" s="93"/>
      <c r="F185" s="93"/>
      <c r="G185" s="93"/>
      <c r="H185" s="93"/>
      <c r="I185" s="169" t="s">
        <v>231</v>
      </c>
      <c r="J185" s="171"/>
      <c r="K185" s="171"/>
      <c r="L185" s="171"/>
      <c r="M185" s="171"/>
      <c r="N185" s="171"/>
      <c r="O185" s="171"/>
      <c r="P185" s="171"/>
      <c r="Q185" s="171"/>
      <c r="R185" s="171"/>
      <c r="S185" s="171"/>
      <c r="T185" s="171"/>
      <c r="U185" s="171"/>
      <c r="V185" s="171"/>
      <c r="W185" s="171"/>
      <c r="X185" s="171"/>
      <c r="Y185" s="171"/>
      <c r="Z185" s="171"/>
      <c r="AA185" s="171"/>
      <c r="AB185" s="171"/>
      <c r="AC185" s="171"/>
      <c r="AD185" s="171"/>
      <c r="AE185" s="171"/>
      <c r="AF185" s="171"/>
      <c r="AG185" s="171"/>
      <c r="AH185" s="171"/>
      <c r="AI185" s="171"/>
      <c r="AJ185" s="171"/>
      <c r="AK185" s="171"/>
      <c r="AL185" s="171"/>
      <c r="AM185" s="171"/>
      <c r="AN185" s="171"/>
      <c r="AO185" s="171"/>
      <c r="AP185" s="171"/>
      <c r="AQ185" s="171"/>
      <c r="AR185" s="171"/>
      <c r="AS185" s="171"/>
      <c r="AT185" s="171"/>
      <c r="AU185" s="171"/>
      <c r="AV185" s="171"/>
    </row>
    <row r="186" spans="1:48">
      <c r="A186" s="199" t="s">
        <v>16</v>
      </c>
      <c r="B186" s="95" t="str">
        <f t="shared" ref="B186:C194" si="81">B174</f>
        <v>CNC</v>
      </c>
      <c r="C186" s="95" t="str">
        <f t="shared" si="81"/>
        <v>Commercial - Cooling</v>
      </c>
      <c r="E186" s="114"/>
      <c r="F186" s="114"/>
      <c r="I186" s="169"/>
      <c r="J186" s="171">
        <f t="shared" ref="J186:Y194" si="82">INDEX(J$49:J$52,MATCH($I$185,$B$49:$B$52,0),1)*INDEX(J$81:J$89,MATCH($B186,$B$81:$B$89,0))*INDEX(J$116:J$124,MATCH($B186,$B$116:$B$124,0))/1000</f>
        <v>0</v>
      </c>
      <c r="K186" s="171">
        <f t="shared" si="82"/>
        <v>0</v>
      </c>
      <c r="L186" s="171">
        <f t="shared" si="82"/>
        <v>0</v>
      </c>
      <c r="M186" s="171">
        <f t="shared" si="82"/>
        <v>0</v>
      </c>
      <c r="N186" s="171">
        <f t="shared" si="82"/>
        <v>0</v>
      </c>
      <c r="O186" s="171">
        <f t="shared" si="82"/>
        <v>0</v>
      </c>
      <c r="P186" s="171">
        <f>INDEX(P$49:P$52,MATCH($I$185,$B$49:$B$52,0),1)*INDEX(P$81:P$89,MATCH($B186,$B$81:$B$89,0))*INDEX(P$116:P$124,MATCH($B186,$B$116:$B$124,0))/1000</f>
        <v>1.8563029696297695</v>
      </c>
      <c r="Q186" s="171">
        <f t="shared" si="82"/>
        <v>3.902496716975357</v>
      </c>
      <c r="R186" s="171">
        <f t="shared" si="82"/>
        <v>4.864763439567338</v>
      </c>
      <c r="S186" s="171">
        <f t="shared" si="82"/>
        <v>7.6278262705618154</v>
      </c>
      <c r="T186" s="171">
        <f t="shared" si="82"/>
        <v>10.189731743711409</v>
      </c>
      <c r="U186" s="171">
        <f t="shared" si="82"/>
        <v>12.850571977682341</v>
      </c>
      <c r="V186" s="171">
        <f>INDEX(V$49:V$52,MATCH($I$185,$B$49:$B$52,0),1)*INDEX(V$81:V$89,MATCH($B186,$B$81:$B$89,0))*INDEX(V$116:V$124,MATCH($B186,$B$116:$B$124,0))/1000</f>
        <v>15.732728700910927</v>
      </c>
      <c r="W186" s="171">
        <f t="shared" si="82"/>
        <v>18.746573662780566</v>
      </c>
      <c r="X186" s="171">
        <f t="shared" si="82"/>
        <v>21.957168433317648</v>
      </c>
      <c r="Y186" s="171">
        <f t="shared" si="82"/>
        <v>25.292345663921555</v>
      </c>
      <c r="Z186" s="171">
        <f t="shared" ref="Z186:AO194" si="83">INDEX(Z$49:Z$52,MATCH($I$185,$B$49:$B$52,0),1)*INDEX(Z$81:Z$89,MATCH($B186,$B$81:$B$89,0))*INDEX(Z$116:Z$124,MATCH($B186,$B$116:$B$124,0))/1000</f>
        <v>28.763305613441954</v>
      </c>
      <c r="AA186" s="171">
        <f t="shared" si="83"/>
        <v>32.488156665483764</v>
      </c>
      <c r="AB186" s="171">
        <f t="shared" si="83"/>
        <v>36.310523243368543</v>
      </c>
      <c r="AC186" s="171">
        <f t="shared" si="83"/>
        <v>36.310523243368543</v>
      </c>
      <c r="AD186" s="171">
        <f t="shared" si="83"/>
        <v>36.310523243368543</v>
      </c>
      <c r="AE186" s="171">
        <f t="shared" si="83"/>
        <v>36.310523243368543</v>
      </c>
      <c r="AF186" s="171">
        <f t="shared" si="83"/>
        <v>36.310523243368543</v>
      </c>
      <c r="AG186" s="171">
        <f t="shared" si="83"/>
        <v>36.310523243368543</v>
      </c>
      <c r="AH186" s="171">
        <f t="shared" si="83"/>
        <v>36.310523243368543</v>
      </c>
      <c r="AI186" s="171">
        <f t="shared" si="83"/>
        <v>36.310523243368543</v>
      </c>
      <c r="AJ186" s="171">
        <f t="shared" si="83"/>
        <v>36.310523243368543</v>
      </c>
      <c r="AK186" s="171">
        <f t="shared" si="83"/>
        <v>36.310523243368543</v>
      </c>
      <c r="AL186" s="171">
        <f t="shared" si="83"/>
        <v>36.310523243368543</v>
      </c>
      <c r="AM186" s="171">
        <f t="shared" si="83"/>
        <v>36.310523243368543</v>
      </c>
      <c r="AN186" s="171">
        <f t="shared" si="83"/>
        <v>36.310523243368543</v>
      </c>
      <c r="AO186" s="171">
        <f t="shared" si="83"/>
        <v>36.310523243368543</v>
      </c>
      <c r="AP186" s="171">
        <f t="shared" ref="AN186:AV194" si="84">INDEX(AP$49:AP$52,MATCH($I$185,$B$49:$B$52,0),1)*INDEX(AP$81:AP$89,MATCH($B186,$B$81:$B$89,0))*INDEX(AP$116:AP$124,MATCH($B186,$B$116:$B$124,0))/1000</f>
        <v>36.310523243368543</v>
      </c>
      <c r="AQ186" s="171">
        <f t="shared" si="84"/>
        <v>36.310523243368543</v>
      </c>
      <c r="AR186" s="171">
        <f t="shared" si="84"/>
        <v>36.310523243368543</v>
      </c>
      <c r="AS186" s="171">
        <f t="shared" si="84"/>
        <v>36.310523243368543</v>
      </c>
      <c r="AT186" s="171">
        <f t="shared" si="84"/>
        <v>36.310523243368543</v>
      </c>
      <c r="AU186" s="171">
        <f t="shared" si="84"/>
        <v>36.310523243368543</v>
      </c>
      <c r="AV186" s="171">
        <f t="shared" si="84"/>
        <v>36.310523243368543</v>
      </c>
    </row>
    <row r="187" spans="1:48">
      <c r="A187" s="199" t="s">
        <v>16</v>
      </c>
      <c r="B187" s="95" t="str">
        <f t="shared" si="81"/>
        <v>CNH</v>
      </c>
      <c r="C187" s="95" t="str">
        <f t="shared" si="81"/>
        <v>Commercial - Space Heating</v>
      </c>
      <c r="E187" s="114"/>
      <c r="F187" s="114"/>
      <c r="I187" s="169"/>
      <c r="J187" s="171">
        <f t="shared" si="82"/>
        <v>0</v>
      </c>
      <c r="K187" s="171">
        <f t="shared" si="82"/>
        <v>0</v>
      </c>
      <c r="L187" s="171">
        <f t="shared" si="82"/>
        <v>0</v>
      </c>
      <c r="M187" s="171">
        <f t="shared" si="82"/>
        <v>0</v>
      </c>
      <c r="N187" s="171">
        <f t="shared" si="82"/>
        <v>0</v>
      </c>
      <c r="O187" s="171">
        <f t="shared" si="82"/>
        <v>0</v>
      </c>
      <c r="P187" s="171">
        <f t="shared" si="82"/>
        <v>0.17702881677566448</v>
      </c>
      <c r="Q187" s="171">
        <f t="shared" si="82"/>
        <v>0.37216682167720194</v>
      </c>
      <c r="R187" s="171">
        <f t="shared" si="82"/>
        <v>0.46393467536814875</v>
      </c>
      <c r="S187" s="171">
        <f t="shared" si="82"/>
        <v>0.72743785973536834</v>
      </c>
      <c r="T187" s="171">
        <f t="shared" si="82"/>
        <v>0.9717574034859372</v>
      </c>
      <c r="U187" s="171">
        <f t="shared" si="82"/>
        <v>1.2255119930952529</v>
      </c>
      <c r="V187" s="171">
        <f t="shared" si="82"/>
        <v>1.500372725865047</v>
      </c>
      <c r="W187" s="171">
        <f t="shared" si="82"/>
        <v>1.7877920837360803</v>
      </c>
      <c r="X187" s="171">
        <f t="shared" si="82"/>
        <v>2.0939747503983401</v>
      </c>
      <c r="Y187" s="171">
        <f t="shared" si="82"/>
        <v>2.4120383900792617</v>
      </c>
      <c r="Z187" s="171">
        <f t="shared" si="83"/>
        <v>2.7430511304520615</v>
      </c>
      <c r="AA187" s="171">
        <f t="shared" si="83"/>
        <v>3.0982765355700987</v>
      </c>
      <c r="AB187" s="171">
        <f t="shared" si="83"/>
        <v>3.4628016393039727</v>
      </c>
      <c r="AC187" s="171">
        <f t="shared" si="83"/>
        <v>3.4628016393039727</v>
      </c>
      <c r="AD187" s="171">
        <f t="shared" si="83"/>
        <v>3.4628016393039727</v>
      </c>
      <c r="AE187" s="171">
        <f t="shared" si="83"/>
        <v>3.4628016393039727</v>
      </c>
      <c r="AF187" s="171">
        <f t="shared" si="83"/>
        <v>3.4628016393039727</v>
      </c>
      <c r="AG187" s="171">
        <f t="shared" si="83"/>
        <v>3.4628016393039727</v>
      </c>
      <c r="AH187" s="171">
        <f t="shared" si="83"/>
        <v>3.4628016393039727</v>
      </c>
      <c r="AI187" s="171">
        <f t="shared" si="83"/>
        <v>3.4628016393039727</v>
      </c>
      <c r="AJ187" s="171">
        <f t="shared" si="83"/>
        <v>3.4628016393039727</v>
      </c>
      <c r="AK187" s="171">
        <f t="shared" si="83"/>
        <v>3.4628016393039727</v>
      </c>
      <c r="AL187" s="171">
        <f t="shared" si="83"/>
        <v>3.4628016393039727</v>
      </c>
      <c r="AM187" s="171">
        <f t="shared" si="83"/>
        <v>3.4628016393039727</v>
      </c>
      <c r="AN187" s="171">
        <f t="shared" si="84"/>
        <v>3.4628016393039727</v>
      </c>
      <c r="AO187" s="171">
        <f t="shared" si="84"/>
        <v>3.4628016393039727</v>
      </c>
      <c r="AP187" s="171">
        <f t="shared" si="84"/>
        <v>3.4628016393039727</v>
      </c>
      <c r="AQ187" s="171">
        <f t="shared" si="84"/>
        <v>3.4628016393039727</v>
      </c>
      <c r="AR187" s="171">
        <f t="shared" si="84"/>
        <v>3.4628016393039727</v>
      </c>
      <c r="AS187" s="171">
        <f t="shared" si="84"/>
        <v>3.4628016393039727</v>
      </c>
      <c r="AT187" s="171">
        <f t="shared" si="84"/>
        <v>3.4628016393039727</v>
      </c>
      <c r="AU187" s="171">
        <f t="shared" si="84"/>
        <v>3.4628016393039727</v>
      </c>
      <c r="AV187" s="171">
        <f t="shared" si="84"/>
        <v>3.4628016393039727</v>
      </c>
    </row>
    <row r="188" spans="1:48">
      <c r="A188" s="199" t="s">
        <v>16</v>
      </c>
      <c r="B188" s="95" t="str">
        <f t="shared" si="81"/>
        <v>CNK</v>
      </c>
      <c r="C188" s="95" t="str">
        <f t="shared" si="81"/>
        <v>Commercial - Cooking</v>
      </c>
      <c r="E188" s="114"/>
      <c r="F188" s="114"/>
      <c r="I188" s="169"/>
      <c r="J188" s="171">
        <f t="shared" si="82"/>
        <v>0</v>
      </c>
      <c r="K188" s="171">
        <f t="shared" si="82"/>
        <v>0</v>
      </c>
      <c r="L188" s="171">
        <f t="shared" si="82"/>
        <v>0</v>
      </c>
      <c r="M188" s="171">
        <f t="shared" si="82"/>
        <v>0</v>
      </c>
      <c r="N188" s="171">
        <f t="shared" si="82"/>
        <v>0</v>
      </c>
      <c r="O188" s="171">
        <f t="shared" si="82"/>
        <v>0</v>
      </c>
      <c r="P188" s="171">
        <f t="shared" si="82"/>
        <v>0.13240848743086706</v>
      </c>
      <c r="Q188" s="171">
        <f t="shared" si="82"/>
        <v>0.27836172001690523</v>
      </c>
      <c r="R188" s="171">
        <f t="shared" si="82"/>
        <v>0.34699937417573767</v>
      </c>
      <c r="S188" s="171">
        <f t="shared" si="82"/>
        <v>0.54408625929848031</v>
      </c>
      <c r="T188" s="171">
        <f t="shared" si="82"/>
        <v>0.72682476383702166</v>
      </c>
      <c r="U188" s="171">
        <f t="shared" si="82"/>
        <v>0.91662019940945594</v>
      </c>
      <c r="V188" s="171">
        <f t="shared" si="82"/>
        <v>1.1222019489971937</v>
      </c>
      <c r="W188" s="171">
        <f t="shared" si="82"/>
        <v>1.337176906900692</v>
      </c>
      <c r="X188" s="171">
        <f t="shared" si="82"/>
        <v>1.5661858587126112</v>
      </c>
      <c r="Y188" s="171">
        <f t="shared" si="82"/>
        <v>1.8040811697922501</v>
      </c>
      <c r="Z188" s="171">
        <f t="shared" si="83"/>
        <v>2.0516617449290644</v>
      </c>
      <c r="AA188" s="171">
        <f t="shared" si="83"/>
        <v>2.317352153108768</v>
      </c>
      <c r="AB188" s="171">
        <f t="shared" si="83"/>
        <v>2.5899982595172308</v>
      </c>
      <c r="AC188" s="171">
        <f t="shared" si="83"/>
        <v>2.5899982595172308</v>
      </c>
      <c r="AD188" s="171">
        <f t="shared" si="83"/>
        <v>2.5899982595172308</v>
      </c>
      <c r="AE188" s="171">
        <f t="shared" si="83"/>
        <v>2.5899982595172308</v>
      </c>
      <c r="AF188" s="171">
        <f t="shared" si="83"/>
        <v>2.5899982595172308</v>
      </c>
      <c r="AG188" s="171">
        <f t="shared" si="83"/>
        <v>2.5899982595172308</v>
      </c>
      <c r="AH188" s="171">
        <f t="shared" si="83"/>
        <v>2.5899982595172308</v>
      </c>
      <c r="AI188" s="171">
        <f t="shared" si="83"/>
        <v>2.5899982595172308</v>
      </c>
      <c r="AJ188" s="171">
        <f t="shared" si="83"/>
        <v>2.5899982595172308</v>
      </c>
      <c r="AK188" s="171">
        <f t="shared" si="83"/>
        <v>2.5899982595172308</v>
      </c>
      <c r="AL188" s="171">
        <f t="shared" si="83"/>
        <v>2.5899982595172308</v>
      </c>
      <c r="AM188" s="171">
        <f t="shared" si="83"/>
        <v>2.5899982595172308</v>
      </c>
      <c r="AN188" s="171">
        <f t="shared" si="84"/>
        <v>2.5899982595172308</v>
      </c>
      <c r="AO188" s="171">
        <f t="shared" si="84"/>
        <v>2.5899982595172308</v>
      </c>
      <c r="AP188" s="171">
        <f t="shared" si="84"/>
        <v>2.5899982595172308</v>
      </c>
      <c r="AQ188" s="171">
        <f t="shared" si="84"/>
        <v>2.5899982595172308</v>
      </c>
      <c r="AR188" s="171">
        <f t="shared" si="84"/>
        <v>2.5899982595172308</v>
      </c>
      <c r="AS188" s="171">
        <f t="shared" si="84"/>
        <v>2.5899982595172308</v>
      </c>
      <c r="AT188" s="171">
        <f t="shared" si="84"/>
        <v>2.5899982595172308</v>
      </c>
      <c r="AU188" s="171">
        <f t="shared" si="84"/>
        <v>2.5899982595172308</v>
      </c>
      <c r="AV188" s="171">
        <f t="shared" si="84"/>
        <v>2.5899982595172308</v>
      </c>
    </row>
    <row r="189" spans="1:48">
      <c r="A189" s="199" t="s">
        <v>16</v>
      </c>
      <c r="B189" s="95" t="str">
        <f t="shared" si="81"/>
        <v>CNL</v>
      </c>
      <c r="C189" s="95" t="str">
        <f t="shared" si="81"/>
        <v>Commercial - Lighting</v>
      </c>
      <c r="E189" s="114"/>
      <c r="F189" s="114"/>
      <c r="I189" s="169"/>
      <c r="J189" s="171">
        <f t="shared" si="82"/>
        <v>0</v>
      </c>
      <c r="K189" s="171">
        <f t="shared" si="82"/>
        <v>0</v>
      </c>
      <c r="L189" s="171">
        <f t="shared" si="82"/>
        <v>0</v>
      </c>
      <c r="M189" s="171">
        <f t="shared" si="82"/>
        <v>0</v>
      </c>
      <c r="N189" s="171">
        <f t="shared" si="82"/>
        <v>0</v>
      </c>
      <c r="O189" s="171">
        <f t="shared" si="82"/>
        <v>0</v>
      </c>
      <c r="P189" s="171">
        <f t="shared" si="82"/>
        <v>1.6154122080425941</v>
      </c>
      <c r="Q189" s="171">
        <f t="shared" si="82"/>
        <v>3.3960732388988562</v>
      </c>
      <c r="R189" s="171">
        <f t="shared" si="82"/>
        <v>4.2334674770701453</v>
      </c>
      <c r="S189" s="171">
        <f t="shared" si="82"/>
        <v>6.6379701373591766</v>
      </c>
      <c r="T189" s="171">
        <f t="shared" si="82"/>
        <v>8.8674194486439628</v>
      </c>
      <c r="U189" s="171">
        <f t="shared" si="82"/>
        <v>11.182964846098583</v>
      </c>
      <c r="V189" s="171">
        <f t="shared" si="82"/>
        <v>13.691106691674626</v>
      </c>
      <c r="W189" s="171">
        <f t="shared" si="82"/>
        <v>16.313847711974187</v>
      </c>
      <c r="X189" s="171">
        <f t="shared" si="82"/>
        <v>19.107806495780753</v>
      </c>
      <c r="Y189" s="171">
        <f t="shared" si="82"/>
        <v>22.010180786211258</v>
      </c>
      <c r="Z189" s="171">
        <f t="shared" si="83"/>
        <v>25.03071739462947</v>
      </c>
      <c r="AA189" s="171">
        <f t="shared" si="83"/>
        <v>28.272197886258876</v>
      </c>
      <c r="AB189" s="171">
        <f t="shared" si="83"/>
        <v>31.598539401922448</v>
      </c>
      <c r="AC189" s="171">
        <f t="shared" si="83"/>
        <v>31.598539401922448</v>
      </c>
      <c r="AD189" s="171">
        <f t="shared" si="83"/>
        <v>31.598539401922448</v>
      </c>
      <c r="AE189" s="171">
        <f t="shared" si="83"/>
        <v>31.598539401922448</v>
      </c>
      <c r="AF189" s="171">
        <f t="shared" si="83"/>
        <v>31.598539401922448</v>
      </c>
      <c r="AG189" s="171">
        <f t="shared" si="83"/>
        <v>31.598539401922448</v>
      </c>
      <c r="AH189" s="171">
        <f t="shared" si="83"/>
        <v>31.598539401922448</v>
      </c>
      <c r="AI189" s="171">
        <f t="shared" si="83"/>
        <v>31.598539401922448</v>
      </c>
      <c r="AJ189" s="171">
        <f t="shared" si="83"/>
        <v>31.598539401922448</v>
      </c>
      <c r="AK189" s="171">
        <f t="shared" si="83"/>
        <v>31.598539401922448</v>
      </c>
      <c r="AL189" s="171">
        <f t="shared" si="83"/>
        <v>31.598539401922448</v>
      </c>
      <c r="AM189" s="171">
        <f t="shared" si="83"/>
        <v>31.598539401922448</v>
      </c>
      <c r="AN189" s="171">
        <f t="shared" si="84"/>
        <v>31.598539401922448</v>
      </c>
      <c r="AO189" s="171">
        <f t="shared" si="84"/>
        <v>31.598539401922448</v>
      </c>
      <c r="AP189" s="171">
        <f t="shared" si="84"/>
        <v>31.598539401922448</v>
      </c>
      <c r="AQ189" s="171">
        <f t="shared" si="84"/>
        <v>31.598539401922448</v>
      </c>
      <c r="AR189" s="171">
        <f t="shared" si="84"/>
        <v>31.598539401922448</v>
      </c>
      <c r="AS189" s="171">
        <f t="shared" si="84"/>
        <v>31.598539401922448</v>
      </c>
      <c r="AT189" s="171">
        <f t="shared" si="84"/>
        <v>31.598539401922448</v>
      </c>
      <c r="AU189" s="171">
        <f t="shared" si="84"/>
        <v>31.598539401922448</v>
      </c>
      <c r="AV189" s="171">
        <f t="shared" si="84"/>
        <v>31.598539401922448</v>
      </c>
    </row>
    <row r="190" spans="1:48">
      <c r="A190" s="199" t="s">
        <v>16</v>
      </c>
      <c r="B190" s="95" t="str">
        <f t="shared" si="81"/>
        <v>CNR</v>
      </c>
      <c r="C190" s="95" t="str">
        <f t="shared" si="81"/>
        <v>Commercial - Refrigeration</v>
      </c>
      <c r="E190" s="114"/>
      <c r="F190" s="114"/>
      <c r="I190" s="169"/>
      <c r="J190" s="171">
        <f t="shared" si="82"/>
        <v>0</v>
      </c>
      <c r="K190" s="171">
        <f t="shared" si="82"/>
        <v>0</v>
      </c>
      <c r="L190" s="171">
        <f t="shared" si="82"/>
        <v>0</v>
      </c>
      <c r="M190" s="171">
        <f t="shared" si="82"/>
        <v>0</v>
      </c>
      <c r="N190" s="171">
        <f t="shared" si="82"/>
        <v>0</v>
      </c>
      <c r="O190" s="171">
        <f t="shared" si="82"/>
        <v>0</v>
      </c>
      <c r="P190" s="171">
        <f t="shared" si="82"/>
        <v>0.39297187021735175</v>
      </c>
      <c r="Q190" s="171">
        <f t="shared" si="82"/>
        <v>0.82614285409064703</v>
      </c>
      <c r="R190" s="171">
        <f t="shared" si="82"/>
        <v>1.0298508477810902</v>
      </c>
      <c r="S190" s="171">
        <f t="shared" si="82"/>
        <v>1.6147801324875135</v>
      </c>
      <c r="T190" s="171">
        <f t="shared" si="82"/>
        <v>2.1571252138534383</v>
      </c>
      <c r="U190" s="171">
        <f t="shared" si="82"/>
        <v>2.720414386041575</v>
      </c>
      <c r="V190" s="171">
        <f t="shared" si="82"/>
        <v>3.3305553685841742</v>
      </c>
      <c r="W190" s="171">
        <f t="shared" si="82"/>
        <v>3.9685742214265365</v>
      </c>
      <c r="X190" s="171">
        <f t="shared" si="82"/>
        <v>4.6482442171814</v>
      </c>
      <c r="Y190" s="171">
        <f t="shared" si="82"/>
        <v>5.3542878185005014</v>
      </c>
      <c r="Z190" s="171">
        <f t="shared" si="83"/>
        <v>6.089076075120377</v>
      </c>
      <c r="AA190" s="171">
        <f t="shared" si="83"/>
        <v>6.8776120566653933</v>
      </c>
      <c r="AB190" s="171">
        <f t="shared" si="83"/>
        <v>7.6867916826977032</v>
      </c>
      <c r="AC190" s="171">
        <f t="shared" si="83"/>
        <v>7.6867916826977032</v>
      </c>
      <c r="AD190" s="171">
        <f t="shared" si="83"/>
        <v>7.6867916826977032</v>
      </c>
      <c r="AE190" s="171">
        <f t="shared" si="83"/>
        <v>7.6867916826977032</v>
      </c>
      <c r="AF190" s="171">
        <f t="shared" si="83"/>
        <v>7.6867916826977032</v>
      </c>
      <c r="AG190" s="171">
        <f t="shared" si="83"/>
        <v>7.6867916826977032</v>
      </c>
      <c r="AH190" s="171">
        <f t="shared" si="83"/>
        <v>7.6867916826977032</v>
      </c>
      <c r="AI190" s="171">
        <f t="shared" si="83"/>
        <v>7.6867916826977032</v>
      </c>
      <c r="AJ190" s="171">
        <f t="shared" si="83"/>
        <v>7.6867916826977032</v>
      </c>
      <c r="AK190" s="171">
        <f t="shared" si="83"/>
        <v>7.6867916826977032</v>
      </c>
      <c r="AL190" s="171">
        <f t="shared" si="83"/>
        <v>7.6867916826977032</v>
      </c>
      <c r="AM190" s="171">
        <f t="shared" si="83"/>
        <v>7.6867916826977032</v>
      </c>
      <c r="AN190" s="171">
        <f t="shared" si="84"/>
        <v>7.6867916826977032</v>
      </c>
      <c r="AO190" s="171">
        <f t="shared" si="84"/>
        <v>7.6867916826977032</v>
      </c>
      <c r="AP190" s="171">
        <f t="shared" si="84"/>
        <v>7.6867916826977032</v>
      </c>
      <c r="AQ190" s="171">
        <f t="shared" si="84"/>
        <v>7.6867916826977032</v>
      </c>
      <c r="AR190" s="171">
        <f t="shared" si="84"/>
        <v>7.6867916826977032</v>
      </c>
      <c r="AS190" s="171">
        <f t="shared" si="84"/>
        <v>7.6867916826977032</v>
      </c>
      <c r="AT190" s="171">
        <f t="shared" si="84"/>
        <v>7.6867916826977032</v>
      </c>
      <c r="AU190" s="171">
        <f t="shared" si="84"/>
        <v>7.6867916826977032</v>
      </c>
      <c r="AV190" s="171">
        <f t="shared" si="84"/>
        <v>7.6867916826977032</v>
      </c>
    </row>
    <row r="191" spans="1:48">
      <c r="A191" s="199" t="s">
        <v>16</v>
      </c>
      <c r="B191" s="95" t="str">
        <f t="shared" si="81"/>
        <v>CNW</v>
      </c>
      <c r="C191" s="95" t="str">
        <f t="shared" si="81"/>
        <v>Commercial - Water Heating</v>
      </c>
      <c r="E191" s="114"/>
      <c r="F191" s="114"/>
      <c r="I191" s="169"/>
      <c r="J191" s="171">
        <f t="shared" si="82"/>
        <v>0</v>
      </c>
      <c r="K191" s="171">
        <f t="shared" si="82"/>
        <v>0</v>
      </c>
      <c r="L191" s="171">
        <f t="shared" si="82"/>
        <v>0</v>
      </c>
      <c r="M191" s="171">
        <f t="shared" si="82"/>
        <v>0</v>
      </c>
      <c r="N191" s="171">
        <f t="shared" si="82"/>
        <v>0</v>
      </c>
      <c r="O191" s="171">
        <f t="shared" si="82"/>
        <v>0</v>
      </c>
      <c r="P191" s="171">
        <f t="shared" si="82"/>
        <v>0.20485221696423084</v>
      </c>
      <c r="Q191" s="171">
        <f t="shared" si="82"/>
        <v>0.43065982075516357</v>
      </c>
      <c r="R191" s="171">
        <f t="shared" si="82"/>
        <v>0.53685071451491806</v>
      </c>
      <c r="S191" s="171">
        <f t="shared" si="82"/>
        <v>0.84176836847609915</v>
      </c>
      <c r="T191" s="171">
        <f t="shared" si="82"/>
        <v>1.1244873127506763</v>
      </c>
      <c r="U191" s="171">
        <f t="shared" si="82"/>
        <v>1.4181241973726308</v>
      </c>
      <c r="V191" s="171">
        <f t="shared" si="82"/>
        <v>1.736184451572135</v>
      </c>
      <c r="W191" s="171">
        <f t="shared" si="82"/>
        <v>2.0687771544478997</v>
      </c>
      <c r="X191" s="171">
        <f t="shared" si="82"/>
        <v>2.4230821721516973</v>
      </c>
      <c r="Y191" s="171">
        <f t="shared" si="82"/>
        <v>2.7911354807094582</v>
      </c>
      <c r="Z191" s="171">
        <f t="shared" si="83"/>
        <v>3.1741730840997717</v>
      </c>
      <c r="AA191" s="171">
        <f t="shared" si="83"/>
        <v>3.585228826807815</v>
      </c>
      <c r="AB191" s="171">
        <f t="shared" si="83"/>
        <v>4.0070458902615513</v>
      </c>
      <c r="AC191" s="171">
        <f t="shared" si="83"/>
        <v>4.0070458902615513</v>
      </c>
      <c r="AD191" s="171">
        <f t="shared" si="83"/>
        <v>4.0070458902615513</v>
      </c>
      <c r="AE191" s="171">
        <f t="shared" si="83"/>
        <v>4.0070458902615513</v>
      </c>
      <c r="AF191" s="171">
        <f t="shared" si="83"/>
        <v>4.0070458902615513</v>
      </c>
      <c r="AG191" s="171">
        <f t="shared" si="83"/>
        <v>4.0070458902615513</v>
      </c>
      <c r="AH191" s="171">
        <f t="shared" si="83"/>
        <v>4.0070458902615513</v>
      </c>
      <c r="AI191" s="171">
        <f t="shared" si="83"/>
        <v>4.0070458902615513</v>
      </c>
      <c r="AJ191" s="171">
        <f t="shared" si="83"/>
        <v>4.0070458902615513</v>
      </c>
      <c r="AK191" s="171">
        <f t="shared" si="83"/>
        <v>4.0070458902615513</v>
      </c>
      <c r="AL191" s="171">
        <f t="shared" si="83"/>
        <v>4.0070458902615513</v>
      </c>
      <c r="AM191" s="171">
        <f t="shared" si="83"/>
        <v>4.0070458902615513</v>
      </c>
      <c r="AN191" s="171">
        <f t="shared" si="84"/>
        <v>4.0070458902615513</v>
      </c>
      <c r="AO191" s="171">
        <f t="shared" si="84"/>
        <v>4.0070458902615513</v>
      </c>
      <c r="AP191" s="171">
        <f t="shared" si="84"/>
        <v>4.0070458902615513</v>
      </c>
      <c r="AQ191" s="171">
        <f t="shared" si="84"/>
        <v>4.0070458902615513</v>
      </c>
      <c r="AR191" s="171">
        <f t="shared" si="84"/>
        <v>4.0070458902615513</v>
      </c>
      <c r="AS191" s="171">
        <f t="shared" si="84"/>
        <v>4.0070458902615513</v>
      </c>
      <c r="AT191" s="171">
        <f t="shared" si="84"/>
        <v>4.0070458902615513</v>
      </c>
      <c r="AU191" s="171">
        <f t="shared" si="84"/>
        <v>4.0070458902615513</v>
      </c>
      <c r="AV191" s="171">
        <f t="shared" si="84"/>
        <v>4.0070458902615513</v>
      </c>
    </row>
    <row r="192" spans="1:48">
      <c r="A192" s="199" t="s">
        <v>16</v>
      </c>
      <c r="B192" s="95" t="str">
        <f t="shared" si="81"/>
        <v>CNG</v>
      </c>
      <c r="C192" s="95" t="str">
        <f t="shared" si="81"/>
        <v>Commercial - Public lights</v>
      </c>
      <c r="E192" s="114"/>
      <c r="F192" s="114"/>
      <c r="I192" s="169"/>
      <c r="J192" s="171">
        <f t="shared" si="82"/>
        <v>0</v>
      </c>
      <c r="K192" s="171">
        <f t="shared" si="82"/>
        <v>0</v>
      </c>
      <c r="L192" s="171">
        <f t="shared" si="82"/>
        <v>0</v>
      </c>
      <c r="M192" s="171">
        <f t="shared" si="82"/>
        <v>0</v>
      </c>
      <c r="N192" s="171">
        <f t="shared" si="82"/>
        <v>0</v>
      </c>
      <c r="O192" s="171">
        <f t="shared" si="82"/>
        <v>0</v>
      </c>
      <c r="P192" s="171">
        <f t="shared" si="82"/>
        <v>0</v>
      </c>
      <c r="Q192" s="171">
        <f t="shared" si="82"/>
        <v>0</v>
      </c>
      <c r="R192" s="171">
        <f t="shared" si="82"/>
        <v>0</v>
      </c>
      <c r="S192" s="171">
        <f t="shared" si="82"/>
        <v>0</v>
      </c>
      <c r="T192" s="171">
        <f t="shared" si="82"/>
        <v>0</v>
      </c>
      <c r="U192" s="171">
        <f t="shared" si="82"/>
        <v>0</v>
      </c>
      <c r="V192" s="171">
        <f t="shared" si="82"/>
        <v>0</v>
      </c>
      <c r="W192" s="171">
        <f t="shared" si="82"/>
        <v>0</v>
      </c>
      <c r="X192" s="171">
        <f t="shared" si="82"/>
        <v>0</v>
      </c>
      <c r="Y192" s="171">
        <f t="shared" si="82"/>
        <v>0</v>
      </c>
      <c r="Z192" s="171">
        <f t="shared" si="83"/>
        <v>0</v>
      </c>
      <c r="AA192" s="171">
        <f t="shared" si="83"/>
        <v>0</v>
      </c>
      <c r="AB192" s="171">
        <f t="shared" si="83"/>
        <v>0</v>
      </c>
      <c r="AC192" s="171">
        <f t="shared" si="83"/>
        <v>0</v>
      </c>
      <c r="AD192" s="171">
        <f t="shared" si="83"/>
        <v>0</v>
      </c>
      <c r="AE192" s="171">
        <f t="shared" si="83"/>
        <v>0</v>
      </c>
      <c r="AF192" s="171">
        <f t="shared" si="83"/>
        <v>0</v>
      </c>
      <c r="AG192" s="171">
        <f t="shared" si="83"/>
        <v>0</v>
      </c>
      <c r="AH192" s="171">
        <f t="shared" si="83"/>
        <v>0</v>
      </c>
      <c r="AI192" s="171">
        <f t="shared" si="83"/>
        <v>0</v>
      </c>
      <c r="AJ192" s="171">
        <f t="shared" si="83"/>
        <v>0</v>
      </c>
      <c r="AK192" s="171">
        <f t="shared" si="83"/>
        <v>0</v>
      </c>
      <c r="AL192" s="171">
        <f t="shared" si="83"/>
        <v>0</v>
      </c>
      <c r="AM192" s="171">
        <f t="shared" si="83"/>
        <v>0</v>
      </c>
      <c r="AN192" s="171">
        <f t="shared" si="84"/>
        <v>0</v>
      </c>
      <c r="AO192" s="171">
        <f t="shared" si="84"/>
        <v>0</v>
      </c>
      <c r="AP192" s="171">
        <f t="shared" si="84"/>
        <v>0</v>
      </c>
      <c r="AQ192" s="171">
        <f t="shared" si="84"/>
        <v>0</v>
      </c>
      <c r="AR192" s="171">
        <f t="shared" si="84"/>
        <v>0</v>
      </c>
      <c r="AS192" s="171">
        <f t="shared" si="84"/>
        <v>0</v>
      </c>
      <c r="AT192" s="171">
        <f t="shared" si="84"/>
        <v>0</v>
      </c>
      <c r="AU192" s="171">
        <f t="shared" si="84"/>
        <v>0</v>
      </c>
      <c r="AV192" s="171">
        <f t="shared" si="84"/>
        <v>0</v>
      </c>
    </row>
    <row r="193" spans="1:48">
      <c r="A193" s="199" t="s">
        <v>16</v>
      </c>
      <c r="B193" s="95" t="str">
        <f t="shared" si="81"/>
        <v>CNT</v>
      </c>
      <c r="C193" s="95" t="str">
        <f t="shared" si="81"/>
        <v>Commercial - Public Water</v>
      </c>
      <c r="E193" s="114"/>
      <c r="F193" s="114"/>
      <c r="I193" s="169"/>
      <c r="J193" s="171">
        <f t="shared" si="82"/>
        <v>0</v>
      </c>
      <c r="K193" s="171">
        <f t="shared" si="82"/>
        <v>0</v>
      </c>
      <c r="L193" s="171">
        <f t="shared" si="82"/>
        <v>0</v>
      </c>
      <c r="M193" s="171">
        <f t="shared" si="82"/>
        <v>0</v>
      </c>
      <c r="N193" s="171">
        <f t="shared" si="82"/>
        <v>0</v>
      </c>
      <c r="O193" s="171">
        <f t="shared" si="82"/>
        <v>0</v>
      </c>
      <c r="P193" s="171">
        <f t="shared" si="82"/>
        <v>0</v>
      </c>
      <c r="Q193" s="171">
        <f t="shared" si="82"/>
        <v>0</v>
      </c>
      <c r="R193" s="171">
        <f t="shared" si="82"/>
        <v>0</v>
      </c>
      <c r="S193" s="171">
        <f t="shared" si="82"/>
        <v>0</v>
      </c>
      <c r="T193" s="171">
        <f t="shared" si="82"/>
        <v>0</v>
      </c>
      <c r="U193" s="171">
        <f t="shared" si="82"/>
        <v>0</v>
      </c>
      <c r="V193" s="171">
        <f t="shared" si="82"/>
        <v>0</v>
      </c>
      <c r="W193" s="171">
        <f t="shared" si="82"/>
        <v>0</v>
      </c>
      <c r="X193" s="171">
        <f t="shared" si="82"/>
        <v>0</v>
      </c>
      <c r="Y193" s="171">
        <f t="shared" si="82"/>
        <v>0</v>
      </c>
      <c r="Z193" s="171">
        <f t="shared" si="83"/>
        <v>0</v>
      </c>
      <c r="AA193" s="171">
        <f t="shared" si="83"/>
        <v>0</v>
      </c>
      <c r="AB193" s="171">
        <f t="shared" si="83"/>
        <v>0</v>
      </c>
      <c r="AC193" s="171">
        <f t="shared" si="83"/>
        <v>0</v>
      </c>
      <c r="AD193" s="171">
        <f t="shared" si="83"/>
        <v>0</v>
      </c>
      <c r="AE193" s="171">
        <f t="shared" si="83"/>
        <v>0</v>
      </c>
      <c r="AF193" s="171">
        <f t="shared" si="83"/>
        <v>0</v>
      </c>
      <c r="AG193" s="171">
        <f t="shared" si="83"/>
        <v>0</v>
      </c>
      <c r="AH193" s="171">
        <f t="shared" si="83"/>
        <v>0</v>
      </c>
      <c r="AI193" s="171">
        <f t="shared" si="83"/>
        <v>0</v>
      </c>
      <c r="AJ193" s="171">
        <f t="shared" si="83"/>
        <v>0</v>
      </c>
      <c r="AK193" s="171">
        <f t="shared" si="83"/>
        <v>0</v>
      </c>
      <c r="AL193" s="171">
        <f t="shared" si="83"/>
        <v>0</v>
      </c>
      <c r="AM193" s="171">
        <f t="shared" si="83"/>
        <v>0</v>
      </c>
      <c r="AN193" s="171">
        <f t="shared" si="84"/>
        <v>0</v>
      </c>
      <c r="AO193" s="171">
        <f t="shared" si="84"/>
        <v>0</v>
      </c>
      <c r="AP193" s="171">
        <f t="shared" si="84"/>
        <v>0</v>
      </c>
      <c r="AQ193" s="171">
        <f t="shared" si="84"/>
        <v>0</v>
      </c>
      <c r="AR193" s="171">
        <f t="shared" si="84"/>
        <v>0</v>
      </c>
      <c r="AS193" s="171">
        <f t="shared" si="84"/>
        <v>0</v>
      </c>
      <c r="AT193" s="171">
        <f t="shared" si="84"/>
        <v>0</v>
      </c>
      <c r="AU193" s="171">
        <f t="shared" si="84"/>
        <v>0</v>
      </c>
      <c r="AV193" s="171">
        <f t="shared" si="84"/>
        <v>0</v>
      </c>
    </row>
    <row r="194" spans="1:48">
      <c r="A194" s="199" t="s">
        <v>16</v>
      </c>
      <c r="B194" s="95" t="str">
        <f t="shared" si="81"/>
        <v>CNO</v>
      </c>
      <c r="C194" s="95" t="str">
        <f t="shared" si="81"/>
        <v>Commercial - Other</v>
      </c>
      <c r="E194" s="114"/>
      <c r="F194" s="114"/>
      <c r="I194" s="169"/>
      <c r="J194" s="171">
        <f t="shared" si="82"/>
        <v>0</v>
      </c>
      <c r="K194" s="171">
        <f t="shared" si="82"/>
        <v>0</v>
      </c>
      <c r="L194" s="171">
        <f t="shared" si="82"/>
        <v>0</v>
      </c>
      <c r="M194" s="171">
        <f t="shared" si="82"/>
        <v>0</v>
      </c>
      <c r="N194" s="171">
        <f t="shared" si="82"/>
        <v>0</v>
      </c>
      <c r="O194" s="171">
        <f t="shared" si="82"/>
        <v>0</v>
      </c>
      <c r="P194" s="171">
        <f t="shared" si="82"/>
        <v>0.26234508327730677</v>
      </c>
      <c r="Q194" s="171">
        <f t="shared" si="82"/>
        <v>0.55152679436186447</v>
      </c>
      <c r="R194" s="171">
        <f t="shared" si="82"/>
        <v>0.68752072832821642</v>
      </c>
      <c r="S194" s="171">
        <f t="shared" si="82"/>
        <v>1.0780151467270893</v>
      </c>
      <c r="T194" s="171">
        <f t="shared" si="82"/>
        <v>1.440080669272725</v>
      </c>
      <c r="U194" s="171">
        <f t="shared" si="82"/>
        <v>1.8161283103040471</v>
      </c>
      <c r="V194" s="171">
        <f t="shared" si="82"/>
        <v>2.2234538697327739</v>
      </c>
      <c r="W194" s="171">
        <f t="shared" si="82"/>
        <v>2.6493904869996618</v>
      </c>
      <c r="X194" s="171">
        <f t="shared" si="82"/>
        <v>3.1031330959522432</v>
      </c>
      <c r="Y194" s="171">
        <f t="shared" si="82"/>
        <v>3.5744825268492195</v>
      </c>
      <c r="Z194" s="171">
        <f t="shared" si="83"/>
        <v>4.0650216747722219</v>
      </c>
      <c r="AA194" s="171">
        <f t="shared" si="83"/>
        <v>4.5914424021162974</v>
      </c>
      <c r="AB194" s="171">
        <f t="shared" si="83"/>
        <v>5.1316446722185631</v>
      </c>
      <c r="AC194" s="171">
        <f t="shared" si="83"/>
        <v>5.1316446722185631</v>
      </c>
      <c r="AD194" s="171">
        <f t="shared" si="83"/>
        <v>5.1316446722185631</v>
      </c>
      <c r="AE194" s="171">
        <f t="shared" si="83"/>
        <v>5.1316446722185631</v>
      </c>
      <c r="AF194" s="171">
        <f t="shared" si="83"/>
        <v>5.1316446722185631</v>
      </c>
      <c r="AG194" s="171">
        <f t="shared" si="83"/>
        <v>5.1316446722185631</v>
      </c>
      <c r="AH194" s="171">
        <f t="shared" si="83"/>
        <v>5.1316446722185631</v>
      </c>
      <c r="AI194" s="171">
        <f t="shared" si="83"/>
        <v>5.1316446722185631</v>
      </c>
      <c r="AJ194" s="171">
        <f t="shared" si="83"/>
        <v>5.1316446722185631</v>
      </c>
      <c r="AK194" s="171">
        <f t="shared" si="83"/>
        <v>5.1316446722185631</v>
      </c>
      <c r="AL194" s="171">
        <f t="shared" si="83"/>
        <v>5.1316446722185631</v>
      </c>
      <c r="AM194" s="171">
        <f t="shared" si="83"/>
        <v>5.1316446722185631</v>
      </c>
      <c r="AN194" s="171">
        <f t="shared" si="84"/>
        <v>5.1316446722185631</v>
      </c>
      <c r="AO194" s="171">
        <f t="shared" si="84"/>
        <v>5.1316446722185631</v>
      </c>
      <c r="AP194" s="171">
        <f t="shared" si="84"/>
        <v>5.1316446722185631</v>
      </c>
      <c r="AQ194" s="171">
        <f t="shared" si="84"/>
        <v>5.1316446722185631</v>
      </c>
      <c r="AR194" s="171">
        <f t="shared" si="84"/>
        <v>5.1316446722185631</v>
      </c>
      <c r="AS194" s="171">
        <f t="shared" si="84"/>
        <v>5.1316446722185631</v>
      </c>
      <c r="AT194" s="171">
        <f t="shared" si="84"/>
        <v>5.1316446722185631</v>
      </c>
      <c r="AU194" s="171">
        <f t="shared" si="84"/>
        <v>5.1316446722185631</v>
      </c>
      <c r="AV194" s="171">
        <f t="shared" si="84"/>
        <v>5.1316446722185631</v>
      </c>
    </row>
    <row r="195" spans="1:48">
      <c r="A195" s="199" t="s">
        <v>16</v>
      </c>
      <c r="E195" s="114"/>
      <c r="F195" s="114"/>
      <c r="I195" s="169"/>
      <c r="J195" s="171"/>
      <c r="K195" s="171"/>
      <c r="L195" s="171"/>
      <c r="M195" s="171"/>
      <c r="N195" s="171"/>
      <c r="O195" s="171"/>
      <c r="P195" s="171"/>
      <c r="Q195" s="171"/>
      <c r="R195" s="171"/>
      <c r="S195" s="171"/>
      <c r="T195" s="171"/>
      <c r="U195" s="171"/>
      <c r="V195" s="171"/>
      <c r="W195" s="171"/>
      <c r="X195" s="171"/>
      <c r="Y195" s="171"/>
      <c r="Z195" s="171"/>
      <c r="AA195" s="171"/>
      <c r="AB195" s="171"/>
      <c r="AC195" s="171"/>
      <c r="AD195" s="171"/>
      <c r="AE195" s="171"/>
      <c r="AF195" s="171"/>
      <c r="AG195" s="171"/>
      <c r="AH195" s="171"/>
      <c r="AI195" s="171"/>
      <c r="AJ195" s="171"/>
      <c r="AK195" s="171"/>
      <c r="AL195" s="171"/>
      <c r="AM195" s="171"/>
      <c r="AN195" s="171"/>
      <c r="AO195" s="171"/>
      <c r="AP195" s="171"/>
      <c r="AQ195" s="171"/>
      <c r="AR195" s="171"/>
      <c r="AS195" s="171"/>
      <c r="AT195" s="171"/>
      <c r="AU195" s="171"/>
      <c r="AV195" s="171"/>
    </row>
    <row r="196" spans="1:48">
      <c r="A196" s="199" t="s">
        <v>16</v>
      </c>
      <c r="E196" s="114"/>
      <c r="F196" s="114"/>
      <c r="I196" s="169" t="s">
        <v>112</v>
      </c>
      <c r="J196" s="171"/>
      <c r="K196" s="171"/>
      <c r="L196" s="171"/>
      <c r="M196" s="171"/>
      <c r="N196" s="171"/>
      <c r="O196" s="171"/>
      <c r="P196" s="171"/>
      <c r="Q196" s="171"/>
      <c r="R196" s="171"/>
      <c r="S196" s="171"/>
      <c r="T196" s="171"/>
      <c r="U196" s="171"/>
      <c r="V196" s="171"/>
      <c r="W196" s="171"/>
      <c r="X196" s="171"/>
      <c r="Y196" s="171"/>
      <c r="Z196" s="171"/>
      <c r="AA196" s="171"/>
      <c r="AB196" s="171"/>
      <c r="AC196" s="171"/>
      <c r="AD196" s="171"/>
      <c r="AE196" s="171"/>
      <c r="AF196" s="171"/>
      <c r="AG196" s="171"/>
      <c r="AH196" s="171"/>
      <c r="AI196" s="171"/>
      <c r="AJ196" s="171"/>
      <c r="AK196" s="171"/>
      <c r="AL196" s="171"/>
      <c r="AM196" s="171"/>
      <c r="AN196" s="171"/>
      <c r="AO196" s="171"/>
      <c r="AP196" s="171"/>
      <c r="AQ196" s="171"/>
      <c r="AR196" s="171"/>
      <c r="AS196" s="171"/>
      <c r="AT196" s="171"/>
      <c r="AU196" s="171"/>
      <c r="AV196" s="171"/>
    </row>
    <row r="197" spans="1:48">
      <c r="A197" s="199" t="s">
        <v>16</v>
      </c>
      <c r="B197" s="95" t="str">
        <f t="shared" ref="B197:C205" si="85">B186</f>
        <v>CNC</v>
      </c>
      <c r="C197" s="95" t="str">
        <f t="shared" si="85"/>
        <v>Commercial - Cooling</v>
      </c>
      <c r="E197" s="114"/>
      <c r="F197" s="114"/>
      <c r="I197" s="169"/>
      <c r="J197" s="171">
        <f t="shared" ref="J197:Y205" si="86">INDEX(J$49:J$52,MATCH($I$196,$B$49:$B$52,0),1)*INDEX(J$81:J$89,MATCH($B197,$B$81:$B$89,0))*INDEX(J$127:J$135,MATCH($B197,$B$127:$B$135,0))/1000</f>
        <v>0</v>
      </c>
      <c r="K197" s="171">
        <f t="shared" si="86"/>
        <v>0</v>
      </c>
      <c r="L197" s="171">
        <f t="shared" si="86"/>
        <v>0</v>
      </c>
      <c r="M197" s="171">
        <f t="shared" si="86"/>
        <v>0</v>
      </c>
      <c r="N197" s="171">
        <f t="shared" si="86"/>
        <v>0</v>
      </c>
      <c r="O197" s="171">
        <f t="shared" si="86"/>
        <v>0</v>
      </c>
      <c r="P197" s="171">
        <f t="shared" si="86"/>
        <v>0</v>
      </c>
      <c r="Q197" s="171">
        <f t="shared" si="86"/>
        <v>0</v>
      </c>
      <c r="R197" s="171">
        <f t="shared" si="86"/>
        <v>0</v>
      </c>
      <c r="S197" s="171">
        <f t="shared" si="86"/>
        <v>0</v>
      </c>
      <c r="T197" s="171">
        <f t="shared" si="86"/>
        <v>0</v>
      </c>
      <c r="U197" s="171">
        <f t="shared" si="86"/>
        <v>0</v>
      </c>
      <c r="V197" s="171">
        <f t="shared" si="86"/>
        <v>0</v>
      </c>
      <c r="W197" s="171">
        <f t="shared" si="86"/>
        <v>0</v>
      </c>
      <c r="X197" s="171">
        <f t="shared" si="86"/>
        <v>0</v>
      </c>
      <c r="Y197" s="171">
        <f t="shared" si="86"/>
        <v>0</v>
      </c>
      <c r="Z197" s="171">
        <f t="shared" ref="Z197:AO205" si="87">INDEX(Z$49:Z$52,MATCH($I$196,$B$49:$B$52,0),1)*INDEX(Z$81:Z$89,MATCH($B197,$B$81:$B$89,0))*INDEX(Z$127:Z$135,MATCH($B197,$B$127:$B$135,0))/1000</f>
        <v>0</v>
      </c>
      <c r="AA197" s="171">
        <f t="shared" si="87"/>
        <v>0</v>
      </c>
      <c r="AB197" s="171">
        <f t="shared" si="87"/>
        <v>0</v>
      </c>
      <c r="AC197" s="171">
        <f t="shared" si="87"/>
        <v>3.7750909985349659</v>
      </c>
      <c r="AD197" s="171">
        <f t="shared" si="87"/>
        <v>7.6614817804136708</v>
      </c>
      <c r="AE197" s="171">
        <f t="shared" si="87"/>
        <v>11.631672360377626</v>
      </c>
      <c r="AF197" s="171">
        <f t="shared" si="87"/>
        <v>15.695493970982628</v>
      </c>
      <c r="AG197" s="171">
        <f t="shared" si="87"/>
        <v>19.663079163262072</v>
      </c>
      <c r="AH197" s="171">
        <f t="shared" si="87"/>
        <v>23.683081901114907</v>
      </c>
      <c r="AI197" s="171">
        <f t="shared" si="87"/>
        <v>27.964805655527087</v>
      </c>
      <c r="AJ197" s="171">
        <f t="shared" si="87"/>
        <v>32.389935073783612</v>
      </c>
      <c r="AK197" s="171">
        <f t="shared" si="87"/>
        <v>36.925543253025914</v>
      </c>
      <c r="AL197" s="171">
        <f t="shared" si="87"/>
        <v>41.530496280871311</v>
      </c>
      <c r="AM197" s="171">
        <f t="shared" si="87"/>
        <v>41.530496280871311</v>
      </c>
      <c r="AN197" s="171">
        <f t="shared" si="87"/>
        <v>41.530496280871311</v>
      </c>
      <c r="AO197" s="171">
        <f t="shared" si="87"/>
        <v>41.530496280871311</v>
      </c>
      <c r="AP197" s="171">
        <f t="shared" ref="AN197:AV205" si="88">INDEX(AP$49:AP$52,MATCH($I$196,$B$49:$B$52,0),1)*INDEX(AP$81:AP$89,MATCH($B197,$B$81:$B$89,0))*INDEX(AP$127:AP$135,MATCH($B197,$B$127:$B$135,0))/1000</f>
        <v>41.530496280871311</v>
      </c>
      <c r="AQ197" s="171">
        <f t="shared" si="88"/>
        <v>41.530496280871311</v>
      </c>
      <c r="AR197" s="171">
        <f t="shared" si="88"/>
        <v>41.530496280871311</v>
      </c>
      <c r="AS197" s="171">
        <f t="shared" si="88"/>
        <v>41.530496280871311</v>
      </c>
      <c r="AT197" s="171">
        <f t="shared" si="88"/>
        <v>41.530496280871311</v>
      </c>
      <c r="AU197" s="171">
        <f t="shared" si="88"/>
        <v>41.530496280871311</v>
      </c>
      <c r="AV197" s="171">
        <f t="shared" si="88"/>
        <v>41.530496280871311</v>
      </c>
    </row>
    <row r="198" spans="1:48">
      <c r="A198" s="199" t="s">
        <v>16</v>
      </c>
      <c r="B198" s="95" t="str">
        <f t="shared" si="85"/>
        <v>CNH</v>
      </c>
      <c r="C198" s="95" t="str">
        <f t="shared" si="85"/>
        <v>Commercial - Space Heating</v>
      </c>
      <c r="E198" s="114"/>
      <c r="F198" s="114"/>
      <c r="I198" s="169"/>
      <c r="J198" s="171">
        <f t="shared" si="86"/>
        <v>0</v>
      </c>
      <c r="K198" s="171">
        <f t="shared" si="86"/>
        <v>0</v>
      </c>
      <c r="L198" s="171">
        <f t="shared" si="86"/>
        <v>0</v>
      </c>
      <c r="M198" s="171">
        <f t="shared" si="86"/>
        <v>0</v>
      </c>
      <c r="N198" s="171">
        <f t="shared" si="86"/>
        <v>0</v>
      </c>
      <c r="O198" s="171">
        <f t="shared" si="86"/>
        <v>0</v>
      </c>
      <c r="P198" s="171">
        <f t="shared" si="86"/>
        <v>0</v>
      </c>
      <c r="Q198" s="171">
        <f t="shared" si="86"/>
        <v>0</v>
      </c>
      <c r="R198" s="171">
        <f t="shared" si="86"/>
        <v>0</v>
      </c>
      <c r="S198" s="171">
        <f t="shared" si="86"/>
        <v>0</v>
      </c>
      <c r="T198" s="171">
        <f t="shared" si="86"/>
        <v>0</v>
      </c>
      <c r="U198" s="171">
        <f t="shared" si="86"/>
        <v>0</v>
      </c>
      <c r="V198" s="171">
        <f t="shared" si="86"/>
        <v>0</v>
      </c>
      <c r="W198" s="171">
        <f t="shared" si="86"/>
        <v>0</v>
      </c>
      <c r="X198" s="171">
        <f t="shared" si="86"/>
        <v>0</v>
      </c>
      <c r="Y198" s="171">
        <f t="shared" si="86"/>
        <v>0</v>
      </c>
      <c r="Z198" s="171">
        <f t="shared" si="87"/>
        <v>0</v>
      </c>
      <c r="AA198" s="171">
        <f t="shared" si="87"/>
        <v>0</v>
      </c>
      <c r="AB198" s="171">
        <f t="shared" si="87"/>
        <v>0</v>
      </c>
      <c r="AC198" s="171">
        <f t="shared" si="87"/>
        <v>0.36001660484570364</v>
      </c>
      <c r="AD198" s="171">
        <f t="shared" si="87"/>
        <v>0.73064746246969126</v>
      </c>
      <c r="AE198" s="171">
        <f t="shared" si="87"/>
        <v>1.1092699999777178</v>
      </c>
      <c r="AF198" s="171">
        <f t="shared" si="87"/>
        <v>1.4968217860184752</v>
      </c>
      <c r="AG198" s="171">
        <f t="shared" si="87"/>
        <v>1.8751958572434773</v>
      </c>
      <c r="AH198" s="171">
        <f t="shared" si="87"/>
        <v>2.2585687978464626</v>
      </c>
      <c r="AI198" s="171">
        <f t="shared" si="87"/>
        <v>2.6669011134247871</v>
      </c>
      <c r="AJ198" s="171">
        <f t="shared" si="87"/>
        <v>3.0889095020389461</v>
      </c>
      <c r="AK198" s="171">
        <f t="shared" si="87"/>
        <v>3.5214538455355422</v>
      </c>
      <c r="AL198" s="171">
        <f t="shared" si="87"/>
        <v>3.9606113533154144</v>
      </c>
      <c r="AM198" s="171">
        <f t="shared" si="87"/>
        <v>3.9606113533154144</v>
      </c>
      <c r="AN198" s="171">
        <f t="shared" si="88"/>
        <v>3.9606113533154144</v>
      </c>
      <c r="AO198" s="171">
        <f t="shared" si="88"/>
        <v>3.9606113533154144</v>
      </c>
      <c r="AP198" s="171">
        <f t="shared" si="88"/>
        <v>3.9606113533154144</v>
      </c>
      <c r="AQ198" s="171">
        <f t="shared" si="88"/>
        <v>3.9606113533154144</v>
      </c>
      <c r="AR198" s="171">
        <f t="shared" si="88"/>
        <v>3.9606113533154144</v>
      </c>
      <c r="AS198" s="171">
        <f t="shared" si="88"/>
        <v>3.9606113533154144</v>
      </c>
      <c r="AT198" s="171">
        <f t="shared" si="88"/>
        <v>3.9606113533154144</v>
      </c>
      <c r="AU198" s="171">
        <f t="shared" si="88"/>
        <v>3.9606113533154144</v>
      </c>
      <c r="AV198" s="171">
        <f t="shared" si="88"/>
        <v>3.9606113533154144</v>
      </c>
    </row>
    <row r="199" spans="1:48">
      <c r="A199" s="199" t="s">
        <v>16</v>
      </c>
      <c r="B199" s="95" t="str">
        <f t="shared" si="85"/>
        <v>CNK</v>
      </c>
      <c r="C199" s="95" t="str">
        <f t="shared" si="85"/>
        <v>Commercial - Cooking</v>
      </c>
      <c r="E199" s="114"/>
      <c r="F199" s="114"/>
      <c r="I199" s="169"/>
      <c r="J199" s="171">
        <f t="shared" si="86"/>
        <v>0</v>
      </c>
      <c r="K199" s="171">
        <f t="shared" si="86"/>
        <v>0</v>
      </c>
      <c r="L199" s="171">
        <f t="shared" si="86"/>
        <v>0</v>
      </c>
      <c r="M199" s="171">
        <f t="shared" si="86"/>
        <v>0</v>
      </c>
      <c r="N199" s="171">
        <f t="shared" si="86"/>
        <v>0</v>
      </c>
      <c r="O199" s="171">
        <f t="shared" si="86"/>
        <v>0</v>
      </c>
      <c r="P199" s="171">
        <f t="shared" si="86"/>
        <v>0</v>
      </c>
      <c r="Q199" s="171">
        <f t="shared" si="86"/>
        <v>0</v>
      </c>
      <c r="R199" s="171">
        <f t="shared" si="86"/>
        <v>0</v>
      </c>
      <c r="S199" s="171">
        <f t="shared" si="86"/>
        <v>0</v>
      </c>
      <c r="T199" s="171">
        <f t="shared" si="86"/>
        <v>0</v>
      </c>
      <c r="U199" s="171">
        <f t="shared" si="86"/>
        <v>0</v>
      </c>
      <c r="V199" s="171">
        <f t="shared" si="86"/>
        <v>0</v>
      </c>
      <c r="W199" s="171">
        <f t="shared" si="86"/>
        <v>0</v>
      </c>
      <c r="X199" s="171">
        <f t="shared" si="86"/>
        <v>0</v>
      </c>
      <c r="Y199" s="171">
        <f t="shared" si="86"/>
        <v>0</v>
      </c>
      <c r="Z199" s="171">
        <f t="shared" si="87"/>
        <v>0</v>
      </c>
      <c r="AA199" s="171">
        <f t="shared" si="87"/>
        <v>0</v>
      </c>
      <c r="AB199" s="171">
        <f t="shared" si="87"/>
        <v>0</v>
      </c>
      <c r="AC199" s="171">
        <f t="shared" si="87"/>
        <v>0.26927398016800563</v>
      </c>
      <c r="AD199" s="171">
        <f t="shared" si="87"/>
        <v>0.54648687774606453</v>
      </c>
      <c r="AE199" s="171">
        <f t="shared" si="87"/>
        <v>0.82967714253896629</v>
      </c>
      <c r="AF199" s="171">
        <f t="shared" si="87"/>
        <v>1.1195460278731297</v>
      </c>
      <c r="AG199" s="171">
        <f t="shared" si="87"/>
        <v>1.4025504526129144</v>
      </c>
      <c r="AH199" s="171">
        <f t="shared" si="87"/>
        <v>1.6892937756024797</v>
      </c>
      <c r="AI199" s="171">
        <f t="shared" si="87"/>
        <v>1.994705432640125</v>
      </c>
      <c r="AJ199" s="171">
        <f t="shared" si="87"/>
        <v>2.3103460918122853</v>
      </c>
      <c r="AK199" s="171">
        <f t="shared" si="87"/>
        <v>2.6338671055788687</v>
      </c>
      <c r="AL199" s="171">
        <f t="shared" si="87"/>
        <v>2.962334427499282</v>
      </c>
      <c r="AM199" s="171">
        <f t="shared" si="87"/>
        <v>2.962334427499282</v>
      </c>
      <c r="AN199" s="171">
        <f t="shared" si="88"/>
        <v>2.962334427499282</v>
      </c>
      <c r="AO199" s="171">
        <f t="shared" si="88"/>
        <v>2.962334427499282</v>
      </c>
      <c r="AP199" s="171">
        <f t="shared" si="88"/>
        <v>2.962334427499282</v>
      </c>
      <c r="AQ199" s="171">
        <f t="shared" si="88"/>
        <v>2.962334427499282</v>
      </c>
      <c r="AR199" s="171">
        <f t="shared" si="88"/>
        <v>2.962334427499282</v>
      </c>
      <c r="AS199" s="171">
        <f t="shared" si="88"/>
        <v>2.962334427499282</v>
      </c>
      <c r="AT199" s="171">
        <f t="shared" si="88"/>
        <v>2.962334427499282</v>
      </c>
      <c r="AU199" s="171">
        <f t="shared" si="88"/>
        <v>2.962334427499282</v>
      </c>
      <c r="AV199" s="171">
        <f t="shared" si="88"/>
        <v>2.962334427499282</v>
      </c>
    </row>
    <row r="200" spans="1:48">
      <c r="A200" s="199" t="s">
        <v>16</v>
      </c>
      <c r="B200" s="95" t="str">
        <f t="shared" si="85"/>
        <v>CNL</v>
      </c>
      <c r="C200" s="95" t="str">
        <f t="shared" si="85"/>
        <v>Commercial - Lighting</v>
      </c>
      <c r="E200" s="114"/>
      <c r="F200" s="114"/>
      <c r="I200" s="169"/>
      <c r="J200" s="171">
        <f t="shared" si="86"/>
        <v>0</v>
      </c>
      <c r="K200" s="171">
        <f t="shared" si="86"/>
        <v>0</v>
      </c>
      <c r="L200" s="171">
        <f t="shared" si="86"/>
        <v>0</v>
      </c>
      <c r="M200" s="171">
        <f t="shared" si="86"/>
        <v>0</v>
      </c>
      <c r="N200" s="171">
        <f t="shared" si="86"/>
        <v>0</v>
      </c>
      <c r="O200" s="171">
        <f t="shared" si="86"/>
        <v>0</v>
      </c>
      <c r="P200" s="171">
        <f t="shared" si="86"/>
        <v>0</v>
      </c>
      <c r="Q200" s="171">
        <f t="shared" si="86"/>
        <v>0</v>
      </c>
      <c r="R200" s="171">
        <f t="shared" si="86"/>
        <v>0</v>
      </c>
      <c r="S200" s="171">
        <f t="shared" si="86"/>
        <v>0</v>
      </c>
      <c r="T200" s="171">
        <f t="shared" si="86"/>
        <v>0</v>
      </c>
      <c r="U200" s="171">
        <f t="shared" si="86"/>
        <v>0</v>
      </c>
      <c r="V200" s="171">
        <f t="shared" si="86"/>
        <v>0</v>
      </c>
      <c r="W200" s="171">
        <f t="shared" si="86"/>
        <v>0</v>
      </c>
      <c r="X200" s="171">
        <f t="shared" si="86"/>
        <v>0</v>
      </c>
      <c r="Y200" s="171">
        <f t="shared" si="86"/>
        <v>0</v>
      </c>
      <c r="Z200" s="171">
        <f t="shared" si="87"/>
        <v>0</v>
      </c>
      <c r="AA200" s="171">
        <f t="shared" si="87"/>
        <v>0</v>
      </c>
      <c r="AB200" s="171">
        <f t="shared" si="87"/>
        <v>0</v>
      </c>
      <c r="AC200" s="171">
        <f t="shared" si="87"/>
        <v>3.2852008455933102</v>
      </c>
      <c r="AD200" s="171">
        <f t="shared" si="87"/>
        <v>6.6672582020620137</v>
      </c>
      <c r="AE200" s="171">
        <f t="shared" si="87"/>
        <v>10.122240732423757</v>
      </c>
      <c r="AF200" s="171">
        <f t="shared" si="87"/>
        <v>13.658703879055444</v>
      </c>
      <c r="AG200" s="171">
        <f t="shared" si="87"/>
        <v>17.111419120541878</v>
      </c>
      <c r="AH200" s="171">
        <f t="shared" si="87"/>
        <v>20.609749730004467</v>
      </c>
      <c r="AI200" s="171">
        <f t="shared" si="87"/>
        <v>24.335838055835733</v>
      </c>
      <c r="AJ200" s="171">
        <f t="shared" si="87"/>
        <v>28.186722421896803</v>
      </c>
      <c r="AK200" s="171">
        <f t="shared" si="87"/>
        <v>32.133748819805959</v>
      </c>
      <c r="AL200" s="171">
        <f t="shared" si="87"/>
        <v>36.14112124787885</v>
      </c>
      <c r="AM200" s="171">
        <f t="shared" si="87"/>
        <v>36.14112124787885</v>
      </c>
      <c r="AN200" s="171">
        <f t="shared" si="88"/>
        <v>36.14112124787885</v>
      </c>
      <c r="AO200" s="171">
        <f t="shared" si="88"/>
        <v>36.14112124787885</v>
      </c>
      <c r="AP200" s="171">
        <f t="shared" si="88"/>
        <v>36.14112124787885</v>
      </c>
      <c r="AQ200" s="171">
        <f t="shared" si="88"/>
        <v>36.14112124787885</v>
      </c>
      <c r="AR200" s="171">
        <f t="shared" si="88"/>
        <v>36.14112124787885</v>
      </c>
      <c r="AS200" s="171">
        <f t="shared" si="88"/>
        <v>36.14112124787885</v>
      </c>
      <c r="AT200" s="171">
        <f t="shared" si="88"/>
        <v>36.14112124787885</v>
      </c>
      <c r="AU200" s="171">
        <f t="shared" si="88"/>
        <v>36.14112124787885</v>
      </c>
      <c r="AV200" s="171">
        <f t="shared" si="88"/>
        <v>36.14112124787885</v>
      </c>
    </row>
    <row r="201" spans="1:48">
      <c r="A201" s="199" t="s">
        <v>16</v>
      </c>
      <c r="B201" s="95" t="str">
        <f t="shared" si="85"/>
        <v>CNR</v>
      </c>
      <c r="C201" s="95" t="str">
        <f t="shared" si="85"/>
        <v>Commercial - Refrigeration</v>
      </c>
      <c r="E201" s="114"/>
      <c r="F201" s="114"/>
      <c r="I201" s="169"/>
      <c r="J201" s="171">
        <f t="shared" si="86"/>
        <v>0</v>
      </c>
      <c r="K201" s="171">
        <f t="shared" si="86"/>
        <v>0</v>
      </c>
      <c r="L201" s="171">
        <f t="shared" si="86"/>
        <v>0</v>
      </c>
      <c r="M201" s="171">
        <f t="shared" si="86"/>
        <v>0</v>
      </c>
      <c r="N201" s="171">
        <f t="shared" si="86"/>
        <v>0</v>
      </c>
      <c r="O201" s="171">
        <f t="shared" si="86"/>
        <v>0</v>
      </c>
      <c r="P201" s="171">
        <f t="shared" si="86"/>
        <v>0</v>
      </c>
      <c r="Q201" s="171">
        <f t="shared" si="86"/>
        <v>0</v>
      </c>
      <c r="R201" s="171">
        <f t="shared" si="86"/>
        <v>0</v>
      </c>
      <c r="S201" s="171">
        <f t="shared" si="86"/>
        <v>0</v>
      </c>
      <c r="T201" s="171">
        <f t="shared" si="86"/>
        <v>0</v>
      </c>
      <c r="U201" s="171">
        <f t="shared" si="86"/>
        <v>0</v>
      </c>
      <c r="V201" s="171">
        <f t="shared" si="86"/>
        <v>0</v>
      </c>
      <c r="W201" s="171">
        <f t="shared" si="86"/>
        <v>0</v>
      </c>
      <c r="X201" s="171">
        <f t="shared" si="86"/>
        <v>0</v>
      </c>
      <c r="Y201" s="171">
        <f t="shared" si="86"/>
        <v>0</v>
      </c>
      <c r="Z201" s="171">
        <f t="shared" si="87"/>
        <v>0</v>
      </c>
      <c r="AA201" s="171">
        <f t="shared" si="87"/>
        <v>0</v>
      </c>
      <c r="AB201" s="171">
        <f t="shared" si="87"/>
        <v>0</v>
      </c>
      <c r="AC201" s="171">
        <f t="shared" si="87"/>
        <v>0.79917157608752476</v>
      </c>
      <c r="AD201" s="171">
        <f t="shared" si="87"/>
        <v>1.6219048685171282</v>
      </c>
      <c r="AE201" s="171">
        <f t="shared" si="87"/>
        <v>2.4623782410501245</v>
      </c>
      <c r="AF201" s="171">
        <f t="shared" si="87"/>
        <v>3.3226729260646324</v>
      </c>
      <c r="AG201" s="171">
        <f t="shared" si="87"/>
        <v>4.1625947485070585</v>
      </c>
      <c r="AH201" s="171">
        <f t="shared" si="87"/>
        <v>5.0136131544561566</v>
      </c>
      <c r="AI201" s="171">
        <f t="shared" si="87"/>
        <v>5.9200368466301772</v>
      </c>
      <c r="AJ201" s="171">
        <f t="shared" si="87"/>
        <v>6.8568189408768472</v>
      </c>
      <c r="AK201" s="171">
        <f t="shared" si="87"/>
        <v>7.8169889443356295</v>
      </c>
      <c r="AL201" s="171">
        <f t="shared" si="87"/>
        <v>8.7918389732489501</v>
      </c>
      <c r="AM201" s="171">
        <f t="shared" si="87"/>
        <v>8.7918389732489501</v>
      </c>
      <c r="AN201" s="171">
        <f t="shared" si="88"/>
        <v>8.7918389732489501</v>
      </c>
      <c r="AO201" s="171">
        <f t="shared" si="88"/>
        <v>8.7918389732489501</v>
      </c>
      <c r="AP201" s="171">
        <f t="shared" si="88"/>
        <v>8.7918389732489501</v>
      </c>
      <c r="AQ201" s="171">
        <f t="shared" si="88"/>
        <v>8.7918389732489501</v>
      </c>
      <c r="AR201" s="171">
        <f t="shared" si="88"/>
        <v>8.7918389732489501</v>
      </c>
      <c r="AS201" s="171">
        <f t="shared" si="88"/>
        <v>8.7918389732489501</v>
      </c>
      <c r="AT201" s="171">
        <f t="shared" si="88"/>
        <v>8.7918389732489501</v>
      </c>
      <c r="AU201" s="171">
        <f t="shared" si="88"/>
        <v>8.7918389732489501</v>
      </c>
      <c r="AV201" s="171">
        <f t="shared" si="88"/>
        <v>8.7918389732489501</v>
      </c>
    </row>
    <row r="202" spans="1:48">
      <c r="A202" s="199" t="s">
        <v>16</v>
      </c>
      <c r="B202" s="95" t="str">
        <f t="shared" si="85"/>
        <v>CNW</v>
      </c>
      <c r="C202" s="95" t="str">
        <f t="shared" si="85"/>
        <v>Commercial - Water Heating</v>
      </c>
      <c r="E202" s="114"/>
      <c r="F202" s="114"/>
      <c r="I202" s="169"/>
      <c r="J202" s="171">
        <f t="shared" si="86"/>
        <v>0</v>
      </c>
      <c r="K202" s="171">
        <f t="shared" si="86"/>
        <v>0</v>
      </c>
      <c r="L202" s="171">
        <f t="shared" si="86"/>
        <v>0</v>
      </c>
      <c r="M202" s="171">
        <f t="shared" si="86"/>
        <v>0</v>
      </c>
      <c r="N202" s="171">
        <f t="shared" si="86"/>
        <v>0</v>
      </c>
      <c r="O202" s="171">
        <f t="shared" si="86"/>
        <v>0</v>
      </c>
      <c r="P202" s="171">
        <f t="shared" si="86"/>
        <v>0</v>
      </c>
      <c r="Q202" s="171">
        <f t="shared" si="86"/>
        <v>0</v>
      </c>
      <c r="R202" s="171">
        <f t="shared" si="86"/>
        <v>0</v>
      </c>
      <c r="S202" s="171">
        <f t="shared" si="86"/>
        <v>0</v>
      </c>
      <c r="T202" s="171">
        <f t="shared" si="86"/>
        <v>0</v>
      </c>
      <c r="U202" s="171">
        <f t="shared" si="86"/>
        <v>0</v>
      </c>
      <c r="V202" s="171">
        <f t="shared" si="86"/>
        <v>0</v>
      </c>
      <c r="W202" s="171">
        <f t="shared" si="86"/>
        <v>0</v>
      </c>
      <c r="X202" s="171">
        <f t="shared" si="86"/>
        <v>0</v>
      </c>
      <c r="Y202" s="171">
        <f t="shared" si="86"/>
        <v>0</v>
      </c>
      <c r="Z202" s="171">
        <f t="shared" si="87"/>
        <v>0</v>
      </c>
      <c r="AA202" s="171">
        <f t="shared" si="87"/>
        <v>0</v>
      </c>
      <c r="AB202" s="171">
        <f t="shared" si="87"/>
        <v>0</v>
      </c>
      <c r="AC202" s="171">
        <f t="shared" si="87"/>
        <v>0.41659996937129157</v>
      </c>
      <c r="AD202" s="171">
        <f t="shared" si="87"/>
        <v>0.84548242050263278</v>
      </c>
      <c r="AE202" s="171">
        <f t="shared" si="87"/>
        <v>1.2836125939615111</v>
      </c>
      <c r="AF202" s="171">
        <f t="shared" si="87"/>
        <v>1.732075414901576</v>
      </c>
      <c r="AG202" s="171">
        <f t="shared" si="87"/>
        <v>2.1699180709390227</v>
      </c>
      <c r="AH202" s="171">
        <f t="shared" si="87"/>
        <v>2.6135452624721354</v>
      </c>
      <c r="AI202" s="171">
        <f t="shared" si="87"/>
        <v>3.0860546630764354</v>
      </c>
      <c r="AJ202" s="171">
        <f t="shared" si="87"/>
        <v>3.5743895882014445</v>
      </c>
      <c r="AK202" s="171">
        <f t="shared" si="87"/>
        <v>4.0749163912072035</v>
      </c>
      <c r="AL202" s="171">
        <f t="shared" si="87"/>
        <v>4.5830957413476705</v>
      </c>
      <c r="AM202" s="171">
        <f t="shared" si="87"/>
        <v>4.5830957413476705</v>
      </c>
      <c r="AN202" s="171">
        <f t="shared" si="88"/>
        <v>4.5830957413476705</v>
      </c>
      <c r="AO202" s="171">
        <f t="shared" si="88"/>
        <v>4.5830957413476705</v>
      </c>
      <c r="AP202" s="171">
        <f t="shared" si="88"/>
        <v>4.5830957413476705</v>
      </c>
      <c r="AQ202" s="171">
        <f t="shared" si="88"/>
        <v>4.5830957413476705</v>
      </c>
      <c r="AR202" s="171">
        <f t="shared" si="88"/>
        <v>4.5830957413476705</v>
      </c>
      <c r="AS202" s="171">
        <f t="shared" si="88"/>
        <v>4.5830957413476705</v>
      </c>
      <c r="AT202" s="171">
        <f t="shared" si="88"/>
        <v>4.5830957413476705</v>
      </c>
      <c r="AU202" s="171">
        <f t="shared" si="88"/>
        <v>4.5830957413476705</v>
      </c>
      <c r="AV202" s="171">
        <f t="shared" si="88"/>
        <v>4.5830957413476705</v>
      </c>
    </row>
    <row r="203" spans="1:48">
      <c r="A203" s="199" t="s">
        <v>16</v>
      </c>
      <c r="B203" s="95" t="str">
        <f t="shared" si="85"/>
        <v>CNG</v>
      </c>
      <c r="C203" s="95" t="str">
        <f t="shared" si="85"/>
        <v>Commercial - Public lights</v>
      </c>
      <c r="E203" s="114"/>
      <c r="F203" s="114"/>
      <c r="I203" s="169"/>
      <c r="J203" s="171">
        <f t="shared" si="86"/>
        <v>0</v>
      </c>
      <c r="K203" s="171">
        <f t="shared" si="86"/>
        <v>0</v>
      </c>
      <c r="L203" s="171">
        <f t="shared" si="86"/>
        <v>0</v>
      </c>
      <c r="M203" s="171">
        <f t="shared" si="86"/>
        <v>0</v>
      </c>
      <c r="N203" s="171">
        <f t="shared" si="86"/>
        <v>0</v>
      </c>
      <c r="O203" s="171">
        <f t="shared" si="86"/>
        <v>0</v>
      </c>
      <c r="P203" s="171">
        <f t="shared" si="86"/>
        <v>0</v>
      </c>
      <c r="Q203" s="171">
        <f t="shared" si="86"/>
        <v>0</v>
      </c>
      <c r="R203" s="171">
        <f t="shared" si="86"/>
        <v>0</v>
      </c>
      <c r="S203" s="171">
        <f t="shared" si="86"/>
        <v>0</v>
      </c>
      <c r="T203" s="171">
        <f t="shared" si="86"/>
        <v>0</v>
      </c>
      <c r="U203" s="171">
        <f t="shared" si="86"/>
        <v>0</v>
      </c>
      <c r="V203" s="171">
        <f t="shared" si="86"/>
        <v>0</v>
      </c>
      <c r="W203" s="171">
        <f t="shared" si="86"/>
        <v>0</v>
      </c>
      <c r="X203" s="171">
        <f t="shared" si="86"/>
        <v>0</v>
      </c>
      <c r="Y203" s="171">
        <f t="shared" si="86"/>
        <v>0</v>
      </c>
      <c r="Z203" s="171">
        <f t="shared" si="87"/>
        <v>0</v>
      </c>
      <c r="AA203" s="171">
        <f t="shared" si="87"/>
        <v>0</v>
      </c>
      <c r="AB203" s="171">
        <f t="shared" si="87"/>
        <v>0</v>
      </c>
      <c r="AC203" s="171">
        <f t="shared" si="87"/>
        <v>0</v>
      </c>
      <c r="AD203" s="171">
        <f t="shared" si="87"/>
        <v>0</v>
      </c>
      <c r="AE203" s="171">
        <f t="shared" si="87"/>
        <v>0</v>
      </c>
      <c r="AF203" s="171">
        <f t="shared" si="87"/>
        <v>0</v>
      </c>
      <c r="AG203" s="171">
        <f t="shared" si="87"/>
        <v>0</v>
      </c>
      <c r="AH203" s="171">
        <f t="shared" si="87"/>
        <v>0</v>
      </c>
      <c r="AI203" s="171">
        <f t="shared" si="87"/>
        <v>0</v>
      </c>
      <c r="AJ203" s="171">
        <f t="shared" si="87"/>
        <v>0</v>
      </c>
      <c r="AK203" s="171">
        <f t="shared" si="87"/>
        <v>0</v>
      </c>
      <c r="AL203" s="171">
        <f t="shared" si="87"/>
        <v>0</v>
      </c>
      <c r="AM203" s="171">
        <f t="shared" si="87"/>
        <v>0</v>
      </c>
      <c r="AN203" s="171">
        <f t="shared" si="88"/>
        <v>0</v>
      </c>
      <c r="AO203" s="171">
        <f t="shared" si="88"/>
        <v>0</v>
      </c>
      <c r="AP203" s="171">
        <f t="shared" si="88"/>
        <v>0</v>
      </c>
      <c r="AQ203" s="171">
        <f t="shared" si="88"/>
        <v>0</v>
      </c>
      <c r="AR203" s="171">
        <f t="shared" si="88"/>
        <v>0</v>
      </c>
      <c r="AS203" s="171">
        <f t="shared" si="88"/>
        <v>0</v>
      </c>
      <c r="AT203" s="171">
        <f t="shared" si="88"/>
        <v>0</v>
      </c>
      <c r="AU203" s="171">
        <f t="shared" si="88"/>
        <v>0</v>
      </c>
      <c r="AV203" s="171">
        <f t="shared" si="88"/>
        <v>0</v>
      </c>
    </row>
    <row r="204" spans="1:48">
      <c r="A204" s="199" t="s">
        <v>16</v>
      </c>
      <c r="B204" s="95" t="str">
        <f t="shared" si="85"/>
        <v>CNT</v>
      </c>
      <c r="C204" s="95" t="str">
        <f t="shared" si="85"/>
        <v>Commercial - Public Water</v>
      </c>
      <c r="E204" s="114"/>
      <c r="F204" s="114"/>
      <c r="I204" s="169"/>
      <c r="J204" s="171">
        <f t="shared" si="86"/>
        <v>0</v>
      </c>
      <c r="K204" s="171">
        <f t="shared" si="86"/>
        <v>0</v>
      </c>
      <c r="L204" s="171">
        <f t="shared" si="86"/>
        <v>0</v>
      </c>
      <c r="M204" s="171">
        <f t="shared" si="86"/>
        <v>0</v>
      </c>
      <c r="N204" s="171">
        <f t="shared" si="86"/>
        <v>0</v>
      </c>
      <c r="O204" s="171">
        <f t="shared" si="86"/>
        <v>0</v>
      </c>
      <c r="P204" s="171">
        <f t="shared" si="86"/>
        <v>0</v>
      </c>
      <c r="Q204" s="171">
        <f t="shared" si="86"/>
        <v>0</v>
      </c>
      <c r="R204" s="171">
        <f t="shared" si="86"/>
        <v>0</v>
      </c>
      <c r="S204" s="171">
        <f t="shared" si="86"/>
        <v>0</v>
      </c>
      <c r="T204" s="171">
        <f t="shared" si="86"/>
        <v>0</v>
      </c>
      <c r="U204" s="171">
        <f t="shared" si="86"/>
        <v>0</v>
      </c>
      <c r="V204" s="171">
        <f t="shared" si="86"/>
        <v>0</v>
      </c>
      <c r="W204" s="171">
        <f t="shared" si="86"/>
        <v>0</v>
      </c>
      <c r="X204" s="171">
        <f t="shared" si="86"/>
        <v>0</v>
      </c>
      <c r="Y204" s="171">
        <f t="shared" si="86"/>
        <v>0</v>
      </c>
      <c r="Z204" s="171">
        <f t="shared" si="87"/>
        <v>0</v>
      </c>
      <c r="AA204" s="171">
        <f t="shared" si="87"/>
        <v>0</v>
      </c>
      <c r="AB204" s="171">
        <f t="shared" si="87"/>
        <v>0</v>
      </c>
      <c r="AC204" s="171">
        <f t="shared" si="87"/>
        <v>0</v>
      </c>
      <c r="AD204" s="171">
        <f t="shared" si="87"/>
        <v>0</v>
      </c>
      <c r="AE204" s="171">
        <f t="shared" si="87"/>
        <v>0</v>
      </c>
      <c r="AF204" s="171">
        <f t="shared" si="87"/>
        <v>0</v>
      </c>
      <c r="AG204" s="171">
        <f t="shared" si="87"/>
        <v>0</v>
      </c>
      <c r="AH204" s="171">
        <f t="shared" si="87"/>
        <v>0</v>
      </c>
      <c r="AI204" s="171">
        <f t="shared" si="87"/>
        <v>0</v>
      </c>
      <c r="AJ204" s="171">
        <f t="shared" si="87"/>
        <v>0</v>
      </c>
      <c r="AK204" s="171">
        <f t="shared" si="87"/>
        <v>0</v>
      </c>
      <c r="AL204" s="171">
        <f t="shared" si="87"/>
        <v>0</v>
      </c>
      <c r="AM204" s="171">
        <f t="shared" si="87"/>
        <v>0</v>
      </c>
      <c r="AN204" s="171">
        <f t="shared" si="88"/>
        <v>0</v>
      </c>
      <c r="AO204" s="171">
        <f t="shared" si="88"/>
        <v>0</v>
      </c>
      <c r="AP204" s="171">
        <f t="shared" si="88"/>
        <v>0</v>
      </c>
      <c r="AQ204" s="171">
        <f t="shared" si="88"/>
        <v>0</v>
      </c>
      <c r="AR204" s="171">
        <f t="shared" si="88"/>
        <v>0</v>
      </c>
      <c r="AS204" s="171">
        <f t="shared" si="88"/>
        <v>0</v>
      </c>
      <c r="AT204" s="171">
        <f t="shared" si="88"/>
        <v>0</v>
      </c>
      <c r="AU204" s="171">
        <f t="shared" si="88"/>
        <v>0</v>
      </c>
      <c r="AV204" s="171">
        <f t="shared" si="88"/>
        <v>0</v>
      </c>
    </row>
    <row r="205" spans="1:48">
      <c r="A205" s="199" t="s">
        <v>16</v>
      </c>
      <c r="B205" s="95" t="str">
        <f t="shared" si="85"/>
        <v>CNO</v>
      </c>
      <c r="C205" s="95" t="str">
        <f t="shared" si="85"/>
        <v>Commercial - Other</v>
      </c>
      <c r="E205" s="114"/>
      <c r="F205" s="114"/>
      <c r="I205" s="169"/>
      <c r="J205" s="171">
        <f t="shared" si="86"/>
        <v>0</v>
      </c>
      <c r="K205" s="171">
        <f t="shared" si="86"/>
        <v>0</v>
      </c>
      <c r="L205" s="171">
        <f t="shared" si="86"/>
        <v>0</v>
      </c>
      <c r="M205" s="171">
        <f t="shared" si="86"/>
        <v>0</v>
      </c>
      <c r="N205" s="171">
        <f t="shared" si="86"/>
        <v>0</v>
      </c>
      <c r="O205" s="171">
        <f t="shared" si="86"/>
        <v>0</v>
      </c>
      <c r="P205" s="171">
        <f t="shared" si="86"/>
        <v>0</v>
      </c>
      <c r="Q205" s="171">
        <f t="shared" si="86"/>
        <v>0</v>
      </c>
      <c r="R205" s="171">
        <f t="shared" si="86"/>
        <v>0</v>
      </c>
      <c r="S205" s="171">
        <f t="shared" si="86"/>
        <v>0</v>
      </c>
      <c r="T205" s="171">
        <f t="shared" si="86"/>
        <v>0</v>
      </c>
      <c r="U205" s="171">
        <f t="shared" si="86"/>
        <v>0</v>
      </c>
      <c r="V205" s="171">
        <f t="shared" si="86"/>
        <v>0</v>
      </c>
      <c r="W205" s="171">
        <f t="shared" si="86"/>
        <v>0</v>
      </c>
      <c r="X205" s="171">
        <f t="shared" si="86"/>
        <v>0</v>
      </c>
      <c r="Y205" s="171">
        <f t="shared" si="86"/>
        <v>0</v>
      </c>
      <c r="Z205" s="171">
        <f t="shared" si="87"/>
        <v>0</v>
      </c>
      <c r="AA205" s="171">
        <f t="shared" si="87"/>
        <v>0</v>
      </c>
      <c r="AB205" s="171">
        <f t="shared" si="87"/>
        <v>0</v>
      </c>
      <c r="AC205" s="171">
        <f t="shared" si="87"/>
        <v>0.53352097076459049</v>
      </c>
      <c r="AD205" s="171">
        <f t="shared" si="87"/>
        <v>1.0827715672464113</v>
      </c>
      <c r="AE205" s="171">
        <f t="shared" si="87"/>
        <v>1.6438653086065065</v>
      </c>
      <c r="AF205" s="171">
        <f t="shared" si="87"/>
        <v>2.2181916100242765</v>
      </c>
      <c r="AG205" s="171">
        <f t="shared" si="87"/>
        <v>2.778917140666485</v>
      </c>
      <c r="AH205" s="171">
        <f t="shared" si="87"/>
        <v>3.3470506675160072</v>
      </c>
      <c r="AI205" s="171">
        <f t="shared" si="87"/>
        <v>3.9521723493208474</v>
      </c>
      <c r="AJ205" s="171">
        <f t="shared" si="87"/>
        <v>4.5775610734346195</v>
      </c>
      <c r="AK205" s="171">
        <f t="shared" si="87"/>
        <v>5.2185633909247837</v>
      </c>
      <c r="AL205" s="171">
        <f t="shared" si="87"/>
        <v>5.8693659836821146</v>
      </c>
      <c r="AM205" s="171">
        <f t="shared" si="87"/>
        <v>5.8693659836821146</v>
      </c>
      <c r="AN205" s="171">
        <f t="shared" si="88"/>
        <v>5.8693659836821146</v>
      </c>
      <c r="AO205" s="171">
        <f t="shared" si="88"/>
        <v>5.8693659836821146</v>
      </c>
      <c r="AP205" s="171">
        <f t="shared" si="88"/>
        <v>5.8693659836821146</v>
      </c>
      <c r="AQ205" s="171">
        <f t="shared" si="88"/>
        <v>5.8693659836821146</v>
      </c>
      <c r="AR205" s="171">
        <f t="shared" si="88"/>
        <v>5.8693659836821146</v>
      </c>
      <c r="AS205" s="171">
        <f t="shared" si="88"/>
        <v>5.8693659836821146</v>
      </c>
      <c r="AT205" s="171">
        <f t="shared" si="88"/>
        <v>5.8693659836821146</v>
      </c>
      <c r="AU205" s="171">
        <f t="shared" si="88"/>
        <v>5.8693659836821146</v>
      </c>
      <c r="AV205" s="171">
        <f t="shared" si="88"/>
        <v>5.8693659836821146</v>
      </c>
    </row>
    <row r="206" spans="1:48">
      <c r="A206" s="199" t="s">
        <v>16</v>
      </c>
      <c r="E206" s="114"/>
      <c r="F206" s="114"/>
      <c r="I206" s="169"/>
      <c r="J206" s="171"/>
      <c r="K206" s="171"/>
      <c r="L206" s="171"/>
      <c r="M206" s="171"/>
      <c r="N206" s="171"/>
      <c r="O206" s="171"/>
      <c r="P206" s="171"/>
      <c r="Q206" s="171"/>
      <c r="R206" s="171"/>
      <c r="S206" s="171"/>
      <c r="T206" s="171"/>
      <c r="U206" s="171"/>
      <c r="V206" s="171"/>
      <c r="W206" s="171"/>
      <c r="X206" s="171"/>
      <c r="Y206" s="171"/>
      <c r="Z206" s="171"/>
      <c r="AA206" s="171"/>
      <c r="AB206" s="171"/>
      <c r="AC206" s="171"/>
      <c r="AD206" s="171"/>
      <c r="AE206" s="171"/>
      <c r="AF206" s="171"/>
      <c r="AG206" s="171"/>
      <c r="AH206" s="171"/>
      <c r="AI206" s="171"/>
      <c r="AJ206" s="171"/>
      <c r="AK206" s="171"/>
      <c r="AL206" s="171"/>
      <c r="AM206" s="171"/>
      <c r="AN206" s="171"/>
      <c r="AO206" s="171"/>
      <c r="AP206" s="171"/>
      <c r="AQ206" s="171"/>
      <c r="AR206" s="171"/>
      <c r="AS206" s="171"/>
      <c r="AT206" s="171"/>
      <c r="AU206" s="171"/>
      <c r="AV206" s="171"/>
    </row>
    <row r="207" spans="1:48">
      <c r="A207" s="199" t="s">
        <v>16</v>
      </c>
      <c r="E207" s="114"/>
      <c r="F207" s="114"/>
      <c r="I207" s="169" t="s">
        <v>232</v>
      </c>
      <c r="J207" s="171"/>
      <c r="K207" s="171"/>
      <c r="L207" s="171"/>
      <c r="M207" s="171"/>
      <c r="N207" s="171"/>
      <c r="O207" s="171"/>
      <c r="P207" s="171"/>
      <c r="Q207" s="171"/>
      <c r="R207" s="171"/>
      <c r="S207" s="171"/>
      <c r="T207" s="171"/>
      <c r="U207" s="171"/>
      <c r="V207" s="171"/>
      <c r="W207" s="171"/>
      <c r="X207" s="171"/>
      <c r="Y207" s="171"/>
      <c r="Z207" s="171"/>
      <c r="AA207" s="171"/>
      <c r="AB207" s="171"/>
      <c r="AC207" s="171"/>
      <c r="AD207" s="171"/>
      <c r="AE207" s="171"/>
      <c r="AF207" s="171"/>
      <c r="AG207" s="171"/>
      <c r="AH207" s="171"/>
      <c r="AI207" s="171"/>
      <c r="AJ207" s="171"/>
      <c r="AK207" s="171"/>
      <c r="AL207" s="171"/>
      <c r="AM207" s="171"/>
      <c r="AN207" s="171"/>
      <c r="AO207" s="171"/>
      <c r="AP207" s="171"/>
      <c r="AQ207" s="171"/>
      <c r="AR207" s="171"/>
      <c r="AS207" s="171"/>
      <c r="AT207" s="171"/>
      <c r="AU207" s="171"/>
      <c r="AV207" s="171"/>
    </row>
    <row r="208" spans="1:48">
      <c r="A208" s="199" t="s">
        <v>16</v>
      </c>
      <c r="B208" s="95" t="str">
        <f t="shared" ref="B208:C216" si="89">B197</f>
        <v>CNC</v>
      </c>
      <c r="C208" s="95" t="str">
        <f t="shared" si="89"/>
        <v>Commercial - Cooling</v>
      </c>
      <c r="E208" s="97"/>
      <c r="F208" s="114"/>
      <c r="I208" s="169"/>
      <c r="J208" s="171">
        <f t="shared" ref="J208:Y216" si="90">INDEX(J$49:J$52,MATCH($I$207,$B$49:$B$52,0),1)*INDEX(J$81:J$89,MATCH($B208,$B$81:$B$89,0))*INDEX(J$138:J$146,MATCH($B208,$B$138:$B$146,0))/1000</f>
        <v>0</v>
      </c>
      <c r="K208" s="171">
        <f t="shared" si="90"/>
        <v>0</v>
      </c>
      <c r="L208" s="171">
        <f t="shared" si="90"/>
        <v>0</v>
      </c>
      <c r="M208" s="171">
        <f t="shared" si="90"/>
        <v>0</v>
      </c>
      <c r="N208" s="171">
        <f t="shared" si="90"/>
        <v>0</v>
      </c>
      <c r="O208" s="171">
        <f t="shared" si="90"/>
        <v>0</v>
      </c>
      <c r="P208" s="171">
        <f t="shared" si="90"/>
        <v>0</v>
      </c>
      <c r="Q208" s="171">
        <f t="shared" si="90"/>
        <v>0</v>
      </c>
      <c r="R208" s="171">
        <f t="shared" si="90"/>
        <v>0</v>
      </c>
      <c r="S208" s="171">
        <f t="shared" si="90"/>
        <v>0</v>
      </c>
      <c r="T208" s="171">
        <f t="shared" si="90"/>
        <v>0</v>
      </c>
      <c r="U208" s="171">
        <f t="shared" si="90"/>
        <v>0</v>
      </c>
      <c r="V208" s="171">
        <f t="shared" si="90"/>
        <v>0</v>
      </c>
      <c r="W208" s="171">
        <f t="shared" si="90"/>
        <v>0</v>
      </c>
      <c r="X208" s="171">
        <f t="shared" si="90"/>
        <v>0</v>
      </c>
      <c r="Y208" s="171">
        <f t="shared" si="90"/>
        <v>0</v>
      </c>
      <c r="Z208" s="171">
        <f t="shared" ref="Z208:AO216" si="91">INDEX(Z$49:Z$52,MATCH($I$207,$B$49:$B$52,0),1)*INDEX(Z$81:Z$89,MATCH($B208,$B$81:$B$89,0))*INDEX(Z$138:Z$146,MATCH($B208,$B$138:$B$146,0))/1000</f>
        <v>0</v>
      </c>
      <c r="AA208" s="171">
        <f t="shared" si="91"/>
        <v>0</v>
      </c>
      <c r="AB208" s="171">
        <f t="shared" si="91"/>
        <v>0</v>
      </c>
      <c r="AC208" s="171">
        <f t="shared" si="91"/>
        <v>0</v>
      </c>
      <c r="AD208" s="171">
        <f t="shared" si="91"/>
        <v>0</v>
      </c>
      <c r="AE208" s="171">
        <f t="shared" si="91"/>
        <v>0</v>
      </c>
      <c r="AF208" s="171">
        <f t="shared" si="91"/>
        <v>0</v>
      </c>
      <c r="AG208" s="171">
        <f t="shared" si="91"/>
        <v>0</v>
      </c>
      <c r="AH208" s="171">
        <f t="shared" si="91"/>
        <v>0</v>
      </c>
      <c r="AI208" s="171">
        <f t="shared" si="91"/>
        <v>0</v>
      </c>
      <c r="AJ208" s="171">
        <f t="shared" si="91"/>
        <v>0</v>
      </c>
      <c r="AK208" s="171">
        <f t="shared" si="91"/>
        <v>0</v>
      </c>
      <c r="AL208" s="171">
        <f t="shared" si="91"/>
        <v>0</v>
      </c>
      <c r="AM208" s="171">
        <f t="shared" si="91"/>
        <v>5.0316246884981677</v>
      </c>
      <c r="AN208" s="171">
        <f t="shared" si="91"/>
        <v>9.9289070203298362</v>
      </c>
      <c r="AO208" s="171">
        <f t="shared" si="91"/>
        <v>14.703475674174802</v>
      </c>
      <c r="AP208" s="171">
        <f t="shared" ref="AN208:AV216" si="92">INDEX(AP$49:AP$52,MATCH($I$207,$B$49:$B$52,0),1)*INDEX(AP$81:AP$89,MATCH($B208,$B$81:$B$89,0))*INDEX(AP$138:AP$146,MATCH($B208,$B$138:$B$146,0))/1000</f>
        <v>19.365393262741804</v>
      </c>
      <c r="AQ208" s="171">
        <f t="shared" si="92"/>
        <v>23.923435046562407</v>
      </c>
      <c r="AR208" s="171">
        <f t="shared" si="92"/>
        <v>29.31660738694934</v>
      </c>
      <c r="AS208" s="171">
        <f t="shared" si="92"/>
        <v>34.56871417581641</v>
      </c>
      <c r="AT208" s="171">
        <f t="shared" si="92"/>
        <v>39.691560680490767</v>
      </c>
      <c r="AU208" s="171">
        <f t="shared" si="92"/>
        <v>44.695412408295653</v>
      </c>
      <c r="AV208" s="171">
        <f t="shared" si="92"/>
        <v>50.015026188855927</v>
      </c>
    </row>
    <row r="209" spans="1:48">
      <c r="A209" s="199" t="s">
        <v>16</v>
      </c>
      <c r="B209" s="95" t="str">
        <f t="shared" si="89"/>
        <v>CNH</v>
      </c>
      <c r="C209" s="95" t="str">
        <f t="shared" si="89"/>
        <v>Commercial - Space Heating</v>
      </c>
      <c r="E209" s="114"/>
      <c r="F209" s="114"/>
      <c r="I209" s="169"/>
      <c r="J209" s="171">
        <f t="shared" si="90"/>
        <v>0</v>
      </c>
      <c r="K209" s="171">
        <f t="shared" si="90"/>
        <v>0</v>
      </c>
      <c r="L209" s="171">
        <f t="shared" si="90"/>
        <v>0</v>
      </c>
      <c r="M209" s="171">
        <f t="shared" si="90"/>
        <v>0</v>
      </c>
      <c r="N209" s="171">
        <f t="shared" si="90"/>
        <v>0</v>
      </c>
      <c r="O209" s="171">
        <f t="shared" si="90"/>
        <v>0</v>
      </c>
      <c r="P209" s="171">
        <f t="shared" si="90"/>
        <v>0</v>
      </c>
      <c r="Q209" s="171">
        <f t="shared" si="90"/>
        <v>0</v>
      </c>
      <c r="R209" s="171">
        <f t="shared" si="90"/>
        <v>0</v>
      </c>
      <c r="S209" s="171">
        <f t="shared" si="90"/>
        <v>0</v>
      </c>
      <c r="T209" s="171">
        <f t="shared" si="90"/>
        <v>0</v>
      </c>
      <c r="U209" s="171">
        <f t="shared" si="90"/>
        <v>0</v>
      </c>
      <c r="V209" s="171">
        <f t="shared" si="90"/>
        <v>0</v>
      </c>
      <c r="W209" s="171">
        <f t="shared" si="90"/>
        <v>0</v>
      </c>
      <c r="X209" s="171">
        <f t="shared" si="90"/>
        <v>0</v>
      </c>
      <c r="Y209" s="171">
        <f t="shared" si="90"/>
        <v>0</v>
      </c>
      <c r="Z209" s="171">
        <f t="shared" si="91"/>
        <v>0</v>
      </c>
      <c r="AA209" s="171">
        <f t="shared" si="91"/>
        <v>0</v>
      </c>
      <c r="AB209" s="171">
        <f t="shared" si="91"/>
        <v>0</v>
      </c>
      <c r="AC209" s="171">
        <f t="shared" si="91"/>
        <v>0</v>
      </c>
      <c r="AD209" s="171">
        <f t="shared" si="91"/>
        <v>0</v>
      </c>
      <c r="AE209" s="171">
        <f t="shared" si="91"/>
        <v>0</v>
      </c>
      <c r="AF209" s="171">
        <f t="shared" si="91"/>
        <v>0</v>
      </c>
      <c r="AG209" s="171">
        <f t="shared" si="91"/>
        <v>0</v>
      </c>
      <c r="AH209" s="171">
        <f t="shared" si="91"/>
        <v>0</v>
      </c>
      <c r="AI209" s="171">
        <f t="shared" si="91"/>
        <v>0</v>
      </c>
      <c r="AJ209" s="171">
        <f t="shared" si="91"/>
        <v>0</v>
      </c>
      <c r="AK209" s="171">
        <f t="shared" si="91"/>
        <v>0</v>
      </c>
      <c r="AL209" s="171">
        <f t="shared" si="91"/>
        <v>0</v>
      </c>
      <c r="AM209" s="171">
        <f t="shared" si="91"/>
        <v>0.47984762166366968</v>
      </c>
      <c r="AN209" s="171">
        <f t="shared" si="92"/>
        <v>0.94688350470890259</v>
      </c>
      <c r="AO209" s="171">
        <f t="shared" si="92"/>
        <v>1.4022166336393216</v>
      </c>
      <c r="AP209" s="171">
        <f t="shared" si="92"/>
        <v>1.8468066429815337</v>
      </c>
      <c r="AQ209" s="171">
        <f t="shared" si="92"/>
        <v>2.2814903971990548</v>
      </c>
      <c r="AR209" s="171">
        <f t="shared" si="92"/>
        <v>2.7958174945027667</v>
      </c>
      <c r="AS209" s="171">
        <f t="shared" si="92"/>
        <v>3.2966916867139715</v>
      </c>
      <c r="AT209" s="171">
        <f t="shared" si="92"/>
        <v>3.7852387989489555</v>
      </c>
      <c r="AU209" s="171">
        <f t="shared" si="92"/>
        <v>4.2624378150507498</v>
      </c>
      <c r="AV209" s="171">
        <f t="shared" si="92"/>
        <v>4.7697499018616263</v>
      </c>
    </row>
    <row r="210" spans="1:48">
      <c r="A210" s="199" t="s">
        <v>16</v>
      </c>
      <c r="B210" s="95" t="str">
        <f t="shared" si="89"/>
        <v>CNK</v>
      </c>
      <c r="C210" s="95" t="str">
        <f t="shared" si="89"/>
        <v>Commercial - Cooking</v>
      </c>
      <c r="E210" s="114"/>
      <c r="F210" s="114"/>
      <c r="I210" s="169"/>
      <c r="J210" s="171">
        <f t="shared" si="90"/>
        <v>0</v>
      </c>
      <c r="K210" s="171">
        <f t="shared" si="90"/>
        <v>0</v>
      </c>
      <c r="L210" s="171">
        <f t="shared" si="90"/>
        <v>0</v>
      </c>
      <c r="M210" s="171">
        <f t="shared" si="90"/>
        <v>0</v>
      </c>
      <c r="N210" s="171">
        <f t="shared" si="90"/>
        <v>0</v>
      </c>
      <c r="O210" s="171">
        <f t="shared" si="90"/>
        <v>0</v>
      </c>
      <c r="P210" s="171">
        <f t="shared" si="90"/>
        <v>0</v>
      </c>
      <c r="Q210" s="171">
        <f t="shared" si="90"/>
        <v>0</v>
      </c>
      <c r="R210" s="171">
        <f t="shared" si="90"/>
        <v>0</v>
      </c>
      <c r="S210" s="171">
        <f t="shared" si="90"/>
        <v>0</v>
      </c>
      <c r="T210" s="171">
        <f t="shared" si="90"/>
        <v>0</v>
      </c>
      <c r="U210" s="171">
        <f t="shared" si="90"/>
        <v>0</v>
      </c>
      <c r="V210" s="171">
        <f t="shared" si="90"/>
        <v>0</v>
      </c>
      <c r="W210" s="171">
        <f t="shared" si="90"/>
        <v>0</v>
      </c>
      <c r="X210" s="171">
        <f t="shared" si="90"/>
        <v>0</v>
      </c>
      <c r="Y210" s="171">
        <f t="shared" si="90"/>
        <v>0</v>
      </c>
      <c r="Z210" s="171">
        <f t="shared" si="91"/>
        <v>0</v>
      </c>
      <c r="AA210" s="171">
        <f t="shared" si="91"/>
        <v>0</v>
      </c>
      <c r="AB210" s="171">
        <f t="shared" si="91"/>
        <v>0</v>
      </c>
      <c r="AC210" s="171">
        <f t="shared" si="91"/>
        <v>0</v>
      </c>
      <c r="AD210" s="171">
        <f t="shared" si="91"/>
        <v>0</v>
      </c>
      <c r="AE210" s="171">
        <f t="shared" si="91"/>
        <v>0</v>
      </c>
      <c r="AF210" s="171">
        <f t="shared" si="91"/>
        <v>0</v>
      </c>
      <c r="AG210" s="171">
        <f t="shared" si="91"/>
        <v>0</v>
      </c>
      <c r="AH210" s="171">
        <f t="shared" si="91"/>
        <v>0</v>
      </c>
      <c r="AI210" s="171">
        <f t="shared" si="91"/>
        <v>0</v>
      </c>
      <c r="AJ210" s="171">
        <f t="shared" si="91"/>
        <v>0</v>
      </c>
      <c r="AK210" s="171">
        <f t="shared" si="91"/>
        <v>0</v>
      </c>
      <c r="AL210" s="171">
        <f t="shared" si="91"/>
        <v>0</v>
      </c>
      <c r="AM210" s="171">
        <f t="shared" si="91"/>
        <v>0.35890144293456921</v>
      </c>
      <c r="AN210" s="171">
        <f t="shared" si="92"/>
        <v>0.70822036160713342</v>
      </c>
      <c r="AO210" s="171">
        <f t="shared" si="92"/>
        <v>1.0487862196235815</v>
      </c>
      <c r="AP210" s="171">
        <f t="shared" si="92"/>
        <v>1.3813167744567856</v>
      </c>
      <c r="AQ210" s="171">
        <f t="shared" si="92"/>
        <v>1.7064379578607791</v>
      </c>
      <c r="AR210" s="171">
        <f t="shared" si="92"/>
        <v>2.091128282515621</v>
      </c>
      <c r="AS210" s="171">
        <f t="shared" si="92"/>
        <v>2.4657565232267671</v>
      </c>
      <c r="AT210" s="171">
        <f t="shared" si="92"/>
        <v>2.8311647395157924</v>
      </c>
      <c r="AU210" s="171">
        <f t="shared" si="92"/>
        <v>3.1880851611531722</v>
      </c>
      <c r="AV210" s="171">
        <f t="shared" si="92"/>
        <v>3.5675286172722251</v>
      </c>
    </row>
    <row r="211" spans="1:48">
      <c r="A211" s="199" t="s">
        <v>16</v>
      </c>
      <c r="B211" s="95" t="str">
        <f t="shared" si="89"/>
        <v>CNL</v>
      </c>
      <c r="C211" s="95" t="str">
        <f t="shared" si="89"/>
        <v>Commercial - Lighting</v>
      </c>
      <c r="E211" s="114"/>
      <c r="F211" s="114"/>
      <c r="I211" s="169"/>
      <c r="J211" s="171">
        <f t="shared" si="90"/>
        <v>0</v>
      </c>
      <c r="K211" s="171">
        <f t="shared" si="90"/>
        <v>0</v>
      </c>
      <c r="L211" s="171">
        <f t="shared" si="90"/>
        <v>0</v>
      </c>
      <c r="M211" s="171">
        <f t="shared" si="90"/>
        <v>0</v>
      </c>
      <c r="N211" s="171">
        <f t="shared" si="90"/>
        <v>0</v>
      </c>
      <c r="O211" s="171">
        <f t="shared" si="90"/>
        <v>0</v>
      </c>
      <c r="P211" s="171">
        <f t="shared" si="90"/>
        <v>0</v>
      </c>
      <c r="Q211" s="171">
        <f t="shared" si="90"/>
        <v>0</v>
      </c>
      <c r="R211" s="171">
        <f t="shared" si="90"/>
        <v>0</v>
      </c>
      <c r="S211" s="171">
        <f t="shared" si="90"/>
        <v>0</v>
      </c>
      <c r="T211" s="171">
        <f t="shared" si="90"/>
        <v>0</v>
      </c>
      <c r="U211" s="171">
        <f t="shared" si="90"/>
        <v>0</v>
      </c>
      <c r="V211" s="171">
        <f t="shared" si="90"/>
        <v>0</v>
      </c>
      <c r="W211" s="171">
        <f t="shared" si="90"/>
        <v>0</v>
      </c>
      <c r="X211" s="171">
        <f t="shared" si="90"/>
        <v>0</v>
      </c>
      <c r="Y211" s="171">
        <f t="shared" si="90"/>
        <v>0</v>
      </c>
      <c r="Z211" s="171">
        <f t="shared" si="91"/>
        <v>0</v>
      </c>
      <c r="AA211" s="171">
        <f t="shared" si="91"/>
        <v>0</v>
      </c>
      <c r="AB211" s="171">
        <f t="shared" si="91"/>
        <v>0</v>
      </c>
      <c r="AC211" s="171">
        <f t="shared" si="91"/>
        <v>0</v>
      </c>
      <c r="AD211" s="171">
        <f t="shared" si="91"/>
        <v>0</v>
      </c>
      <c r="AE211" s="171">
        <f t="shared" si="91"/>
        <v>0</v>
      </c>
      <c r="AF211" s="171">
        <f t="shared" si="91"/>
        <v>0</v>
      </c>
      <c r="AG211" s="171">
        <f t="shared" si="91"/>
        <v>0</v>
      </c>
      <c r="AH211" s="171">
        <f t="shared" si="91"/>
        <v>0</v>
      </c>
      <c r="AI211" s="171">
        <f t="shared" si="91"/>
        <v>0</v>
      </c>
      <c r="AJ211" s="171">
        <f t="shared" si="91"/>
        <v>0</v>
      </c>
      <c r="AK211" s="171">
        <f t="shared" si="91"/>
        <v>0</v>
      </c>
      <c r="AL211" s="171">
        <f t="shared" si="91"/>
        <v>0</v>
      </c>
      <c r="AM211" s="171">
        <f t="shared" si="91"/>
        <v>4.3786752922716996</v>
      </c>
      <c r="AN211" s="171">
        <f t="shared" si="92"/>
        <v>8.6404417142960188</v>
      </c>
      <c r="AO211" s="171">
        <f t="shared" si="92"/>
        <v>12.795418901612027</v>
      </c>
      <c r="AP211" s="171">
        <f t="shared" si="92"/>
        <v>16.852363650755876</v>
      </c>
      <c r="AQ211" s="171">
        <f t="shared" si="92"/>
        <v>20.81891246461711</v>
      </c>
      <c r="AR211" s="171">
        <f t="shared" si="92"/>
        <v>25.512217696185154</v>
      </c>
      <c r="AS211" s="171">
        <f t="shared" si="92"/>
        <v>30.082763325582818</v>
      </c>
      <c r="AT211" s="171">
        <f t="shared" si="92"/>
        <v>34.540822661247084</v>
      </c>
      <c r="AU211" s="171">
        <f t="shared" si="92"/>
        <v>38.895329064877529</v>
      </c>
      <c r="AV211" s="171">
        <f t="shared" si="92"/>
        <v>43.524621364562094</v>
      </c>
    </row>
    <row r="212" spans="1:48">
      <c r="A212" s="199" t="s">
        <v>16</v>
      </c>
      <c r="B212" s="95" t="str">
        <f t="shared" si="89"/>
        <v>CNR</v>
      </c>
      <c r="C212" s="95" t="str">
        <f t="shared" si="89"/>
        <v>Commercial - Refrigeration</v>
      </c>
      <c r="E212" s="114"/>
      <c r="F212" s="114"/>
      <c r="I212" s="169"/>
      <c r="J212" s="171">
        <f t="shared" si="90"/>
        <v>0</v>
      </c>
      <c r="K212" s="171">
        <f t="shared" si="90"/>
        <v>0</v>
      </c>
      <c r="L212" s="171">
        <f t="shared" si="90"/>
        <v>0</v>
      </c>
      <c r="M212" s="171">
        <f t="shared" si="90"/>
        <v>0</v>
      </c>
      <c r="N212" s="171">
        <f t="shared" si="90"/>
        <v>0</v>
      </c>
      <c r="O212" s="171">
        <f t="shared" si="90"/>
        <v>0</v>
      </c>
      <c r="P212" s="171">
        <f t="shared" si="90"/>
        <v>0</v>
      </c>
      <c r="Q212" s="171">
        <f t="shared" si="90"/>
        <v>0</v>
      </c>
      <c r="R212" s="171">
        <f t="shared" si="90"/>
        <v>0</v>
      </c>
      <c r="S212" s="171">
        <f t="shared" si="90"/>
        <v>0</v>
      </c>
      <c r="T212" s="171">
        <f t="shared" si="90"/>
        <v>0</v>
      </c>
      <c r="U212" s="171">
        <f t="shared" si="90"/>
        <v>0</v>
      </c>
      <c r="V212" s="171">
        <f t="shared" si="90"/>
        <v>0</v>
      </c>
      <c r="W212" s="171">
        <f t="shared" si="90"/>
        <v>0</v>
      </c>
      <c r="X212" s="171">
        <f t="shared" si="90"/>
        <v>0</v>
      </c>
      <c r="Y212" s="171">
        <f t="shared" si="90"/>
        <v>0</v>
      </c>
      <c r="Z212" s="171">
        <f t="shared" si="91"/>
        <v>0</v>
      </c>
      <c r="AA212" s="171">
        <f t="shared" si="91"/>
        <v>0</v>
      </c>
      <c r="AB212" s="171">
        <f t="shared" si="91"/>
        <v>0</v>
      </c>
      <c r="AC212" s="171">
        <f t="shared" si="91"/>
        <v>0</v>
      </c>
      <c r="AD212" s="171">
        <f t="shared" si="91"/>
        <v>0</v>
      </c>
      <c r="AE212" s="171">
        <f t="shared" si="91"/>
        <v>0</v>
      </c>
      <c r="AF212" s="171">
        <f t="shared" si="91"/>
        <v>0</v>
      </c>
      <c r="AG212" s="171">
        <f t="shared" si="91"/>
        <v>0</v>
      </c>
      <c r="AH212" s="171">
        <f t="shared" si="91"/>
        <v>0</v>
      </c>
      <c r="AI212" s="171">
        <f t="shared" si="91"/>
        <v>0</v>
      </c>
      <c r="AJ212" s="171">
        <f t="shared" si="91"/>
        <v>0</v>
      </c>
      <c r="AK212" s="171">
        <f t="shared" si="91"/>
        <v>0</v>
      </c>
      <c r="AL212" s="171">
        <f t="shared" si="91"/>
        <v>0</v>
      </c>
      <c r="AM212" s="171">
        <f t="shared" si="91"/>
        <v>1.0651747028478251</v>
      </c>
      <c r="AN212" s="171">
        <f t="shared" si="92"/>
        <v>2.1019096692881987</v>
      </c>
      <c r="AO212" s="171">
        <f t="shared" si="92"/>
        <v>3.1126666438120352</v>
      </c>
      <c r="AP212" s="171">
        <f t="shared" si="92"/>
        <v>4.0995758410449223</v>
      </c>
      <c r="AQ212" s="171">
        <f t="shared" si="92"/>
        <v>5.0644949483359376</v>
      </c>
      <c r="AR212" s="171">
        <f t="shared" si="92"/>
        <v>6.2062078344759843</v>
      </c>
      <c r="AS212" s="171">
        <f t="shared" si="92"/>
        <v>7.3180577109075156</v>
      </c>
      <c r="AT212" s="171">
        <f t="shared" si="92"/>
        <v>8.40254370522762</v>
      </c>
      <c r="AU212" s="171">
        <f t="shared" si="92"/>
        <v>9.4618389840354737</v>
      </c>
      <c r="AV212" s="171">
        <f t="shared" si="92"/>
        <v>10.587979819007959</v>
      </c>
    </row>
    <row r="213" spans="1:48">
      <c r="A213" s="199" t="s">
        <v>16</v>
      </c>
      <c r="B213" s="95" t="str">
        <f t="shared" si="89"/>
        <v>CNW</v>
      </c>
      <c r="C213" s="95" t="str">
        <f t="shared" si="89"/>
        <v>Commercial - Water Heating</v>
      </c>
      <c r="E213" s="114"/>
      <c r="F213" s="114"/>
      <c r="I213" s="165"/>
      <c r="J213" s="171">
        <f t="shared" si="90"/>
        <v>0</v>
      </c>
      <c r="K213" s="171">
        <f t="shared" si="90"/>
        <v>0</v>
      </c>
      <c r="L213" s="171">
        <f t="shared" si="90"/>
        <v>0</v>
      </c>
      <c r="M213" s="171">
        <f t="shared" si="90"/>
        <v>0</v>
      </c>
      <c r="N213" s="171">
        <f t="shared" si="90"/>
        <v>0</v>
      </c>
      <c r="O213" s="171">
        <f t="shared" si="90"/>
        <v>0</v>
      </c>
      <c r="P213" s="171">
        <f t="shared" si="90"/>
        <v>0</v>
      </c>
      <c r="Q213" s="171">
        <f t="shared" si="90"/>
        <v>0</v>
      </c>
      <c r="R213" s="171">
        <f t="shared" si="90"/>
        <v>0</v>
      </c>
      <c r="S213" s="171">
        <f t="shared" si="90"/>
        <v>0</v>
      </c>
      <c r="T213" s="171">
        <f t="shared" si="90"/>
        <v>0</v>
      </c>
      <c r="U213" s="171">
        <f t="shared" si="90"/>
        <v>0</v>
      </c>
      <c r="V213" s="171">
        <f t="shared" si="90"/>
        <v>0</v>
      </c>
      <c r="W213" s="171">
        <f t="shared" si="90"/>
        <v>0</v>
      </c>
      <c r="X213" s="171">
        <f t="shared" si="90"/>
        <v>0</v>
      </c>
      <c r="Y213" s="171">
        <f t="shared" si="90"/>
        <v>0</v>
      </c>
      <c r="Z213" s="171">
        <f t="shared" si="91"/>
        <v>0</v>
      </c>
      <c r="AA213" s="171">
        <f t="shared" si="91"/>
        <v>0</v>
      </c>
      <c r="AB213" s="171">
        <f t="shared" si="91"/>
        <v>0</v>
      </c>
      <c r="AC213" s="171">
        <f t="shared" si="91"/>
        <v>0</v>
      </c>
      <c r="AD213" s="171">
        <f t="shared" si="91"/>
        <v>0</v>
      </c>
      <c r="AE213" s="171">
        <f t="shared" si="91"/>
        <v>0</v>
      </c>
      <c r="AF213" s="171">
        <f t="shared" si="91"/>
        <v>0</v>
      </c>
      <c r="AG213" s="171">
        <f t="shared" si="91"/>
        <v>0</v>
      </c>
      <c r="AH213" s="171">
        <f t="shared" si="91"/>
        <v>0</v>
      </c>
      <c r="AI213" s="171">
        <f t="shared" si="91"/>
        <v>0</v>
      </c>
      <c r="AJ213" s="171">
        <f t="shared" si="91"/>
        <v>0</v>
      </c>
      <c r="AK213" s="171">
        <f t="shared" si="91"/>
        <v>0</v>
      </c>
      <c r="AL213" s="171">
        <f t="shared" si="91"/>
        <v>0</v>
      </c>
      <c r="AM213" s="171">
        <f t="shared" si="91"/>
        <v>0.55526467889903941</v>
      </c>
      <c r="AN213" s="171">
        <f t="shared" si="92"/>
        <v>1.0957040140661658</v>
      </c>
      <c r="AO213" s="171">
        <f t="shared" si="92"/>
        <v>1.6226012877278775</v>
      </c>
      <c r="AP213" s="171">
        <f t="shared" si="92"/>
        <v>2.1370669589824796</v>
      </c>
      <c r="AQ213" s="171">
        <f t="shared" si="92"/>
        <v>2.6400694212462104</v>
      </c>
      <c r="AR213" s="171">
        <f t="shared" si="92"/>
        <v>3.2352326723284297</v>
      </c>
      <c r="AS213" s="171">
        <f t="shared" si="92"/>
        <v>3.8148286418629129</v>
      </c>
      <c r="AT213" s="171">
        <f t="shared" si="92"/>
        <v>4.3801600995070853</v>
      </c>
      <c r="AU213" s="171">
        <f t="shared" si="92"/>
        <v>4.9323598947838061</v>
      </c>
      <c r="AV213" s="171">
        <f t="shared" si="92"/>
        <v>5.5194055948499905</v>
      </c>
    </row>
    <row r="214" spans="1:48">
      <c r="A214" s="199" t="s">
        <v>16</v>
      </c>
      <c r="B214" s="95" t="str">
        <f t="shared" si="89"/>
        <v>CNG</v>
      </c>
      <c r="C214" s="95" t="str">
        <f t="shared" si="89"/>
        <v>Commercial - Public lights</v>
      </c>
      <c r="E214" s="114"/>
      <c r="F214" s="114"/>
      <c r="I214" s="165"/>
      <c r="J214" s="171">
        <f t="shared" si="90"/>
        <v>0</v>
      </c>
      <c r="K214" s="171">
        <f t="shared" si="90"/>
        <v>0</v>
      </c>
      <c r="L214" s="171">
        <f t="shared" si="90"/>
        <v>0</v>
      </c>
      <c r="M214" s="171">
        <f t="shared" si="90"/>
        <v>0</v>
      </c>
      <c r="N214" s="171">
        <f t="shared" si="90"/>
        <v>0</v>
      </c>
      <c r="O214" s="171">
        <f t="shared" si="90"/>
        <v>0</v>
      </c>
      <c r="P214" s="171">
        <f t="shared" si="90"/>
        <v>0</v>
      </c>
      <c r="Q214" s="171">
        <f t="shared" si="90"/>
        <v>0</v>
      </c>
      <c r="R214" s="171">
        <f t="shared" si="90"/>
        <v>0</v>
      </c>
      <c r="S214" s="171">
        <f t="shared" si="90"/>
        <v>0</v>
      </c>
      <c r="T214" s="171">
        <f t="shared" si="90"/>
        <v>0</v>
      </c>
      <c r="U214" s="171">
        <f t="shared" si="90"/>
        <v>0</v>
      </c>
      <c r="V214" s="171">
        <f t="shared" si="90"/>
        <v>0</v>
      </c>
      <c r="W214" s="171">
        <f t="shared" si="90"/>
        <v>0</v>
      </c>
      <c r="X214" s="171">
        <f t="shared" si="90"/>
        <v>0</v>
      </c>
      <c r="Y214" s="171">
        <f t="shared" si="90"/>
        <v>0</v>
      </c>
      <c r="Z214" s="171">
        <f t="shared" si="91"/>
        <v>0</v>
      </c>
      <c r="AA214" s="171">
        <f t="shared" si="91"/>
        <v>0</v>
      </c>
      <c r="AB214" s="171">
        <f t="shared" si="91"/>
        <v>0</v>
      </c>
      <c r="AC214" s="171">
        <f t="shared" si="91"/>
        <v>0</v>
      </c>
      <c r="AD214" s="171">
        <f t="shared" si="91"/>
        <v>0</v>
      </c>
      <c r="AE214" s="171">
        <f t="shared" si="91"/>
        <v>0</v>
      </c>
      <c r="AF214" s="171">
        <f t="shared" si="91"/>
        <v>0</v>
      </c>
      <c r="AG214" s="171">
        <f t="shared" si="91"/>
        <v>0</v>
      </c>
      <c r="AH214" s="171">
        <f t="shared" si="91"/>
        <v>0</v>
      </c>
      <c r="AI214" s="171">
        <f t="shared" si="91"/>
        <v>0</v>
      </c>
      <c r="AJ214" s="171">
        <f t="shared" si="91"/>
        <v>0</v>
      </c>
      <c r="AK214" s="171">
        <f t="shared" si="91"/>
        <v>0</v>
      </c>
      <c r="AL214" s="171">
        <f t="shared" si="91"/>
        <v>0</v>
      </c>
      <c r="AM214" s="171">
        <f t="shared" si="91"/>
        <v>0</v>
      </c>
      <c r="AN214" s="171">
        <f t="shared" si="92"/>
        <v>0</v>
      </c>
      <c r="AO214" s="171">
        <f t="shared" si="92"/>
        <v>0</v>
      </c>
      <c r="AP214" s="171">
        <f t="shared" si="92"/>
        <v>0</v>
      </c>
      <c r="AQ214" s="171">
        <f t="shared" si="92"/>
        <v>0</v>
      </c>
      <c r="AR214" s="171">
        <f t="shared" si="92"/>
        <v>0</v>
      </c>
      <c r="AS214" s="171">
        <f t="shared" si="92"/>
        <v>0</v>
      </c>
      <c r="AT214" s="171">
        <f t="shared" si="92"/>
        <v>0</v>
      </c>
      <c r="AU214" s="171">
        <f t="shared" si="92"/>
        <v>0</v>
      </c>
      <c r="AV214" s="171">
        <f t="shared" si="92"/>
        <v>0</v>
      </c>
    </row>
    <row r="215" spans="1:48">
      <c r="A215" s="199" t="s">
        <v>16</v>
      </c>
      <c r="B215" s="95" t="str">
        <f t="shared" si="89"/>
        <v>CNT</v>
      </c>
      <c r="C215" s="95" t="str">
        <f t="shared" si="89"/>
        <v>Commercial - Public Water</v>
      </c>
      <c r="E215" s="114"/>
      <c r="F215" s="114"/>
      <c r="I215" s="165"/>
      <c r="J215" s="171">
        <f t="shared" si="90"/>
        <v>0</v>
      </c>
      <c r="K215" s="171">
        <f t="shared" si="90"/>
        <v>0</v>
      </c>
      <c r="L215" s="171">
        <f t="shared" si="90"/>
        <v>0</v>
      </c>
      <c r="M215" s="171">
        <f t="shared" si="90"/>
        <v>0</v>
      </c>
      <c r="N215" s="171">
        <f t="shared" si="90"/>
        <v>0</v>
      </c>
      <c r="O215" s="171">
        <f t="shared" si="90"/>
        <v>0</v>
      </c>
      <c r="P215" s="171">
        <f t="shared" si="90"/>
        <v>0</v>
      </c>
      <c r="Q215" s="171">
        <f t="shared" si="90"/>
        <v>0</v>
      </c>
      <c r="R215" s="171">
        <f t="shared" si="90"/>
        <v>0</v>
      </c>
      <c r="S215" s="171">
        <f t="shared" si="90"/>
        <v>0</v>
      </c>
      <c r="T215" s="171">
        <f t="shared" si="90"/>
        <v>0</v>
      </c>
      <c r="U215" s="171">
        <f t="shared" si="90"/>
        <v>0</v>
      </c>
      <c r="V215" s="171">
        <f t="shared" si="90"/>
        <v>0</v>
      </c>
      <c r="W215" s="171">
        <f t="shared" si="90"/>
        <v>0</v>
      </c>
      <c r="X215" s="171">
        <f t="shared" si="90"/>
        <v>0</v>
      </c>
      <c r="Y215" s="171">
        <f t="shared" si="90"/>
        <v>0</v>
      </c>
      <c r="Z215" s="171">
        <f t="shared" si="91"/>
        <v>0</v>
      </c>
      <c r="AA215" s="171">
        <f t="shared" si="91"/>
        <v>0</v>
      </c>
      <c r="AB215" s="171">
        <f t="shared" si="91"/>
        <v>0</v>
      </c>
      <c r="AC215" s="171">
        <f t="shared" si="91"/>
        <v>0</v>
      </c>
      <c r="AD215" s="171">
        <f t="shared" si="91"/>
        <v>0</v>
      </c>
      <c r="AE215" s="171">
        <f t="shared" si="91"/>
        <v>0</v>
      </c>
      <c r="AF215" s="171">
        <f t="shared" si="91"/>
        <v>0</v>
      </c>
      <c r="AG215" s="171">
        <f t="shared" si="91"/>
        <v>0</v>
      </c>
      <c r="AH215" s="171">
        <f t="shared" si="91"/>
        <v>0</v>
      </c>
      <c r="AI215" s="171">
        <f t="shared" si="91"/>
        <v>0</v>
      </c>
      <c r="AJ215" s="171">
        <f t="shared" si="91"/>
        <v>0</v>
      </c>
      <c r="AK215" s="171">
        <f t="shared" si="91"/>
        <v>0</v>
      </c>
      <c r="AL215" s="171">
        <f t="shared" si="91"/>
        <v>0</v>
      </c>
      <c r="AM215" s="171">
        <f t="shared" si="91"/>
        <v>0</v>
      </c>
      <c r="AN215" s="171">
        <f t="shared" si="92"/>
        <v>0</v>
      </c>
      <c r="AO215" s="171">
        <f t="shared" si="92"/>
        <v>0</v>
      </c>
      <c r="AP215" s="171">
        <f t="shared" si="92"/>
        <v>0</v>
      </c>
      <c r="AQ215" s="171">
        <f t="shared" si="92"/>
        <v>0</v>
      </c>
      <c r="AR215" s="171">
        <f t="shared" si="92"/>
        <v>0</v>
      </c>
      <c r="AS215" s="171">
        <f t="shared" si="92"/>
        <v>0</v>
      </c>
      <c r="AT215" s="171">
        <f t="shared" si="92"/>
        <v>0</v>
      </c>
      <c r="AU215" s="171">
        <f t="shared" si="92"/>
        <v>0</v>
      </c>
      <c r="AV215" s="171">
        <f t="shared" si="92"/>
        <v>0</v>
      </c>
    </row>
    <row r="216" spans="1:48">
      <c r="A216" s="199" t="s">
        <v>16</v>
      </c>
      <c r="B216" s="95" t="str">
        <f t="shared" si="89"/>
        <v>CNO</v>
      </c>
      <c r="C216" s="95" t="str">
        <f t="shared" si="89"/>
        <v>Commercial - Other</v>
      </c>
      <c r="E216" s="114"/>
      <c r="F216" s="114"/>
      <c r="I216" s="165"/>
      <c r="J216" s="171">
        <f t="shared" si="90"/>
        <v>0</v>
      </c>
      <c r="K216" s="171">
        <f t="shared" si="90"/>
        <v>0</v>
      </c>
      <c r="L216" s="171">
        <f t="shared" si="90"/>
        <v>0</v>
      </c>
      <c r="M216" s="171">
        <f t="shared" si="90"/>
        <v>0</v>
      </c>
      <c r="N216" s="171">
        <f t="shared" si="90"/>
        <v>0</v>
      </c>
      <c r="O216" s="171">
        <f t="shared" si="90"/>
        <v>0</v>
      </c>
      <c r="P216" s="171">
        <f t="shared" si="90"/>
        <v>0</v>
      </c>
      <c r="Q216" s="171">
        <f t="shared" si="90"/>
        <v>0</v>
      </c>
      <c r="R216" s="171">
        <f t="shared" si="90"/>
        <v>0</v>
      </c>
      <c r="S216" s="171">
        <f t="shared" si="90"/>
        <v>0</v>
      </c>
      <c r="T216" s="171">
        <f t="shared" si="90"/>
        <v>0</v>
      </c>
      <c r="U216" s="171">
        <f t="shared" si="90"/>
        <v>0</v>
      </c>
      <c r="V216" s="171">
        <f t="shared" si="90"/>
        <v>0</v>
      </c>
      <c r="W216" s="171">
        <f t="shared" si="90"/>
        <v>0</v>
      </c>
      <c r="X216" s="171">
        <f t="shared" si="90"/>
        <v>0</v>
      </c>
      <c r="Y216" s="171">
        <f t="shared" si="90"/>
        <v>0</v>
      </c>
      <c r="Z216" s="171">
        <f t="shared" si="91"/>
        <v>0</v>
      </c>
      <c r="AA216" s="171">
        <f t="shared" si="91"/>
        <v>0</v>
      </c>
      <c r="AB216" s="171">
        <f t="shared" si="91"/>
        <v>0</v>
      </c>
      <c r="AC216" s="171">
        <f t="shared" si="91"/>
        <v>0</v>
      </c>
      <c r="AD216" s="171">
        <f t="shared" si="91"/>
        <v>0</v>
      </c>
      <c r="AE216" s="171">
        <f t="shared" si="91"/>
        <v>0</v>
      </c>
      <c r="AF216" s="171">
        <f t="shared" si="91"/>
        <v>0</v>
      </c>
      <c r="AG216" s="171">
        <f t="shared" si="91"/>
        <v>0</v>
      </c>
      <c r="AH216" s="171">
        <f t="shared" si="91"/>
        <v>0</v>
      </c>
      <c r="AI216" s="171">
        <f t="shared" si="91"/>
        <v>0</v>
      </c>
      <c r="AJ216" s="171">
        <f t="shared" si="91"/>
        <v>0</v>
      </c>
      <c r="AK216" s="171">
        <f t="shared" si="91"/>
        <v>0</v>
      </c>
      <c r="AL216" s="171">
        <f t="shared" si="91"/>
        <v>0</v>
      </c>
      <c r="AM216" s="171">
        <f t="shared" si="91"/>
        <v>0.71110266994157556</v>
      </c>
      <c r="AN216" s="171">
        <f t="shared" si="92"/>
        <v>1.4032191844311821</v>
      </c>
      <c r="AO216" s="171">
        <f t="shared" si="92"/>
        <v>2.0779929856905732</v>
      </c>
      <c r="AP216" s="171">
        <f t="shared" si="92"/>
        <v>2.7368461890814393</v>
      </c>
      <c r="AQ216" s="171">
        <f t="shared" si="92"/>
        <v>3.3810189727926852</v>
      </c>
      <c r="AR216" s="171">
        <f t="shared" si="92"/>
        <v>4.1432179618132468</v>
      </c>
      <c r="AS216" s="171">
        <f t="shared" si="92"/>
        <v>4.8854806287643457</v>
      </c>
      <c r="AT216" s="171">
        <f t="shared" si="92"/>
        <v>5.6094753725500004</v>
      </c>
      <c r="AU216" s="171">
        <f t="shared" si="92"/>
        <v>6.3166529829484199</v>
      </c>
      <c r="AV216" s="171">
        <f t="shared" si="92"/>
        <v>7.0684561870032692</v>
      </c>
    </row>
    <row r="217" spans="1:48">
      <c r="A217" s="199" t="s">
        <v>16</v>
      </c>
      <c r="E217" s="114"/>
      <c r="F217" s="114"/>
      <c r="I217" s="165"/>
      <c r="J217" s="171"/>
      <c r="K217" s="171"/>
      <c r="L217" s="171"/>
      <c r="M217" s="171"/>
      <c r="N217" s="171"/>
      <c r="O217" s="171"/>
      <c r="P217" s="171"/>
      <c r="Q217" s="171"/>
      <c r="R217" s="171"/>
      <c r="S217" s="171"/>
      <c r="T217" s="171"/>
      <c r="U217" s="171"/>
      <c r="V217" s="171"/>
      <c r="W217" s="171"/>
      <c r="X217" s="171"/>
      <c r="Y217" s="171"/>
      <c r="Z217" s="171"/>
      <c r="AA217" s="171"/>
      <c r="AB217" s="171"/>
      <c r="AC217" s="171"/>
      <c r="AD217" s="171"/>
      <c r="AE217" s="171"/>
      <c r="AF217" s="171"/>
      <c r="AG217" s="171"/>
      <c r="AH217" s="171"/>
      <c r="AI217" s="171"/>
      <c r="AJ217" s="171"/>
      <c r="AK217" s="171"/>
      <c r="AL217" s="171"/>
      <c r="AM217" s="171"/>
      <c r="AN217" s="171"/>
      <c r="AO217" s="171"/>
      <c r="AP217" s="171"/>
      <c r="AQ217" s="171"/>
      <c r="AR217" s="171"/>
      <c r="AS217" s="171"/>
      <c r="AT217" s="171"/>
      <c r="AU217" s="171"/>
      <c r="AV217" s="171"/>
    </row>
    <row r="218" spans="1:48" ht="15.75" thickBot="1">
      <c r="A218" s="199" t="s">
        <v>16</v>
      </c>
      <c r="B218" s="93" t="s">
        <v>482</v>
      </c>
      <c r="C218" s="93"/>
      <c r="D218" s="93"/>
      <c r="E218" s="93"/>
      <c r="F218" s="93"/>
      <c r="G218" s="93"/>
      <c r="H218" s="93"/>
      <c r="I218" s="166"/>
      <c r="J218" s="93"/>
      <c r="K218" s="93"/>
      <c r="L218" s="93"/>
      <c r="M218" s="93"/>
      <c r="N218" s="93"/>
      <c r="O218" s="93"/>
      <c r="P218" s="93"/>
      <c r="Q218" s="93"/>
      <c r="R218" s="93"/>
      <c r="S218" s="93"/>
      <c r="T218" s="93"/>
      <c r="U218" s="93"/>
      <c r="V218" s="93"/>
      <c r="W218" s="93"/>
      <c r="X218" s="93"/>
      <c r="Y218" s="93"/>
      <c r="Z218" s="93"/>
      <c r="AA218" s="93"/>
      <c r="AB218" s="93"/>
      <c r="AC218" s="93"/>
      <c r="AD218" s="93"/>
      <c r="AE218" s="93"/>
      <c r="AF218" s="93"/>
      <c r="AG218" s="93"/>
      <c r="AH218" s="93"/>
      <c r="AI218" s="93"/>
      <c r="AJ218" s="93"/>
      <c r="AK218" s="93"/>
      <c r="AL218" s="93"/>
      <c r="AM218" s="93"/>
      <c r="AN218" s="93"/>
      <c r="AO218" s="93"/>
      <c r="AP218" s="93"/>
      <c r="AQ218" s="93"/>
      <c r="AR218" s="93"/>
      <c r="AS218" s="93"/>
      <c r="AT218" s="93"/>
      <c r="AU218" s="93"/>
      <c r="AV218" s="93"/>
    </row>
    <row r="219" spans="1:48">
      <c r="A219" s="199" t="s">
        <v>16</v>
      </c>
      <c r="E219" s="114"/>
      <c r="F219" s="114"/>
      <c r="I219" s="165"/>
      <c r="J219" s="171"/>
      <c r="K219" s="171"/>
      <c r="L219" s="171"/>
      <c r="M219" s="171"/>
      <c r="N219" s="171"/>
      <c r="O219" s="171"/>
      <c r="P219" s="171"/>
      <c r="Q219" s="171"/>
      <c r="R219" s="171"/>
      <c r="S219" s="171"/>
      <c r="T219" s="171"/>
      <c r="U219" s="171"/>
      <c r="V219" s="171"/>
      <c r="W219" s="171"/>
      <c r="X219" s="171"/>
      <c r="Y219" s="171"/>
      <c r="Z219" s="171"/>
      <c r="AA219" s="171"/>
      <c r="AB219" s="171"/>
      <c r="AC219" s="171"/>
      <c r="AD219" s="171"/>
      <c r="AE219" s="171"/>
      <c r="AF219" s="171"/>
      <c r="AG219" s="171"/>
      <c r="AH219" s="171"/>
      <c r="AI219" s="171"/>
      <c r="AJ219" s="171"/>
      <c r="AK219" s="171"/>
      <c r="AL219" s="171"/>
      <c r="AM219" s="171"/>
      <c r="AN219" s="171"/>
      <c r="AO219" s="171"/>
      <c r="AP219" s="171"/>
      <c r="AQ219" s="171"/>
      <c r="AR219" s="171"/>
      <c r="AS219" s="171"/>
      <c r="AT219" s="171"/>
      <c r="AU219" s="171"/>
      <c r="AV219" s="171"/>
    </row>
    <row r="220" spans="1:48">
      <c r="A220" s="199" t="s">
        <v>16</v>
      </c>
      <c r="B220" s="95" t="str">
        <f t="shared" ref="B220:C228" si="93">B208</f>
        <v>CNC</v>
      </c>
      <c r="C220" s="95" t="str">
        <f t="shared" si="93"/>
        <v>Commercial - Cooling</v>
      </c>
      <c r="E220" s="114"/>
      <c r="F220" s="114"/>
      <c r="I220" s="165"/>
      <c r="J220" s="171">
        <f t="shared" ref="J220:AV226" si="94">J186+J197+J208</f>
        <v>0</v>
      </c>
      <c r="K220" s="171">
        <f t="shared" si="94"/>
        <v>0</v>
      </c>
      <c r="L220" s="171">
        <f t="shared" si="94"/>
        <v>0</v>
      </c>
      <c r="M220" s="171">
        <f t="shared" si="94"/>
        <v>0</v>
      </c>
      <c r="N220" s="171">
        <f t="shared" si="94"/>
        <v>0</v>
      </c>
      <c r="O220" s="171">
        <f t="shared" si="94"/>
        <v>0</v>
      </c>
      <c r="P220" s="171">
        <f t="shared" si="94"/>
        <v>1.8563029696297695</v>
      </c>
      <c r="Q220" s="171">
        <f t="shared" si="94"/>
        <v>3.902496716975357</v>
      </c>
      <c r="R220" s="171">
        <f t="shared" si="94"/>
        <v>4.864763439567338</v>
      </c>
      <c r="S220" s="171">
        <f t="shared" si="94"/>
        <v>7.6278262705618154</v>
      </c>
      <c r="T220" s="171">
        <f t="shared" si="94"/>
        <v>10.189731743711409</v>
      </c>
      <c r="U220" s="171">
        <f t="shared" si="94"/>
        <v>12.850571977682341</v>
      </c>
      <c r="V220" s="171">
        <f t="shared" si="94"/>
        <v>15.732728700910927</v>
      </c>
      <c r="W220" s="171">
        <f t="shared" si="94"/>
        <v>18.746573662780566</v>
      </c>
      <c r="X220" s="171">
        <f t="shared" si="94"/>
        <v>21.957168433317648</v>
      </c>
      <c r="Y220" s="171">
        <f t="shared" si="94"/>
        <v>25.292345663921555</v>
      </c>
      <c r="Z220" s="171">
        <f t="shared" si="94"/>
        <v>28.763305613441954</v>
      </c>
      <c r="AA220" s="171">
        <f t="shared" si="94"/>
        <v>32.488156665483764</v>
      </c>
      <c r="AB220" s="171">
        <f t="shared" si="94"/>
        <v>36.310523243368543</v>
      </c>
      <c r="AC220" s="171">
        <f t="shared" si="94"/>
        <v>40.085614241903507</v>
      </c>
      <c r="AD220" s="171">
        <f t="shared" si="94"/>
        <v>43.972005023782216</v>
      </c>
      <c r="AE220" s="171">
        <f t="shared" si="94"/>
        <v>47.942195603746171</v>
      </c>
      <c r="AF220" s="171">
        <f t="shared" si="94"/>
        <v>52.006017214351175</v>
      </c>
      <c r="AG220" s="171">
        <f t="shared" si="94"/>
        <v>55.973602406630619</v>
      </c>
      <c r="AH220" s="171">
        <f t="shared" si="94"/>
        <v>59.993605144483453</v>
      </c>
      <c r="AI220" s="171">
        <f t="shared" si="94"/>
        <v>64.275328898895623</v>
      </c>
      <c r="AJ220" s="171">
        <f t="shared" si="94"/>
        <v>68.700458317152155</v>
      </c>
      <c r="AK220" s="171">
        <f t="shared" si="94"/>
        <v>73.236066496394457</v>
      </c>
      <c r="AL220" s="171">
        <f t="shared" si="94"/>
        <v>77.841019524239854</v>
      </c>
      <c r="AM220" s="171">
        <f t="shared" si="94"/>
        <v>82.872644212738024</v>
      </c>
      <c r="AN220" s="171">
        <f t="shared" si="94"/>
        <v>87.769926544569685</v>
      </c>
      <c r="AO220" s="171">
        <f t="shared" si="94"/>
        <v>92.544495198414651</v>
      </c>
      <c r="AP220" s="171">
        <f t="shared" si="94"/>
        <v>97.206412786981659</v>
      </c>
      <c r="AQ220" s="171">
        <f t="shared" si="94"/>
        <v>101.76445457080226</v>
      </c>
      <c r="AR220" s="171">
        <f t="shared" si="94"/>
        <v>107.1576269111892</v>
      </c>
      <c r="AS220" s="171">
        <f t="shared" si="94"/>
        <v>112.40973370005626</v>
      </c>
      <c r="AT220" s="171">
        <f t="shared" si="94"/>
        <v>117.53258020473062</v>
      </c>
      <c r="AU220" s="171">
        <f t="shared" si="94"/>
        <v>122.53643193253551</v>
      </c>
      <c r="AV220" s="171">
        <f t="shared" si="94"/>
        <v>127.85604571309578</v>
      </c>
    </row>
    <row r="221" spans="1:48">
      <c r="A221" s="199" t="s">
        <v>16</v>
      </c>
      <c r="B221" s="95" t="str">
        <f t="shared" si="93"/>
        <v>CNH</v>
      </c>
      <c r="C221" s="95" t="str">
        <f t="shared" si="93"/>
        <v>Commercial - Space Heating</v>
      </c>
      <c r="E221" s="114"/>
      <c r="F221" s="114"/>
      <c r="I221" s="165"/>
      <c r="J221" s="171">
        <f t="shared" si="94"/>
        <v>0</v>
      </c>
      <c r="K221" s="171">
        <f t="shared" si="94"/>
        <v>0</v>
      </c>
      <c r="L221" s="171">
        <f t="shared" si="94"/>
        <v>0</v>
      </c>
      <c r="M221" s="171">
        <f t="shared" si="94"/>
        <v>0</v>
      </c>
      <c r="N221" s="171">
        <f t="shared" si="94"/>
        <v>0</v>
      </c>
      <c r="O221" s="171">
        <f t="shared" si="94"/>
        <v>0</v>
      </c>
      <c r="P221" s="171">
        <f t="shared" si="94"/>
        <v>0.17702881677566448</v>
      </c>
      <c r="Q221" s="171">
        <f t="shared" si="94"/>
        <v>0.37216682167720194</v>
      </c>
      <c r="R221" s="171">
        <f t="shared" si="94"/>
        <v>0.46393467536814875</v>
      </c>
      <c r="S221" s="171">
        <f t="shared" si="94"/>
        <v>0.72743785973536834</v>
      </c>
      <c r="T221" s="171">
        <f t="shared" si="94"/>
        <v>0.9717574034859372</v>
      </c>
      <c r="U221" s="171">
        <f t="shared" si="94"/>
        <v>1.2255119930952529</v>
      </c>
      <c r="V221" s="171">
        <f t="shared" si="94"/>
        <v>1.500372725865047</v>
      </c>
      <c r="W221" s="171">
        <f t="shared" si="94"/>
        <v>1.7877920837360803</v>
      </c>
      <c r="X221" s="171">
        <f t="shared" si="94"/>
        <v>2.0939747503983401</v>
      </c>
      <c r="Y221" s="171">
        <f t="shared" si="94"/>
        <v>2.4120383900792617</v>
      </c>
      <c r="Z221" s="171">
        <f t="shared" si="94"/>
        <v>2.7430511304520615</v>
      </c>
      <c r="AA221" s="171">
        <f t="shared" si="94"/>
        <v>3.0982765355700987</v>
      </c>
      <c r="AB221" s="171">
        <f t="shared" si="94"/>
        <v>3.4628016393039727</v>
      </c>
      <c r="AC221" s="171">
        <f t="shared" si="94"/>
        <v>3.8228182441496763</v>
      </c>
      <c r="AD221" s="171">
        <f t="shared" si="94"/>
        <v>4.1934491017736644</v>
      </c>
      <c r="AE221" s="171">
        <f t="shared" si="94"/>
        <v>4.57207163928169</v>
      </c>
      <c r="AF221" s="171">
        <f t="shared" si="94"/>
        <v>4.959623425322448</v>
      </c>
      <c r="AG221" s="171">
        <f t="shared" si="94"/>
        <v>5.3379974965474499</v>
      </c>
      <c r="AH221" s="171">
        <f t="shared" si="94"/>
        <v>5.7213704371504353</v>
      </c>
      <c r="AI221" s="171">
        <f t="shared" si="94"/>
        <v>6.1297027527287593</v>
      </c>
      <c r="AJ221" s="171">
        <f t="shared" si="94"/>
        <v>6.5517111413429188</v>
      </c>
      <c r="AK221" s="171">
        <f t="shared" si="94"/>
        <v>6.9842554848395153</v>
      </c>
      <c r="AL221" s="171">
        <f t="shared" si="94"/>
        <v>7.4234129926193866</v>
      </c>
      <c r="AM221" s="171">
        <f t="shared" si="94"/>
        <v>7.9032606142830559</v>
      </c>
      <c r="AN221" s="171">
        <f t="shared" si="94"/>
        <v>8.3702964973282885</v>
      </c>
      <c r="AO221" s="171">
        <f t="shared" si="94"/>
        <v>8.8256296262587082</v>
      </c>
      <c r="AP221" s="171">
        <f t="shared" si="94"/>
        <v>9.2702196356009203</v>
      </c>
      <c r="AQ221" s="171">
        <f t="shared" si="94"/>
        <v>9.7049033898184405</v>
      </c>
      <c r="AR221" s="171">
        <f t="shared" si="94"/>
        <v>10.219230487122154</v>
      </c>
      <c r="AS221" s="171">
        <f t="shared" si="94"/>
        <v>10.720104679333359</v>
      </c>
      <c r="AT221" s="171">
        <f t="shared" si="94"/>
        <v>11.208651791568343</v>
      </c>
      <c r="AU221" s="171">
        <f t="shared" si="94"/>
        <v>11.685850807670136</v>
      </c>
      <c r="AV221" s="171">
        <f t="shared" si="94"/>
        <v>12.193162894481013</v>
      </c>
    </row>
    <row r="222" spans="1:48">
      <c r="A222" s="199" t="s">
        <v>16</v>
      </c>
      <c r="B222" s="95" t="str">
        <f t="shared" si="93"/>
        <v>CNK</v>
      </c>
      <c r="C222" s="95" t="str">
        <f t="shared" si="93"/>
        <v>Commercial - Cooking</v>
      </c>
      <c r="E222" s="114"/>
      <c r="F222" s="114"/>
      <c r="I222" s="165"/>
      <c r="J222" s="171">
        <f t="shared" si="94"/>
        <v>0</v>
      </c>
      <c r="K222" s="171">
        <f t="shared" si="94"/>
        <v>0</v>
      </c>
      <c r="L222" s="171">
        <f t="shared" si="94"/>
        <v>0</v>
      </c>
      <c r="M222" s="171">
        <f t="shared" si="94"/>
        <v>0</v>
      </c>
      <c r="N222" s="171">
        <f t="shared" si="94"/>
        <v>0</v>
      </c>
      <c r="O222" s="171">
        <f t="shared" si="94"/>
        <v>0</v>
      </c>
      <c r="P222" s="171">
        <f t="shared" si="94"/>
        <v>0.13240848743086706</v>
      </c>
      <c r="Q222" s="171">
        <f t="shared" si="94"/>
        <v>0.27836172001690523</v>
      </c>
      <c r="R222" s="171">
        <f t="shared" si="94"/>
        <v>0.34699937417573767</v>
      </c>
      <c r="S222" s="171">
        <f t="shared" si="94"/>
        <v>0.54408625929848031</v>
      </c>
      <c r="T222" s="171">
        <f t="shared" si="94"/>
        <v>0.72682476383702166</v>
      </c>
      <c r="U222" s="171">
        <f t="shared" si="94"/>
        <v>0.91662019940945594</v>
      </c>
      <c r="V222" s="171">
        <f t="shared" si="94"/>
        <v>1.1222019489971937</v>
      </c>
      <c r="W222" s="171">
        <f t="shared" si="94"/>
        <v>1.337176906900692</v>
      </c>
      <c r="X222" s="171">
        <f t="shared" si="94"/>
        <v>1.5661858587126112</v>
      </c>
      <c r="Y222" s="171">
        <f t="shared" si="94"/>
        <v>1.8040811697922501</v>
      </c>
      <c r="Z222" s="171">
        <f t="shared" si="94"/>
        <v>2.0516617449290644</v>
      </c>
      <c r="AA222" s="171">
        <f t="shared" si="94"/>
        <v>2.317352153108768</v>
      </c>
      <c r="AB222" s="171">
        <f t="shared" si="94"/>
        <v>2.5899982595172308</v>
      </c>
      <c r="AC222" s="171">
        <f t="shared" si="94"/>
        <v>2.8592722396852364</v>
      </c>
      <c r="AD222" s="171">
        <f t="shared" si="94"/>
        <v>3.1364851372632954</v>
      </c>
      <c r="AE222" s="171">
        <f t="shared" si="94"/>
        <v>3.419675402056197</v>
      </c>
      <c r="AF222" s="171">
        <f t="shared" si="94"/>
        <v>3.7095442873903606</v>
      </c>
      <c r="AG222" s="171">
        <f t="shared" si="94"/>
        <v>3.9925487121301453</v>
      </c>
      <c r="AH222" s="171">
        <f t="shared" si="94"/>
        <v>4.2792920351197106</v>
      </c>
      <c r="AI222" s="171">
        <f t="shared" si="94"/>
        <v>4.5847036921573556</v>
      </c>
      <c r="AJ222" s="171">
        <f t="shared" si="94"/>
        <v>4.9003443513295162</v>
      </c>
      <c r="AK222" s="171">
        <f t="shared" si="94"/>
        <v>5.2238653650960991</v>
      </c>
      <c r="AL222" s="171">
        <f t="shared" si="94"/>
        <v>5.5523326870165128</v>
      </c>
      <c r="AM222" s="171">
        <f t="shared" si="94"/>
        <v>5.9112341299510822</v>
      </c>
      <c r="AN222" s="171">
        <f t="shared" si="94"/>
        <v>6.2605530486236463</v>
      </c>
      <c r="AO222" s="171">
        <f t="shared" si="94"/>
        <v>6.6011189066400942</v>
      </c>
      <c r="AP222" s="171">
        <f t="shared" si="94"/>
        <v>6.9336494614732986</v>
      </c>
      <c r="AQ222" s="171">
        <f t="shared" si="94"/>
        <v>7.2587706448772922</v>
      </c>
      <c r="AR222" s="171">
        <f t="shared" si="94"/>
        <v>7.6434609695321338</v>
      </c>
      <c r="AS222" s="171">
        <f t="shared" si="94"/>
        <v>8.0180892102432804</v>
      </c>
      <c r="AT222" s="171">
        <f t="shared" si="94"/>
        <v>8.3834974265323048</v>
      </c>
      <c r="AU222" s="171">
        <f t="shared" si="94"/>
        <v>8.7404178481696846</v>
      </c>
      <c r="AV222" s="171">
        <f t="shared" si="94"/>
        <v>9.1198613042887384</v>
      </c>
    </row>
    <row r="223" spans="1:48">
      <c r="A223" s="199" t="s">
        <v>16</v>
      </c>
      <c r="B223" s="95" t="str">
        <f t="shared" si="93"/>
        <v>CNL</v>
      </c>
      <c r="C223" s="95" t="str">
        <f t="shared" si="93"/>
        <v>Commercial - Lighting</v>
      </c>
      <c r="E223" s="114"/>
      <c r="F223" s="114"/>
      <c r="I223" s="165"/>
      <c r="J223" s="171">
        <f t="shared" si="94"/>
        <v>0</v>
      </c>
      <c r="K223" s="171">
        <f t="shared" si="94"/>
        <v>0</v>
      </c>
      <c r="L223" s="171">
        <f t="shared" si="94"/>
        <v>0</v>
      </c>
      <c r="M223" s="171">
        <f t="shared" si="94"/>
        <v>0</v>
      </c>
      <c r="N223" s="171">
        <f t="shared" si="94"/>
        <v>0</v>
      </c>
      <c r="O223" s="171">
        <f t="shared" si="94"/>
        <v>0</v>
      </c>
      <c r="P223" s="171">
        <f t="shared" si="94"/>
        <v>1.6154122080425941</v>
      </c>
      <c r="Q223" s="171">
        <f t="shared" si="94"/>
        <v>3.3960732388988562</v>
      </c>
      <c r="R223" s="171">
        <f t="shared" si="94"/>
        <v>4.2334674770701453</v>
      </c>
      <c r="S223" s="171">
        <f t="shared" si="94"/>
        <v>6.6379701373591766</v>
      </c>
      <c r="T223" s="171">
        <f t="shared" si="94"/>
        <v>8.8674194486439628</v>
      </c>
      <c r="U223" s="171">
        <f t="shared" si="94"/>
        <v>11.182964846098583</v>
      </c>
      <c r="V223" s="171">
        <f t="shared" si="94"/>
        <v>13.691106691674626</v>
      </c>
      <c r="W223" s="171">
        <f t="shared" si="94"/>
        <v>16.313847711974187</v>
      </c>
      <c r="X223" s="171">
        <f t="shared" si="94"/>
        <v>19.107806495780753</v>
      </c>
      <c r="Y223" s="171">
        <f t="shared" si="94"/>
        <v>22.010180786211258</v>
      </c>
      <c r="Z223" s="171">
        <f t="shared" si="94"/>
        <v>25.03071739462947</v>
      </c>
      <c r="AA223" s="171">
        <f t="shared" si="94"/>
        <v>28.272197886258876</v>
      </c>
      <c r="AB223" s="171">
        <f t="shared" si="94"/>
        <v>31.598539401922448</v>
      </c>
      <c r="AC223" s="171">
        <f t="shared" si="94"/>
        <v>34.88374024751576</v>
      </c>
      <c r="AD223" s="171">
        <f t="shared" si="94"/>
        <v>38.26579760398446</v>
      </c>
      <c r="AE223" s="171">
        <f t="shared" si="94"/>
        <v>41.720780134346207</v>
      </c>
      <c r="AF223" s="171">
        <f t="shared" si="94"/>
        <v>45.257243280977889</v>
      </c>
      <c r="AG223" s="171">
        <f t="shared" si="94"/>
        <v>48.709958522464326</v>
      </c>
      <c r="AH223" s="171">
        <f t="shared" si="94"/>
        <v>52.208289131926918</v>
      </c>
      <c r="AI223" s="171">
        <f t="shared" si="94"/>
        <v>55.934377457758181</v>
      </c>
      <c r="AJ223" s="171">
        <f t="shared" si="94"/>
        <v>59.785261823819255</v>
      </c>
      <c r="AK223" s="171">
        <f t="shared" si="94"/>
        <v>63.73228822172841</v>
      </c>
      <c r="AL223" s="171">
        <f t="shared" si="94"/>
        <v>67.739660649801294</v>
      </c>
      <c r="AM223" s="171">
        <f t="shared" si="94"/>
        <v>72.118335942072989</v>
      </c>
      <c r="AN223" s="171">
        <f t="shared" si="94"/>
        <v>76.380102364097311</v>
      </c>
      <c r="AO223" s="171">
        <f t="shared" si="94"/>
        <v>80.535079551413318</v>
      </c>
      <c r="AP223" s="171">
        <f t="shared" si="94"/>
        <v>84.592024300557171</v>
      </c>
      <c r="AQ223" s="171">
        <f t="shared" si="94"/>
        <v>88.558573114418408</v>
      </c>
      <c r="AR223" s="171">
        <f t="shared" si="94"/>
        <v>93.251878345986455</v>
      </c>
      <c r="AS223" s="171">
        <f t="shared" si="94"/>
        <v>97.822423975384112</v>
      </c>
      <c r="AT223" s="171">
        <f t="shared" si="94"/>
        <v>102.28048331104839</v>
      </c>
      <c r="AU223" s="171">
        <f t="shared" si="94"/>
        <v>106.63498971467882</v>
      </c>
      <c r="AV223" s="171">
        <f t="shared" si="94"/>
        <v>111.26428201436339</v>
      </c>
    </row>
    <row r="224" spans="1:48">
      <c r="A224" s="199" t="s">
        <v>16</v>
      </c>
      <c r="B224" s="95" t="str">
        <f t="shared" si="93"/>
        <v>CNR</v>
      </c>
      <c r="C224" s="95" t="str">
        <f t="shared" si="93"/>
        <v>Commercial - Refrigeration</v>
      </c>
      <c r="E224" s="114"/>
      <c r="F224" s="114"/>
      <c r="I224" s="165"/>
      <c r="J224" s="171">
        <f t="shared" si="94"/>
        <v>0</v>
      </c>
      <c r="K224" s="171">
        <f t="shared" si="94"/>
        <v>0</v>
      </c>
      <c r="L224" s="171">
        <f t="shared" si="94"/>
        <v>0</v>
      </c>
      <c r="M224" s="171">
        <f t="shared" si="94"/>
        <v>0</v>
      </c>
      <c r="N224" s="171">
        <f t="shared" si="94"/>
        <v>0</v>
      </c>
      <c r="O224" s="171">
        <f t="shared" si="94"/>
        <v>0</v>
      </c>
      <c r="P224" s="171">
        <f t="shared" si="94"/>
        <v>0.39297187021735175</v>
      </c>
      <c r="Q224" s="171">
        <f t="shared" si="94"/>
        <v>0.82614285409064703</v>
      </c>
      <c r="R224" s="171">
        <f t="shared" si="94"/>
        <v>1.0298508477810902</v>
      </c>
      <c r="S224" s="171">
        <f t="shared" si="94"/>
        <v>1.6147801324875135</v>
      </c>
      <c r="T224" s="171">
        <f t="shared" si="94"/>
        <v>2.1571252138534383</v>
      </c>
      <c r="U224" s="171">
        <f t="shared" si="94"/>
        <v>2.720414386041575</v>
      </c>
      <c r="V224" s="171">
        <f t="shared" si="94"/>
        <v>3.3305553685841742</v>
      </c>
      <c r="W224" s="171">
        <f t="shared" si="94"/>
        <v>3.9685742214265365</v>
      </c>
      <c r="X224" s="171">
        <f t="shared" si="94"/>
        <v>4.6482442171814</v>
      </c>
      <c r="Y224" s="171">
        <f t="shared" si="94"/>
        <v>5.3542878185005014</v>
      </c>
      <c r="Z224" s="171">
        <f t="shared" si="94"/>
        <v>6.089076075120377</v>
      </c>
      <c r="AA224" s="171">
        <f t="shared" si="94"/>
        <v>6.8776120566653933</v>
      </c>
      <c r="AB224" s="171">
        <f t="shared" si="94"/>
        <v>7.6867916826977032</v>
      </c>
      <c r="AC224" s="171">
        <f t="shared" si="94"/>
        <v>8.4859632587852278</v>
      </c>
      <c r="AD224" s="171">
        <f t="shared" si="94"/>
        <v>9.3086965512148314</v>
      </c>
      <c r="AE224" s="171">
        <f t="shared" si="94"/>
        <v>10.149169923747827</v>
      </c>
      <c r="AF224" s="171">
        <f t="shared" si="94"/>
        <v>11.009464608762336</v>
      </c>
      <c r="AG224" s="171">
        <f t="shared" si="94"/>
        <v>11.849386431204762</v>
      </c>
      <c r="AH224" s="171">
        <f t="shared" si="94"/>
        <v>12.70040483715386</v>
      </c>
      <c r="AI224" s="171">
        <f t="shared" si="94"/>
        <v>13.606828529327881</v>
      </c>
      <c r="AJ224" s="171">
        <f t="shared" si="94"/>
        <v>14.543610623574551</v>
      </c>
      <c r="AK224" s="171">
        <f t="shared" si="94"/>
        <v>15.503780627033333</v>
      </c>
      <c r="AL224" s="171">
        <f t="shared" si="94"/>
        <v>16.478630655946652</v>
      </c>
      <c r="AM224" s="171">
        <f t="shared" si="94"/>
        <v>17.543805358794479</v>
      </c>
      <c r="AN224" s="171">
        <f t="shared" si="94"/>
        <v>18.58054032523485</v>
      </c>
      <c r="AO224" s="171">
        <f t="shared" si="94"/>
        <v>19.591297299758686</v>
      </c>
      <c r="AP224" s="171">
        <f t="shared" si="94"/>
        <v>20.578206496991577</v>
      </c>
      <c r="AQ224" s="171">
        <f t="shared" si="94"/>
        <v>21.54312560428259</v>
      </c>
      <c r="AR224" s="171">
        <f t="shared" si="94"/>
        <v>22.684838490422635</v>
      </c>
      <c r="AS224" s="171">
        <f t="shared" si="94"/>
        <v>23.79668836685417</v>
      </c>
      <c r="AT224" s="171">
        <f t="shared" si="94"/>
        <v>24.881174361174274</v>
      </c>
      <c r="AU224" s="171">
        <f t="shared" si="94"/>
        <v>25.940469639982126</v>
      </c>
      <c r="AV224" s="171">
        <f t="shared" si="94"/>
        <v>27.066610474954611</v>
      </c>
    </row>
    <row r="225" spans="1:48">
      <c r="A225" s="199" t="s">
        <v>16</v>
      </c>
      <c r="B225" s="95" t="str">
        <f t="shared" si="93"/>
        <v>CNW</v>
      </c>
      <c r="C225" s="95" t="str">
        <f t="shared" si="93"/>
        <v>Commercial - Water Heating</v>
      </c>
      <c r="E225" s="114"/>
      <c r="F225" s="114"/>
      <c r="I225" s="165"/>
      <c r="J225" s="171">
        <f t="shared" si="94"/>
        <v>0</v>
      </c>
      <c r="K225" s="171">
        <f t="shared" si="94"/>
        <v>0</v>
      </c>
      <c r="L225" s="171">
        <f t="shared" si="94"/>
        <v>0</v>
      </c>
      <c r="M225" s="171">
        <f t="shared" si="94"/>
        <v>0</v>
      </c>
      <c r="N225" s="171">
        <f t="shared" si="94"/>
        <v>0</v>
      </c>
      <c r="O225" s="171">
        <f t="shared" si="94"/>
        <v>0</v>
      </c>
      <c r="P225" s="171">
        <f t="shared" si="94"/>
        <v>0.20485221696423084</v>
      </c>
      <c r="Q225" s="171">
        <f t="shared" si="94"/>
        <v>0.43065982075516357</v>
      </c>
      <c r="R225" s="171">
        <f t="shared" si="94"/>
        <v>0.53685071451491806</v>
      </c>
      <c r="S225" s="171">
        <f t="shared" si="94"/>
        <v>0.84176836847609915</v>
      </c>
      <c r="T225" s="171">
        <f t="shared" si="94"/>
        <v>1.1244873127506763</v>
      </c>
      <c r="U225" s="171">
        <f t="shared" si="94"/>
        <v>1.4181241973726308</v>
      </c>
      <c r="V225" s="171">
        <f t="shared" si="94"/>
        <v>1.736184451572135</v>
      </c>
      <c r="W225" s="171">
        <f t="shared" si="94"/>
        <v>2.0687771544478997</v>
      </c>
      <c r="X225" s="171">
        <f t="shared" si="94"/>
        <v>2.4230821721516973</v>
      </c>
      <c r="Y225" s="171">
        <f t="shared" si="94"/>
        <v>2.7911354807094582</v>
      </c>
      <c r="Z225" s="171">
        <f t="shared" si="94"/>
        <v>3.1741730840997717</v>
      </c>
      <c r="AA225" s="171">
        <f t="shared" si="94"/>
        <v>3.585228826807815</v>
      </c>
      <c r="AB225" s="171">
        <f t="shared" si="94"/>
        <v>4.0070458902615513</v>
      </c>
      <c r="AC225" s="171">
        <f t="shared" si="94"/>
        <v>4.4236458596328427</v>
      </c>
      <c r="AD225" s="171">
        <f t="shared" si="94"/>
        <v>4.8525283107641837</v>
      </c>
      <c r="AE225" s="171">
        <f t="shared" si="94"/>
        <v>5.2906584842230622</v>
      </c>
      <c r="AF225" s="171">
        <f t="shared" si="94"/>
        <v>5.7391213051631276</v>
      </c>
      <c r="AG225" s="171">
        <f t="shared" si="94"/>
        <v>6.176963961200574</v>
      </c>
      <c r="AH225" s="171">
        <f t="shared" si="94"/>
        <v>6.6205911527336863</v>
      </c>
      <c r="AI225" s="171">
        <f t="shared" si="94"/>
        <v>7.0931005533379867</v>
      </c>
      <c r="AJ225" s="171">
        <f t="shared" si="94"/>
        <v>7.5814354784629963</v>
      </c>
      <c r="AK225" s="171">
        <f t="shared" si="94"/>
        <v>8.0819622814687548</v>
      </c>
      <c r="AL225" s="171">
        <f t="shared" si="94"/>
        <v>8.590141631609221</v>
      </c>
      <c r="AM225" s="171">
        <f t="shared" si="94"/>
        <v>9.1454063105082604</v>
      </c>
      <c r="AN225" s="171">
        <f t="shared" si="94"/>
        <v>9.6858456456753874</v>
      </c>
      <c r="AO225" s="171">
        <f t="shared" si="94"/>
        <v>10.212742919337099</v>
      </c>
      <c r="AP225" s="171">
        <f t="shared" si="94"/>
        <v>10.727208590591701</v>
      </c>
      <c r="AQ225" s="171">
        <f t="shared" si="94"/>
        <v>11.230211052855431</v>
      </c>
      <c r="AR225" s="171">
        <f t="shared" si="94"/>
        <v>11.82537430393765</v>
      </c>
      <c r="AS225" s="171">
        <f t="shared" si="94"/>
        <v>12.404970273472134</v>
      </c>
      <c r="AT225" s="171">
        <f t="shared" si="94"/>
        <v>12.970301731116306</v>
      </c>
      <c r="AU225" s="171">
        <f t="shared" si="94"/>
        <v>13.522501526393027</v>
      </c>
      <c r="AV225" s="171">
        <f t="shared" si="94"/>
        <v>14.109547226459211</v>
      </c>
    </row>
    <row r="226" spans="1:48">
      <c r="A226" s="199" t="s">
        <v>16</v>
      </c>
      <c r="B226" s="95" t="str">
        <f t="shared" si="93"/>
        <v>CNG</v>
      </c>
      <c r="C226" s="95" t="str">
        <f t="shared" si="93"/>
        <v>Commercial - Public lights</v>
      </c>
      <c r="E226" s="114"/>
      <c r="F226" s="114"/>
      <c r="I226" s="165"/>
      <c r="J226" s="171">
        <f t="shared" si="94"/>
        <v>0</v>
      </c>
      <c r="K226" s="171">
        <f t="shared" si="94"/>
        <v>0</v>
      </c>
      <c r="L226" s="171">
        <f t="shared" si="94"/>
        <v>0</v>
      </c>
      <c r="M226" s="171">
        <f t="shared" si="94"/>
        <v>0</v>
      </c>
      <c r="N226" s="171">
        <f t="shared" si="94"/>
        <v>0</v>
      </c>
      <c r="O226" s="171">
        <f t="shared" si="94"/>
        <v>0</v>
      </c>
      <c r="P226" s="171">
        <f t="shared" si="94"/>
        <v>0</v>
      </c>
      <c r="Q226" s="171">
        <f t="shared" si="94"/>
        <v>0</v>
      </c>
      <c r="R226" s="171">
        <f t="shared" si="94"/>
        <v>0</v>
      </c>
      <c r="S226" s="171">
        <f t="shared" si="94"/>
        <v>0</v>
      </c>
      <c r="T226" s="171">
        <f t="shared" si="94"/>
        <v>0</v>
      </c>
      <c r="U226" s="171">
        <f t="shared" si="94"/>
        <v>0</v>
      </c>
      <c r="V226" s="171">
        <f t="shared" si="94"/>
        <v>0</v>
      </c>
      <c r="W226" s="171">
        <f t="shared" si="94"/>
        <v>0</v>
      </c>
      <c r="X226" s="171">
        <f t="shared" si="94"/>
        <v>0</v>
      </c>
      <c r="Y226" s="171">
        <f t="shared" si="94"/>
        <v>0</v>
      </c>
      <c r="Z226" s="171">
        <f t="shared" si="94"/>
        <v>0</v>
      </c>
      <c r="AA226" s="171">
        <f t="shared" si="94"/>
        <v>0</v>
      </c>
      <c r="AB226" s="171">
        <f t="shared" si="94"/>
        <v>0</v>
      </c>
      <c r="AC226" s="171">
        <f t="shared" si="94"/>
        <v>0</v>
      </c>
      <c r="AD226" s="171">
        <f t="shared" si="94"/>
        <v>0</v>
      </c>
      <c r="AE226" s="171">
        <f t="shared" ref="AE226:AV228" si="95">AE192+AE203+AE214</f>
        <v>0</v>
      </c>
      <c r="AF226" s="171">
        <f t="shared" si="95"/>
        <v>0</v>
      </c>
      <c r="AG226" s="171">
        <f t="shared" si="95"/>
        <v>0</v>
      </c>
      <c r="AH226" s="171">
        <f t="shared" si="95"/>
        <v>0</v>
      </c>
      <c r="AI226" s="171">
        <f t="shared" si="95"/>
        <v>0</v>
      </c>
      <c r="AJ226" s="171">
        <f t="shared" si="95"/>
        <v>0</v>
      </c>
      <c r="AK226" s="171">
        <f t="shared" si="95"/>
        <v>0</v>
      </c>
      <c r="AL226" s="171">
        <f t="shared" si="95"/>
        <v>0</v>
      </c>
      <c r="AM226" s="171">
        <f t="shared" si="95"/>
        <v>0</v>
      </c>
      <c r="AN226" s="171">
        <f t="shared" si="95"/>
        <v>0</v>
      </c>
      <c r="AO226" s="171">
        <f t="shared" si="95"/>
        <v>0</v>
      </c>
      <c r="AP226" s="171">
        <f t="shared" si="95"/>
        <v>0</v>
      </c>
      <c r="AQ226" s="171">
        <f t="shared" si="95"/>
        <v>0</v>
      </c>
      <c r="AR226" s="171">
        <f t="shared" si="95"/>
        <v>0</v>
      </c>
      <c r="AS226" s="171">
        <f t="shared" si="95"/>
        <v>0</v>
      </c>
      <c r="AT226" s="171">
        <f t="shared" si="95"/>
        <v>0</v>
      </c>
      <c r="AU226" s="171">
        <f t="shared" si="95"/>
        <v>0</v>
      </c>
      <c r="AV226" s="171">
        <f t="shared" si="95"/>
        <v>0</v>
      </c>
    </row>
    <row r="227" spans="1:48">
      <c r="A227" s="199" t="s">
        <v>16</v>
      </c>
      <c r="B227" s="95" t="str">
        <f t="shared" si="93"/>
        <v>CNT</v>
      </c>
      <c r="C227" s="95" t="str">
        <f t="shared" si="93"/>
        <v>Commercial - Public Water</v>
      </c>
      <c r="E227" s="114"/>
      <c r="F227" s="114"/>
      <c r="I227" s="165"/>
      <c r="J227" s="171">
        <f t="shared" ref="J227:AV228" si="96">J193+J204+J215</f>
        <v>0</v>
      </c>
      <c r="K227" s="171">
        <f t="shared" si="96"/>
        <v>0</v>
      </c>
      <c r="L227" s="171">
        <f t="shared" si="96"/>
        <v>0</v>
      </c>
      <c r="M227" s="171">
        <f t="shared" si="96"/>
        <v>0</v>
      </c>
      <c r="N227" s="171">
        <f t="shared" si="96"/>
        <v>0</v>
      </c>
      <c r="O227" s="171">
        <f t="shared" si="96"/>
        <v>0</v>
      </c>
      <c r="P227" s="171">
        <f t="shared" si="96"/>
        <v>0</v>
      </c>
      <c r="Q227" s="171">
        <f t="shared" si="96"/>
        <v>0</v>
      </c>
      <c r="R227" s="171">
        <f t="shared" si="96"/>
        <v>0</v>
      </c>
      <c r="S227" s="171">
        <f t="shared" si="96"/>
        <v>0</v>
      </c>
      <c r="T227" s="171">
        <f t="shared" si="96"/>
        <v>0</v>
      </c>
      <c r="U227" s="171">
        <f t="shared" si="96"/>
        <v>0</v>
      </c>
      <c r="V227" s="171">
        <f t="shared" si="96"/>
        <v>0</v>
      </c>
      <c r="W227" s="171">
        <f t="shared" si="96"/>
        <v>0</v>
      </c>
      <c r="X227" s="171">
        <f t="shared" si="96"/>
        <v>0</v>
      </c>
      <c r="Y227" s="171">
        <f t="shared" si="96"/>
        <v>0</v>
      </c>
      <c r="Z227" s="171">
        <f t="shared" si="96"/>
        <v>0</v>
      </c>
      <c r="AA227" s="171">
        <f t="shared" si="96"/>
        <v>0</v>
      </c>
      <c r="AB227" s="171">
        <f t="shared" si="96"/>
        <v>0</v>
      </c>
      <c r="AC227" s="171">
        <f t="shared" si="96"/>
        <v>0</v>
      </c>
      <c r="AD227" s="171">
        <f t="shared" si="96"/>
        <v>0</v>
      </c>
      <c r="AE227" s="171">
        <f t="shared" si="96"/>
        <v>0</v>
      </c>
      <c r="AF227" s="171">
        <f t="shared" si="96"/>
        <v>0</v>
      </c>
      <c r="AG227" s="171">
        <f t="shared" si="96"/>
        <v>0</v>
      </c>
      <c r="AH227" s="171">
        <f t="shared" si="96"/>
        <v>0</v>
      </c>
      <c r="AI227" s="171">
        <f t="shared" si="95"/>
        <v>0</v>
      </c>
      <c r="AJ227" s="171">
        <f t="shared" si="95"/>
        <v>0</v>
      </c>
      <c r="AK227" s="171">
        <f t="shared" si="95"/>
        <v>0</v>
      </c>
      <c r="AL227" s="171">
        <f t="shared" si="95"/>
        <v>0</v>
      </c>
      <c r="AM227" s="171">
        <f t="shared" si="95"/>
        <v>0</v>
      </c>
      <c r="AN227" s="171">
        <f t="shared" si="95"/>
        <v>0</v>
      </c>
      <c r="AO227" s="171">
        <f t="shared" si="95"/>
        <v>0</v>
      </c>
      <c r="AP227" s="171">
        <f t="shared" si="95"/>
        <v>0</v>
      </c>
      <c r="AQ227" s="171">
        <f t="shared" si="95"/>
        <v>0</v>
      </c>
      <c r="AR227" s="171">
        <f t="shared" si="95"/>
        <v>0</v>
      </c>
      <c r="AS227" s="171">
        <f t="shared" si="96"/>
        <v>0</v>
      </c>
      <c r="AT227" s="171">
        <f t="shared" si="96"/>
        <v>0</v>
      </c>
      <c r="AU227" s="171">
        <f t="shared" si="96"/>
        <v>0</v>
      </c>
      <c r="AV227" s="171">
        <f t="shared" si="96"/>
        <v>0</v>
      </c>
    </row>
    <row r="228" spans="1:48">
      <c r="A228" s="199" t="s">
        <v>16</v>
      </c>
      <c r="B228" s="95" t="str">
        <f t="shared" si="93"/>
        <v>CNO</v>
      </c>
      <c r="C228" s="95" t="str">
        <f t="shared" si="93"/>
        <v>Commercial - Other</v>
      </c>
      <c r="E228" s="114"/>
      <c r="F228" s="114"/>
      <c r="I228" s="165"/>
      <c r="J228" s="171">
        <f t="shared" si="96"/>
        <v>0</v>
      </c>
      <c r="K228" s="171">
        <f t="shared" si="96"/>
        <v>0</v>
      </c>
      <c r="L228" s="171">
        <f t="shared" si="96"/>
        <v>0</v>
      </c>
      <c r="M228" s="171">
        <f t="shared" si="96"/>
        <v>0</v>
      </c>
      <c r="N228" s="171">
        <f t="shared" si="96"/>
        <v>0</v>
      </c>
      <c r="O228" s="171">
        <f t="shared" si="96"/>
        <v>0</v>
      </c>
      <c r="P228" s="171">
        <f t="shared" si="96"/>
        <v>0.26234508327730677</v>
      </c>
      <c r="Q228" s="171">
        <f t="shared" si="96"/>
        <v>0.55152679436186447</v>
      </c>
      <c r="R228" s="171">
        <f t="shared" si="96"/>
        <v>0.68752072832821642</v>
      </c>
      <c r="S228" s="171">
        <f t="shared" si="96"/>
        <v>1.0780151467270893</v>
      </c>
      <c r="T228" s="171">
        <f t="shared" si="96"/>
        <v>1.440080669272725</v>
      </c>
      <c r="U228" s="171">
        <f t="shared" si="96"/>
        <v>1.8161283103040471</v>
      </c>
      <c r="V228" s="171">
        <f t="shared" si="96"/>
        <v>2.2234538697327739</v>
      </c>
      <c r="W228" s="171">
        <f t="shared" si="96"/>
        <v>2.6493904869996618</v>
      </c>
      <c r="X228" s="171">
        <f t="shared" si="96"/>
        <v>3.1031330959522432</v>
      </c>
      <c r="Y228" s="171">
        <f t="shared" si="96"/>
        <v>3.5744825268492195</v>
      </c>
      <c r="Z228" s="171">
        <f t="shared" si="96"/>
        <v>4.0650216747722219</v>
      </c>
      <c r="AA228" s="171">
        <f t="shared" si="96"/>
        <v>4.5914424021162974</v>
      </c>
      <c r="AB228" s="171">
        <f t="shared" si="96"/>
        <v>5.1316446722185631</v>
      </c>
      <c r="AC228" s="171">
        <f t="shared" si="96"/>
        <v>5.6651656429831538</v>
      </c>
      <c r="AD228" s="171">
        <f t="shared" si="96"/>
        <v>6.214416239464974</v>
      </c>
      <c r="AE228" s="171">
        <f t="shared" si="96"/>
        <v>6.7755099808250696</v>
      </c>
      <c r="AF228" s="171">
        <f t="shared" si="96"/>
        <v>7.3498362822428396</v>
      </c>
      <c r="AG228" s="171">
        <f t="shared" si="96"/>
        <v>7.9105618128850477</v>
      </c>
      <c r="AH228" s="171">
        <f t="shared" si="96"/>
        <v>8.4786953397345712</v>
      </c>
      <c r="AI228" s="171">
        <f t="shared" si="95"/>
        <v>9.0838170215394101</v>
      </c>
      <c r="AJ228" s="171">
        <f t="shared" si="95"/>
        <v>9.7092057456531826</v>
      </c>
      <c r="AK228" s="171">
        <f t="shared" si="95"/>
        <v>10.350208063143347</v>
      </c>
      <c r="AL228" s="171">
        <f t="shared" si="95"/>
        <v>11.001010655900679</v>
      </c>
      <c r="AM228" s="171">
        <f t="shared" si="95"/>
        <v>11.712113325842255</v>
      </c>
      <c r="AN228" s="171">
        <f t="shared" si="95"/>
        <v>12.40422984033186</v>
      </c>
      <c r="AO228" s="171">
        <f t="shared" si="95"/>
        <v>13.079003641591251</v>
      </c>
      <c r="AP228" s="171">
        <f t="shared" si="95"/>
        <v>13.737856844982119</v>
      </c>
      <c r="AQ228" s="171">
        <f t="shared" si="95"/>
        <v>14.382029628693363</v>
      </c>
      <c r="AR228" s="171">
        <f t="shared" si="95"/>
        <v>15.144228617713924</v>
      </c>
      <c r="AS228" s="171">
        <f t="shared" si="96"/>
        <v>15.886491284665023</v>
      </c>
      <c r="AT228" s="171">
        <f t="shared" si="96"/>
        <v>16.61048602845068</v>
      </c>
      <c r="AU228" s="171">
        <f t="shared" si="96"/>
        <v>17.317663638849098</v>
      </c>
      <c r="AV228" s="171">
        <f t="shared" si="96"/>
        <v>18.06946684290395</v>
      </c>
    </row>
    <row r="229" spans="1:48" ht="15.75" thickBot="1">
      <c r="A229" s="199" t="s">
        <v>16</v>
      </c>
      <c r="B229" s="93"/>
      <c r="C229" s="93"/>
      <c r="D229" s="93"/>
      <c r="E229" s="93"/>
      <c r="F229" s="93"/>
      <c r="G229" s="93"/>
      <c r="H229" s="93"/>
      <c r="I229" s="166"/>
      <c r="J229" s="93"/>
      <c r="K229" s="93"/>
      <c r="L229" s="93"/>
      <c r="M229" s="93"/>
      <c r="N229" s="93"/>
      <c r="O229" s="93"/>
      <c r="P229" s="93"/>
      <c r="Q229" s="93"/>
      <c r="R229" s="93"/>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93"/>
      <c r="AU229" s="93"/>
      <c r="AV229" s="93"/>
    </row>
    <row r="230" spans="1:48">
      <c r="A230" s="199" t="s">
        <v>16</v>
      </c>
      <c r="E230" s="114"/>
      <c r="F230" s="114"/>
      <c r="I230" s="165"/>
      <c r="J230" s="102"/>
      <c r="K230" s="102"/>
      <c r="L230" s="102"/>
      <c r="M230" s="102"/>
      <c r="N230" s="102"/>
      <c r="O230" s="102"/>
      <c r="P230" s="102"/>
      <c r="Q230" s="102"/>
      <c r="R230" s="102"/>
      <c r="S230" s="102"/>
      <c r="T230" s="102"/>
      <c r="U230" s="102"/>
      <c r="V230" s="102"/>
      <c r="W230" s="102"/>
      <c r="X230" s="102"/>
      <c r="Y230" s="102"/>
      <c r="Z230" s="102"/>
      <c r="AA230" s="102"/>
      <c r="AB230" s="102"/>
      <c r="AC230" s="102"/>
      <c r="AD230" s="102"/>
      <c r="AE230" s="102"/>
      <c r="AF230" s="102"/>
      <c r="AG230" s="102"/>
      <c r="AH230" s="102"/>
      <c r="AI230" s="102"/>
      <c r="AJ230" s="102"/>
      <c r="AK230" s="102"/>
      <c r="AL230" s="102"/>
      <c r="AM230" s="102"/>
      <c r="AN230" s="102"/>
      <c r="AO230" s="102"/>
      <c r="AP230" s="102"/>
      <c r="AQ230" s="102"/>
      <c r="AR230" s="102"/>
      <c r="AS230" s="102"/>
      <c r="AT230" s="102"/>
      <c r="AU230" s="102"/>
      <c r="AV230" s="102"/>
    </row>
    <row r="231" spans="1:48" ht="15.75" thickBot="1">
      <c r="A231" s="199" t="s">
        <v>16</v>
      </c>
      <c r="B231" s="93" t="s">
        <v>500</v>
      </c>
      <c r="C231" s="93"/>
      <c r="E231" s="114"/>
      <c r="F231" s="114"/>
      <c r="I231" s="165"/>
      <c r="J231" s="102"/>
      <c r="K231" s="102"/>
      <c r="L231" s="102"/>
      <c r="M231" s="102"/>
      <c r="N231" s="102"/>
      <c r="O231" s="102"/>
      <c r="P231" s="102"/>
      <c r="Q231" s="102"/>
      <c r="R231" s="102"/>
      <c r="S231" s="102"/>
      <c r="T231" s="102"/>
      <c r="U231" s="102"/>
      <c r="V231" s="102"/>
      <c r="W231" s="102"/>
      <c r="X231" s="102"/>
      <c r="Y231" s="102"/>
      <c r="Z231" s="102"/>
      <c r="AA231" s="102"/>
      <c r="AB231" s="102"/>
      <c r="AC231" s="102"/>
      <c r="AD231" s="102"/>
      <c r="AE231" s="102"/>
      <c r="AF231" s="102"/>
      <c r="AG231" s="102"/>
      <c r="AH231" s="102"/>
      <c r="AI231" s="102"/>
      <c r="AJ231" s="102"/>
      <c r="AK231" s="102"/>
      <c r="AL231" s="102"/>
      <c r="AM231" s="102"/>
      <c r="AN231" s="102"/>
      <c r="AO231" s="102"/>
      <c r="AP231" s="102"/>
      <c r="AQ231" s="102"/>
      <c r="AR231" s="102"/>
      <c r="AS231" s="102"/>
      <c r="AT231" s="102"/>
      <c r="AU231" s="102"/>
      <c r="AV231" s="102"/>
    </row>
    <row r="232" spans="1:48">
      <c r="A232" s="199" t="s">
        <v>16</v>
      </c>
      <c r="E232" s="114"/>
      <c r="F232" s="114"/>
      <c r="I232" s="165"/>
      <c r="J232" s="102"/>
      <c r="K232" s="102"/>
      <c r="L232" s="102"/>
      <c r="M232" s="102"/>
      <c r="N232" s="102"/>
      <c r="O232" s="102"/>
      <c r="P232" s="102"/>
      <c r="Q232" s="102"/>
      <c r="R232" s="102"/>
      <c r="S232" s="102"/>
      <c r="T232" s="102"/>
      <c r="U232" s="102"/>
      <c r="V232" s="102"/>
      <c r="W232" s="102"/>
      <c r="X232" s="102"/>
      <c r="Y232" s="102"/>
      <c r="Z232" s="102"/>
      <c r="AA232" s="102"/>
      <c r="AB232" s="102"/>
      <c r="AC232" s="102"/>
      <c r="AD232" s="102"/>
      <c r="AE232" s="102"/>
      <c r="AF232" s="102"/>
      <c r="AG232" s="102"/>
      <c r="AH232" s="102"/>
      <c r="AI232" s="102"/>
      <c r="AJ232" s="102"/>
      <c r="AK232" s="102"/>
      <c r="AL232" s="102"/>
      <c r="AM232" s="102"/>
      <c r="AN232" s="102"/>
      <c r="AO232" s="102"/>
      <c r="AP232" s="102"/>
      <c r="AQ232" s="102"/>
      <c r="AR232" s="102"/>
      <c r="AS232" s="102"/>
      <c r="AT232" s="102"/>
      <c r="AU232" s="102"/>
      <c r="AV232" s="102"/>
    </row>
    <row r="233" spans="1:48">
      <c r="A233" s="199" t="s">
        <v>16</v>
      </c>
      <c r="B233" s="95" t="str">
        <f t="shared" ref="B233:C241" si="97">B162</f>
        <v>CEC</v>
      </c>
      <c r="C233" s="95" t="str">
        <f t="shared" si="97"/>
        <v>Commercial - Cooling</v>
      </c>
      <c r="E233" s="114"/>
      <c r="F233" s="114"/>
      <c r="I233" s="165"/>
      <c r="J233" s="102">
        <f t="shared" ref="J233:AV239" si="98">J162+J174+J151</f>
        <v>139.66439435388435</v>
      </c>
      <c r="K233" s="102">
        <f t="shared" si="98"/>
        <v>135.88051692233486</v>
      </c>
      <c r="L233" s="102">
        <f t="shared" si="98"/>
        <v>132.39616572108426</v>
      </c>
      <c r="M233" s="102">
        <f t="shared" si="98"/>
        <v>128.60855827859754</v>
      </c>
      <c r="N233" s="102">
        <f t="shared" si="98"/>
        <v>124.66075526087604</v>
      </c>
      <c r="O233" s="102">
        <f t="shared" si="98"/>
        <v>120.28334032399778</v>
      </c>
      <c r="P233" s="102">
        <f t="shared" si="98"/>
        <v>119.54458266316526</v>
      </c>
      <c r="Q233" s="102">
        <f t="shared" si="98"/>
        <v>118.85329769676166</v>
      </c>
      <c r="R233" s="102">
        <f t="shared" si="98"/>
        <v>117.89103097416967</v>
      </c>
      <c r="S233" s="102">
        <f t="shared" si="98"/>
        <v>116.75392933093214</v>
      </c>
      <c r="T233" s="102">
        <f t="shared" si="98"/>
        <v>115.54654286385139</v>
      </c>
      <c r="U233" s="102">
        <f t="shared" si="98"/>
        <v>114.34203957582858</v>
      </c>
      <c r="V233" s="102">
        <f t="shared" si="98"/>
        <v>113.16610032899654</v>
      </c>
      <c r="W233" s="102">
        <f t="shared" si="98"/>
        <v>111.99496925935928</v>
      </c>
      <c r="X233" s="102">
        <f t="shared" si="98"/>
        <v>110.84000279607284</v>
      </c>
      <c r="Y233" s="102">
        <f t="shared" si="98"/>
        <v>109.68262736457589</v>
      </c>
      <c r="Z233" s="102">
        <f t="shared" si="98"/>
        <v>108.5227470955121</v>
      </c>
      <c r="AA233" s="102">
        <f t="shared" si="98"/>
        <v>107.38069956222522</v>
      </c>
      <c r="AB233" s="102">
        <f t="shared" si="98"/>
        <v>106.22240388591575</v>
      </c>
      <c r="AC233" s="102">
        <f t="shared" si="98"/>
        <v>105.79469150862093</v>
      </c>
      <c r="AD233" s="102">
        <f t="shared" si="98"/>
        <v>105.38805863574723</v>
      </c>
      <c r="AE233" s="102">
        <f t="shared" si="98"/>
        <v>104.99729693675334</v>
      </c>
      <c r="AF233" s="102">
        <f t="shared" si="98"/>
        <v>104.62426838750206</v>
      </c>
      <c r="AG233" s="102">
        <f t="shared" si="98"/>
        <v>104.23301324387096</v>
      </c>
      <c r="AH233" s="102">
        <f t="shared" si="98"/>
        <v>103.85168566568933</v>
      </c>
      <c r="AI233" s="102">
        <f t="shared" si="98"/>
        <v>103.5199264618561</v>
      </c>
      <c r="AJ233" s="102">
        <f t="shared" si="98"/>
        <v>103.21532742162972</v>
      </c>
      <c r="AK233" s="102">
        <f t="shared" si="98"/>
        <v>102.93165238916582</v>
      </c>
      <c r="AL233" s="102">
        <f t="shared" si="98"/>
        <v>102.66111085075552</v>
      </c>
      <c r="AM233" s="102">
        <f t="shared" si="98"/>
        <v>102.49082648635762</v>
      </c>
      <c r="AN233" s="102">
        <f t="shared" si="98"/>
        <v>102.2945792360857</v>
      </c>
      <c r="AO233" s="102">
        <f t="shared" si="98"/>
        <v>102.07461644816946</v>
      </c>
      <c r="AP233" s="102">
        <f t="shared" si="98"/>
        <v>101.83288281430436</v>
      </c>
      <c r="AQ233" s="102">
        <f t="shared" si="98"/>
        <v>101.57107423363448</v>
      </c>
      <c r="AR233" s="102">
        <f t="shared" si="98"/>
        <v>101.47066225094049</v>
      </c>
      <c r="AS233" s="102">
        <f t="shared" si="98"/>
        <v>101.34298806363925</v>
      </c>
      <c r="AT233" s="102">
        <f t="shared" si="98"/>
        <v>101.19033314732732</v>
      </c>
      <c r="AU233" s="102">
        <f t="shared" si="98"/>
        <v>101.0146814049352</v>
      </c>
      <c r="AV233" s="102">
        <f t="shared" si="98"/>
        <v>100.900053559566</v>
      </c>
    </row>
    <row r="234" spans="1:48">
      <c r="A234" s="199" t="s">
        <v>16</v>
      </c>
      <c r="B234" s="95" t="str">
        <f t="shared" si="97"/>
        <v>CEH</v>
      </c>
      <c r="C234" s="95" t="str">
        <f t="shared" si="97"/>
        <v>Commercial - Space Heating</v>
      </c>
      <c r="E234" s="114"/>
      <c r="F234" s="114"/>
      <c r="I234" s="165"/>
      <c r="J234" s="102">
        <f t="shared" si="98"/>
        <v>7.8517549075018991</v>
      </c>
      <c r="K234" s="102">
        <f t="shared" si="98"/>
        <v>8.5451368677826967</v>
      </c>
      <c r="L234" s="102">
        <f t="shared" si="98"/>
        <v>9.2768728776048626</v>
      </c>
      <c r="M234" s="102">
        <f t="shared" si="98"/>
        <v>10.009107345760587</v>
      </c>
      <c r="N234" s="102">
        <f t="shared" si="98"/>
        <v>10.749546443501771</v>
      </c>
      <c r="O234" s="102">
        <f t="shared" si="98"/>
        <v>11.470981711368383</v>
      </c>
      <c r="P234" s="102">
        <f t="shared" si="98"/>
        <v>11.400529098448615</v>
      </c>
      <c r="Q234" s="102">
        <f t="shared" si="98"/>
        <v>11.334603782560315</v>
      </c>
      <c r="R234" s="102">
        <f t="shared" si="98"/>
        <v>11.242835928869367</v>
      </c>
      <c r="S234" s="102">
        <f t="shared" si="98"/>
        <v>11.134394709009573</v>
      </c>
      <c r="T234" s="102">
        <f t="shared" si="98"/>
        <v>11.019250682869874</v>
      </c>
      <c r="U234" s="102">
        <f t="shared" si="98"/>
        <v>10.904381614959259</v>
      </c>
      <c r="V234" s="102">
        <f t="shared" si="98"/>
        <v>10.792236595060778</v>
      </c>
      <c r="W234" s="102">
        <f t="shared" si="98"/>
        <v>10.680550113414705</v>
      </c>
      <c r="X234" s="102">
        <f t="shared" si="98"/>
        <v>10.570405191084514</v>
      </c>
      <c r="Y234" s="102">
        <f t="shared" si="98"/>
        <v>10.460030534277285</v>
      </c>
      <c r="Z234" s="102">
        <f t="shared" si="98"/>
        <v>10.349417000283555</v>
      </c>
      <c r="AA234" s="102">
        <f t="shared" si="98"/>
        <v>10.240504109000693</v>
      </c>
      <c r="AB234" s="102">
        <f t="shared" si="98"/>
        <v>10.13004169181546</v>
      </c>
      <c r="AC234" s="102">
        <f t="shared" si="98"/>
        <v>10.089252328596421</v>
      </c>
      <c r="AD234" s="102">
        <f t="shared" si="98"/>
        <v>10.050473240524781</v>
      </c>
      <c r="AE234" s="102">
        <f t="shared" si="98"/>
        <v>10.013207728188757</v>
      </c>
      <c r="AF234" s="102">
        <f t="shared" si="98"/>
        <v>9.9776333614081736</v>
      </c>
      <c r="AG234" s="102">
        <f t="shared" si="98"/>
        <v>9.9403207910639999</v>
      </c>
      <c r="AH234" s="102">
        <f t="shared" si="98"/>
        <v>9.9039549762838366</v>
      </c>
      <c r="AI234" s="102">
        <f t="shared" si="98"/>
        <v>9.872316315855068</v>
      </c>
      <c r="AJ234" s="102">
        <f t="shared" si="98"/>
        <v>9.8432678207739919</v>
      </c>
      <c r="AK234" s="102">
        <f t="shared" si="98"/>
        <v>9.8162147716933781</v>
      </c>
      <c r="AL234" s="102">
        <f t="shared" si="98"/>
        <v>9.7904142158482319</v>
      </c>
      <c r="AM234" s="102">
        <f t="shared" si="98"/>
        <v>9.774174819565431</v>
      </c>
      <c r="AN234" s="102">
        <f t="shared" si="98"/>
        <v>9.7554594379281081</v>
      </c>
      <c r="AO234" s="102">
        <f t="shared" si="98"/>
        <v>9.7344823923075587</v>
      </c>
      <c r="AP234" s="102">
        <f t="shared" si="98"/>
        <v>9.7114291408296722</v>
      </c>
      <c r="AQ234" s="102">
        <f t="shared" si="98"/>
        <v>9.6864614151857555</v>
      </c>
      <c r="AR234" s="102">
        <f t="shared" si="98"/>
        <v>9.6768854920863276</v>
      </c>
      <c r="AS234" s="102">
        <f t="shared" si="98"/>
        <v>9.6647096723626511</v>
      </c>
      <c r="AT234" s="102">
        <f t="shared" si="98"/>
        <v>9.6501515319880351</v>
      </c>
      <c r="AU234" s="102">
        <f t="shared" si="98"/>
        <v>9.6334002685202726</v>
      </c>
      <c r="AV234" s="102">
        <f t="shared" si="98"/>
        <v>9.6224686306533656</v>
      </c>
    </row>
    <row r="235" spans="1:48">
      <c r="A235" s="199" t="s">
        <v>16</v>
      </c>
      <c r="B235" s="95" t="str">
        <f t="shared" si="97"/>
        <v>CEK</v>
      </c>
      <c r="C235" s="95" t="str">
        <f t="shared" si="97"/>
        <v>Commercial - Cooking</v>
      </c>
      <c r="E235" s="114"/>
      <c r="F235" s="114"/>
      <c r="I235" s="165"/>
      <c r="J235" s="102">
        <f t="shared" si="98"/>
        <v>9.8944997565297612</v>
      </c>
      <c r="K235" s="102">
        <f t="shared" si="98"/>
        <v>9.6376414085782098</v>
      </c>
      <c r="L235" s="102">
        <f t="shared" si="98"/>
        <v>9.4022691154404061</v>
      </c>
      <c r="M235" s="102">
        <f t="shared" si="98"/>
        <v>9.1456297689080213</v>
      </c>
      <c r="N235" s="102">
        <f t="shared" si="98"/>
        <v>8.8778543138235051</v>
      </c>
      <c r="O235" s="102">
        <f t="shared" si="98"/>
        <v>8.5797067698540808</v>
      </c>
      <c r="P235" s="102">
        <f t="shared" si="98"/>
        <v>8.5270118240132575</v>
      </c>
      <c r="Q235" s="102">
        <f t="shared" si="98"/>
        <v>8.4777030644612239</v>
      </c>
      <c r="R235" s="102">
        <f t="shared" si="98"/>
        <v>8.4090654103023912</v>
      </c>
      <c r="S235" s="102">
        <f t="shared" si="98"/>
        <v>8.3279569322686218</v>
      </c>
      <c r="T235" s="102">
        <f t="shared" si="98"/>
        <v>8.241835098459056</v>
      </c>
      <c r="U235" s="102">
        <f t="shared" si="98"/>
        <v>8.1559189193213282</v>
      </c>
      <c r="V235" s="102">
        <f t="shared" si="98"/>
        <v>8.0720401885693782</v>
      </c>
      <c r="W235" s="102">
        <f t="shared" si="98"/>
        <v>7.9885044209436371</v>
      </c>
      <c r="X235" s="102">
        <f t="shared" si="98"/>
        <v>7.906121660726626</v>
      </c>
      <c r="Y235" s="102">
        <f t="shared" si="98"/>
        <v>7.8235670708879201</v>
      </c>
      <c r="Z235" s="102">
        <f t="shared" si="98"/>
        <v>7.7408338131491385</v>
      </c>
      <c r="AA235" s="102">
        <f t="shared" si="98"/>
        <v>7.6593725490501923</v>
      </c>
      <c r="AB235" s="102">
        <f t="shared" si="98"/>
        <v>7.5767523189438766</v>
      </c>
      <c r="AC235" s="102">
        <f t="shared" si="98"/>
        <v>7.546243964510567</v>
      </c>
      <c r="AD235" s="102">
        <f t="shared" si="98"/>
        <v>7.5172391929200693</v>
      </c>
      <c r="AE235" s="102">
        <f t="shared" si="98"/>
        <v>7.489366498453597</v>
      </c>
      <c r="AF235" s="102">
        <f t="shared" si="98"/>
        <v>7.4627586942411499</v>
      </c>
      <c r="AG235" s="102">
        <f t="shared" si="98"/>
        <v>7.4348508027949203</v>
      </c>
      <c r="AH235" s="102">
        <f t="shared" si="98"/>
        <v>7.4076510360172083</v>
      </c>
      <c r="AI235" s="102">
        <f t="shared" si="98"/>
        <v>7.3839869385667862</v>
      </c>
      <c r="AJ235" s="102">
        <f t="shared" si="98"/>
        <v>7.3622601521266864</v>
      </c>
      <c r="AK235" s="102">
        <f t="shared" si="98"/>
        <v>7.342025857087048</v>
      </c>
      <c r="AL235" s="102">
        <f t="shared" si="98"/>
        <v>7.322728362834118</v>
      </c>
      <c r="AM235" s="102">
        <f t="shared" si="98"/>
        <v>7.3105821262057553</v>
      </c>
      <c r="AN235" s="102">
        <f t="shared" si="98"/>
        <v>7.2965839793536</v>
      </c>
      <c r="AO235" s="102">
        <f t="shared" si="98"/>
        <v>7.2808942236857126</v>
      </c>
      <c r="AP235" s="102">
        <f t="shared" si="98"/>
        <v>7.26365157238099</v>
      </c>
      <c r="AQ235" s="102">
        <f t="shared" si="98"/>
        <v>7.2449769924605398</v>
      </c>
      <c r="AR235" s="102">
        <f t="shared" si="98"/>
        <v>7.2378146924664311</v>
      </c>
      <c r="AS235" s="102">
        <f t="shared" si="98"/>
        <v>7.2287078029655767</v>
      </c>
      <c r="AT235" s="102">
        <f t="shared" si="98"/>
        <v>7.2178190596416476</v>
      </c>
      <c r="AU235" s="102">
        <f t="shared" si="98"/>
        <v>7.2052899725770647</v>
      </c>
      <c r="AV235" s="102">
        <f t="shared" si="98"/>
        <v>7.1971136673773675</v>
      </c>
    </row>
    <row r="236" spans="1:48">
      <c r="A236" s="199" t="s">
        <v>16</v>
      </c>
      <c r="B236" s="95" t="str">
        <f t="shared" si="97"/>
        <v>CEL</v>
      </c>
      <c r="C236" s="95" t="str">
        <f t="shared" si="97"/>
        <v>Commercial - Lighting</v>
      </c>
      <c r="E236" s="114"/>
      <c r="F236" s="114"/>
      <c r="I236" s="165"/>
      <c r="J236" s="102">
        <f t="shared" si="98"/>
        <v>121.54027190568891</v>
      </c>
      <c r="K236" s="102">
        <f t="shared" si="98"/>
        <v>118.2474248345661</v>
      </c>
      <c r="L236" s="102">
        <f t="shared" si="98"/>
        <v>115.21523474507296</v>
      </c>
      <c r="M236" s="102">
        <f t="shared" si="98"/>
        <v>111.919141703167</v>
      </c>
      <c r="N236" s="102">
        <f t="shared" si="98"/>
        <v>108.48364152129386</v>
      </c>
      <c r="O236" s="102">
        <f t="shared" si="98"/>
        <v>104.67427977141128</v>
      </c>
      <c r="P236" s="102">
        <f t="shared" si="98"/>
        <v>104.03139002570782</v>
      </c>
      <c r="Q236" s="102">
        <f t="shared" si="98"/>
        <v>103.42981248570776</v>
      </c>
      <c r="R236" s="102">
        <f t="shared" si="98"/>
        <v>102.59241824753646</v>
      </c>
      <c r="S236" s="102">
        <f t="shared" si="98"/>
        <v>101.60287725863336</v>
      </c>
      <c r="T236" s="102">
        <f t="shared" si="98"/>
        <v>100.55217224406525</v>
      </c>
      <c r="U236" s="102">
        <f t="shared" si="98"/>
        <v>99.503976261009981</v>
      </c>
      <c r="V236" s="102">
        <f t="shared" si="98"/>
        <v>98.480637589291021</v>
      </c>
      <c r="W236" s="102">
        <f t="shared" si="98"/>
        <v>97.461483141950268</v>
      </c>
      <c r="X236" s="102">
        <f t="shared" si="98"/>
        <v>96.456395634578129</v>
      </c>
      <c r="Y236" s="102">
        <f t="shared" si="98"/>
        <v>95.449211768626753</v>
      </c>
      <c r="Z236" s="102">
        <f t="shared" si="98"/>
        <v>94.439848115619668</v>
      </c>
      <c r="AA236" s="102">
        <f t="shared" si="98"/>
        <v>93.446003060356674</v>
      </c>
      <c r="AB236" s="102">
        <f t="shared" si="98"/>
        <v>92.438018368931878</v>
      </c>
      <c r="AC236" s="102">
        <f t="shared" si="98"/>
        <v>92.065809840950692</v>
      </c>
      <c r="AD236" s="102">
        <f t="shared" si="98"/>
        <v>91.711945349120128</v>
      </c>
      <c r="AE236" s="102">
        <f t="shared" si="98"/>
        <v>91.371892443254168</v>
      </c>
      <c r="AF236" s="102">
        <f t="shared" si="98"/>
        <v>91.047271472287832</v>
      </c>
      <c r="AG236" s="102">
        <f t="shared" si="98"/>
        <v>90.706789155650043</v>
      </c>
      <c r="AH236" s="102">
        <f t="shared" si="98"/>
        <v>90.374946113250147</v>
      </c>
      <c r="AI236" s="102">
        <f t="shared" si="98"/>
        <v>90.086239001980701</v>
      </c>
      <c r="AJ236" s="102">
        <f t="shared" si="98"/>
        <v>89.821167504391127</v>
      </c>
      <c r="AK236" s="102">
        <f t="shared" si="98"/>
        <v>89.574304724954601</v>
      </c>
      <c r="AL236" s="102">
        <f t="shared" si="98"/>
        <v>89.338871117897583</v>
      </c>
      <c r="AM236" s="102">
        <f t="shared" si="98"/>
        <v>89.19068440183473</v>
      </c>
      <c r="AN236" s="102">
        <f t="shared" si="98"/>
        <v>89.019903980173666</v>
      </c>
      <c r="AO236" s="102">
        <f t="shared" si="98"/>
        <v>88.828485564791919</v>
      </c>
      <c r="AP236" s="102">
        <f t="shared" si="98"/>
        <v>88.618121486498126</v>
      </c>
      <c r="AQ236" s="102">
        <f t="shared" si="98"/>
        <v>88.390287569134529</v>
      </c>
      <c r="AR236" s="102">
        <f t="shared" si="98"/>
        <v>88.302905958841706</v>
      </c>
      <c r="AS236" s="102">
        <f t="shared" si="98"/>
        <v>88.191799935637135</v>
      </c>
      <c r="AT236" s="102">
        <f t="shared" si="98"/>
        <v>88.058954910087692</v>
      </c>
      <c r="AU236" s="102">
        <f t="shared" si="98"/>
        <v>87.906097335830424</v>
      </c>
      <c r="AV236" s="102">
        <f t="shared" si="98"/>
        <v>87.806344642535976</v>
      </c>
    </row>
    <row r="237" spans="1:48">
      <c r="A237" s="199" t="s">
        <v>16</v>
      </c>
      <c r="B237" s="95" t="str">
        <f t="shared" si="97"/>
        <v>CER</v>
      </c>
      <c r="C237" s="95" t="str">
        <f t="shared" si="97"/>
        <v>Commercial - Refrigeration</v>
      </c>
      <c r="E237" s="114"/>
      <c r="F237" s="114"/>
      <c r="I237" s="165"/>
      <c r="J237" s="102">
        <f t="shared" si="98"/>
        <v>29.566390373747055</v>
      </c>
      <c r="K237" s="102">
        <f t="shared" si="98"/>
        <v>28.765358745140752</v>
      </c>
      <c r="L237" s="102">
        <f t="shared" si="98"/>
        <v>28.027735614406538</v>
      </c>
      <c r="M237" s="102">
        <f t="shared" si="98"/>
        <v>27.225914357491767</v>
      </c>
      <c r="N237" s="102">
        <f t="shared" si="98"/>
        <v>26.390180341813739</v>
      </c>
      <c r="O237" s="102">
        <f t="shared" si="98"/>
        <v>25.463499211305454</v>
      </c>
      <c r="P237" s="102">
        <f t="shared" si="98"/>
        <v>25.307107186746741</v>
      </c>
      <c r="Q237" s="102">
        <f t="shared" si="98"/>
        <v>25.160764940602007</v>
      </c>
      <c r="R237" s="102">
        <f t="shared" si="98"/>
        <v>24.957056946911564</v>
      </c>
      <c r="S237" s="102">
        <f t="shared" si="98"/>
        <v>24.716337103932801</v>
      </c>
      <c r="T237" s="102">
        <f t="shared" si="98"/>
        <v>24.460738246522979</v>
      </c>
      <c r="U237" s="102">
        <f t="shared" si="98"/>
        <v>24.205749746519835</v>
      </c>
      <c r="V237" s="102">
        <f t="shared" si="98"/>
        <v>23.956808139115232</v>
      </c>
      <c r="W237" s="102">
        <f t="shared" si="98"/>
        <v>23.708884403478052</v>
      </c>
      <c r="X237" s="102">
        <f t="shared" si="98"/>
        <v>23.464382649970371</v>
      </c>
      <c r="Y237" s="102">
        <f t="shared" si="98"/>
        <v>23.219370927584517</v>
      </c>
      <c r="Z237" s="102">
        <f t="shared" si="98"/>
        <v>22.973828941163461</v>
      </c>
      <c r="AA237" s="102">
        <f t="shared" si="98"/>
        <v>22.732062073160023</v>
      </c>
      <c r="AB237" s="102">
        <f t="shared" si="98"/>
        <v>22.486855538649777</v>
      </c>
      <c r="AC237" s="102">
        <f t="shared" si="98"/>
        <v>22.396310549189252</v>
      </c>
      <c r="AD237" s="102">
        <f t="shared" si="98"/>
        <v>22.310228006005637</v>
      </c>
      <c r="AE237" s="102">
        <f t="shared" si="98"/>
        <v>22.227505326477971</v>
      </c>
      <c r="AF237" s="102">
        <f t="shared" si="98"/>
        <v>22.148536683405133</v>
      </c>
      <c r="AG237" s="102">
        <f t="shared" si="98"/>
        <v>22.065709543633044</v>
      </c>
      <c r="AH237" s="102">
        <f t="shared" si="98"/>
        <v>21.984984029525091</v>
      </c>
      <c r="AI237" s="102">
        <f t="shared" si="98"/>
        <v>21.914751940838528</v>
      </c>
      <c r="AJ237" s="102">
        <f t="shared" si="98"/>
        <v>21.850269549514209</v>
      </c>
      <c r="AK237" s="102">
        <f t="shared" si="98"/>
        <v>21.790216686449757</v>
      </c>
      <c r="AL237" s="102">
        <f t="shared" si="98"/>
        <v>21.732944131236543</v>
      </c>
      <c r="AM237" s="102">
        <f t="shared" si="98"/>
        <v>21.696895616397626</v>
      </c>
      <c r="AN237" s="102">
        <f t="shared" si="98"/>
        <v>21.655350863075519</v>
      </c>
      <c r="AO237" s="102">
        <f t="shared" si="98"/>
        <v>21.608785625848697</v>
      </c>
      <c r="AP237" s="102">
        <f t="shared" si="98"/>
        <v>21.557611588125017</v>
      </c>
      <c r="AQ237" s="102">
        <f t="shared" si="98"/>
        <v>21.502187764930191</v>
      </c>
      <c r="AR237" s="102">
        <f t="shared" si="98"/>
        <v>21.480930952180842</v>
      </c>
      <c r="AS237" s="102">
        <f t="shared" si="98"/>
        <v>21.453902840400001</v>
      </c>
      <c r="AT237" s="102">
        <f t="shared" si="98"/>
        <v>21.421586408792436</v>
      </c>
      <c r="AU237" s="102">
        <f t="shared" si="98"/>
        <v>21.384401641626688</v>
      </c>
      <c r="AV237" s="102">
        <f t="shared" si="98"/>
        <v>21.360135387943586</v>
      </c>
    </row>
    <row r="238" spans="1:48">
      <c r="A238" s="199" t="s">
        <v>16</v>
      </c>
      <c r="B238" s="95" t="str">
        <f t="shared" si="97"/>
        <v>CEW</v>
      </c>
      <c r="C238" s="95" t="str">
        <f t="shared" si="97"/>
        <v>Commercial - Water Heating</v>
      </c>
      <c r="E238" s="114"/>
      <c r="F238" s="114"/>
      <c r="I238" s="165"/>
      <c r="J238" s="102">
        <f t="shared" si="98"/>
        <v>9.6831090230750316</v>
      </c>
      <c r="K238" s="102">
        <f t="shared" si="98"/>
        <v>10.370298222877517</v>
      </c>
      <c r="L238" s="102">
        <f t="shared" si="98"/>
        <v>11.100800089110525</v>
      </c>
      <c r="M238" s="102">
        <f t="shared" si="98"/>
        <v>11.828664869540164</v>
      </c>
      <c r="N238" s="102">
        <f t="shared" si="98"/>
        <v>12.563458496281971</v>
      </c>
      <c r="O238" s="102">
        <f t="shared" si="98"/>
        <v>13.273861719969343</v>
      </c>
      <c r="P238" s="102">
        <f t="shared" si="98"/>
        <v>13.192336157010708</v>
      </c>
      <c r="Q238" s="102">
        <f t="shared" si="98"/>
        <v>13.116049440758747</v>
      </c>
      <c r="R238" s="102">
        <f t="shared" si="98"/>
        <v>13.009858546998991</v>
      </c>
      <c r="S238" s="102">
        <f t="shared" si="98"/>
        <v>12.884373754730767</v>
      </c>
      <c r="T238" s="102">
        <f t="shared" si="98"/>
        <v>12.751132684409455</v>
      </c>
      <c r="U238" s="102">
        <f t="shared" si="98"/>
        <v>12.618209787162034</v>
      </c>
      <c r="V238" s="102">
        <f t="shared" si="98"/>
        <v>12.488439073183789</v>
      </c>
      <c r="W238" s="102">
        <f t="shared" si="98"/>
        <v>12.359198965347979</v>
      </c>
      <c r="X238" s="102">
        <f t="shared" si="98"/>
        <v>12.231742701799174</v>
      </c>
      <c r="Y238" s="102">
        <f t="shared" si="98"/>
        <v>12.104020596689699</v>
      </c>
      <c r="Z238" s="102">
        <f t="shared" si="98"/>
        <v>11.976022070361761</v>
      </c>
      <c r="AA238" s="102">
        <f t="shared" si="98"/>
        <v>11.84999147465625</v>
      </c>
      <c r="AB238" s="102">
        <f t="shared" si="98"/>
        <v>11.7221678159787</v>
      </c>
      <c r="AC238" s="102">
        <f t="shared" si="98"/>
        <v>11.674967638989616</v>
      </c>
      <c r="AD238" s="102">
        <f t="shared" si="98"/>
        <v>11.6300936896066</v>
      </c>
      <c r="AE238" s="102">
        <f t="shared" si="98"/>
        <v>11.586971202785616</v>
      </c>
      <c r="AF238" s="102">
        <f t="shared" si="98"/>
        <v>11.545805656775467</v>
      </c>
      <c r="AG238" s="102">
        <f t="shared" si="98"/>
        <v>11.502628715897398</v>
      </c>
      <c r="AH238" s="102">
        <f t="shared" si="98"/>
        <v>11.46054733098441</v>
      </c>
      <c r="AI238" s="102">
        <f t="shared" si="98"/>
        <v>11.423936061425822</v>
      </c>
      <c r="AJ238" s="102">
        <f t="shared" si="98"/>
        <v>11.390322050299183</v>
      </c>
      <c r="AK238" s="102">
        <f t="shared" si="98"/>
        <v>11.35901710695299</v>
      </c>
      <c r="AL238" s="102">
        <f t="shared" si="98"/>
        <v>11.329161509655036</v>
      </c>
      <c r="AM238" s="102">
        <f t="shared" si="98"/>
        <v>11.310369787542877</v>
      </c>
      <c r="AN238" s="102">
        <f t="shared" si="98"/>
        <v>11.288712932520253</v>
      </c>
      <c r="AO238" s="102">
        <f t="shared" si="98"/>
        <v>11.264438950583319</v>
      </c>
      <c r="AP238" s="102">
        <f t="shared" si="98"/>
        <v>11.23776244808224</v>
      </c>
      <c r="AQ238" s="102">
        <f t="shared" si="98"/>
        <v>11.208870575878223</v>
      </c>
      <c r="AR238" s="102">
        <f t="shared" si="98"/>
        <v>11.19778961678848</v>
      </c>
      <c r="AS238" s="102">
        <f t="shared" si="98"/>
        <v>11.183700138537532</v>
      </c>
      <c r="AT238" s="102">
        <f t="shared" si="98"/>
        <v>11.166853913245319</v>
      </c>
      <c r="AU238" s="102">
        <f t="shared" si="98"/>
        <v>11.147469874415799</v>
      </c>
      <c r="AV238" s="102">
        <f t="shared" si="98"/>
        <v>11.134820124545282</v>
      </c>
    </row>
    <row r="239" spans="1:48">
      <c r="A239" s="199" t="s">
        <v>16</v>
      </c>
      <c r="B239" s="95" t="str">
        <f t="shared" si="97"/>
        <v>CEG</v>
      </c>
      <c r="C239" s="95" t="str">
        <f t="shared" si="97"/>
        <v>Commercial - Public lights</v>
      </c>
      <c r="E239" s="114"/>
      <c r="F239" s="114"/>
      <c r="I239" s="165"/>
      <c r="J239" s="102">
        <f t="shared" si="98"/>
        <v>10.30055287377321</v>
      </c>
      <c r="K239" s="102">
        <f t="shared" si="98"/>
        <v>10.02148368271801</v>
      </c>
      <c r="L239" s="102">
        <f t="shared" si="98"/>
        <v>9.7645052026600503</v>
      </c>
      <c r="M239" s="102">
        <f t="shared" si="98"/>
        <v>9.4851609151849186</v>
      </c>
      <c r="N239" s="102">
        <f t="shared" si="98"/>
        <v>9.1940018555877732</v>
      </c>
      <c r="O239" s="102">
        <f t="shared" si="98"/>
        <v>8.8711579824850144</v>
      </c>
      <c r="P239" s="102">
        <f t="shared" si="98"/>
        <v>8.9535793798308223</v>
      </c>
      <c r="Q239" s="102">
        <f t="shared" si="98"/>
        <v>9.0535068495470483</v>
      </c>
      <c r="R239" s="102">
        <f t="shared" si="98"/>
        <v>9.0535068495470483</v>
      </c>
      <c r="S239" s="102">
        <f t="shared" si="98"/>
        <v>9.0351321842884627</v>
      </c>
      <c r="T239" s="102">
        <f t="shared" si="98"/>
        <v>8.9923139363058517</v>
      </c>
      <c r="U239" s="102">
        <f t="shared" si="98"/>
        <v>8.9521704146826426</v>
      </c>
      <c r="V239" s="102">
        <f t="shared" si="98"/>
        <v>8.9245341768538147</v>
      </c>
      <c r="W239" s="102">
        <f t="shared" si="98"/>
        <v>8.9007444666415232</v>
      </c>
      <c r="X239" s="102">
        <f t="shared" si="98"/>
        <v>8.8853511375312202</v>
      </c>
      <c r="Y239" s="102">
        <f t="shared" si="98"/>
        <v>8.8715441986930816</v>
      </c>
      <c r="Z239" s="102">
        <f t="shared" si="98"/>
        <v>8.8595018786959567</v>
      </c>
      <c r="AA239" s="102">
        <f t="shared" si="98"/>
        <v>8.8574016261732655</v>
      </c>
      <c r="AB239" s="102">
        <f t="shared" si="98"/>
        <v>8.852306025626028</v>
      </c>
      <c r="AC239" s="102">
        <f t="shared" si="98"/>
        <v>9.0625702693506138</v>
      </c>
      <c r="AD239" s="102">
        <f t="shared" si="98"/>
        <v>9.281126029352631</v>
      </c>
      <c r="AE239" s="102">
        <f t="shared" ref="K239:AV241" si="99">AE168+AE180+AE157</f>
        <v>9.5059246351985074</v>
      </c>
      <c r="AF239" s="102">
        <f t="shared" si="99"/>
        <v>9.7376984856613067</v>
      </c>
      <c r="AG239" s="102">
        <f t="shared" si="99"/>
        <v>9.9623029975588739</v>
      </c>
      <c r="AH239" s="102">
        <f t="shared" si="99"/>
        <v>10.190812467033965</v>
      </c>
      <c r="AI239" s="102">
        <f t="shared" si="99"/>
        <v>10.438819405450632</v>
      </c>
      <c r="AJ239" s="102">
        <f t="shared" si="99"/>
        <v>10.697509656631434</v>
      </c>
      <c r="AK239" s="102">
        <f t="shared" si="99"/>
        <v>10.964430260266699</v>
      </c>
      <c r="AL239" s="102">
        <f t="shared" si="99"/>
        <v>11.236516857255006</v>
      </c>
      <c r="AM239" s="102">
        <f t="shared" si="99"/>
        <v>11.548039105748421</v>
      </c>
      <c r="AN239" s="102">
        <f t="shared" si="99"/>
        <v>11.849348984608636</v>
      </c>
      <c r="AO239" s="102">
        <f t="shared" si="99"/>
        <v>12.141330476876966</v>
      </c>
      <c r="AP239" s="102">
        <f t="shared" si="99"/>
        <v>12.424748517180198</v>
      </c>
      <c r="AQ239" s="102">
        <f t="shared" si="99"/>
        <v>12.700270178855428</v>
      </c>
      <c r="AR239" s="102">
        <f t="shared" si="99"/>
        <v>13.039276374725688</v>
      </c>
      <c r="AS239" s="102">
        <f t="shared" si="99"/>
        <v>13.367559120521237</v>
      </c>
      <c r="AT239" s="102">
        <f t="shared" si="99"/>
        <v>13.686015823110283</v>
      </c>
      <c r="AU239" s="102">
        <f t="shared" si="99"/>
        <v>13.995426840660265</v>
      </c>
      <c r="AV239" s="102">
        <f t="shared" si="99"/>
        <v>14.32884129896334</v>
      </c>
    </row>
    <row r="240" spans="1:48">
      <c r="A240" s="199" t="s">
        <v>16</v>
      </c>
      <c r="B240" s="95" t="str">
        <f t="shared" si="97"/>
        <v>CET</v>
      </c>
      <c r="C240" s="95" t="str">
        <f t="shared" si="97"/>
        <v>Commercial - Public Water</v>
      </c>
      <c r="E240" s="114"/>
      <c r="F240" s="114"/>
      <c r="I240" s="165"/>
      <c r="J240" s="102">
        <f t="shared" ref="J240:J241" si="100">J169+J181+J158</f>
        <v>3.5593512487513528</v>
      </c>
      <c r="K240" s="102">
        <f t="shared" si="99"/>
        <v>3.4629190197396977</v>
      </c>
      <c r="L240" s="102">
        <f t="shared" si="99"/>
        <v>3.3741202256258949</v>
      </c>
      <c r="M240" s="102">
        <f t="shared" si="99"/>
        <v>3.2775929371744406</v>
      </c>
      <c r="N240" s="102">
        <f t="shared" si="99"/>
        <v>3.176983059718149</v>
      </c>
      <c r="O240" s="102">
        <f t="shared" si="99"/>
        <v>3.0654245097100388</v>
      </c>
      <c r="P240" s="102">
        <f t="shared" si="99"/>
        <v>3.0939051851807302</v>
      </c>
      <c r="Q240" s="102">
        <f t="shared" si="99"/>
        <v>3.1284350758067578</v>
      </c>
      <c r="R240" s="102">
        <f t="shared" si="99"/>
        <v>3.1284350758067578</v>
      </c>
      <c r="S240" s="102">
        <f t="shared" si="99"/>
        <v>3.1220857187834037</v>
      </c>
      <c r="T240" s="102">
        <f t="shared" si="99"/>
        <v>3.1072898931326955</v>
      </c>
      <c r="U240" s="102">
        <f t="shared" si="99"/>
        <v>3.0934183179299066</v>
      </c>
      <c r="V240" s="102">
        <f t="shared" si="99"/>
        <v>3.0838686288178505</v>
      </c>
      <c r="W240" s="102">
        <f t="shared" si="99"/>
        <v>3.0756481055324305</v>
      </c>
      <c r="X240" s="102">
        <f t="shared" si="99"/>
        <v>3.0703289478267601</v>
      </c>
      <c r="Y240" s="102">
        <f t="shared" si="99"/>
        <v>3.0655579665408825</v>
      </c>
      <c r="Z240" s="102">
        <f t="shared" si="99"/>
        <v>3.0613967484737667</v>
      </c>
      <c r="AA240" s="102">
        <f t="shared" si="99"/>
        <v>3.0606710071926009</v>
      </c>
      <c r="AB240" s="102">
        <f t="shared" si="99"/>
        <v>3.0589102247964317</v>
      </c>
      <c r="AC240" s="102">
        <f t="shared" si="99"/>
        <v>3.1315669362992105</v>
      </c>
      <c r="AD240" s="102">
        <f t="shared" si="99"/>
        <v>3.2070887773904468</v>
      </c>
      <c r="AE240" s="102">
        <f t="shared" si="99"/>
        <v>3.284767830955849</v>
      </c>
      <c r="AF240" s="102">
        <f t="shared" si="99"/>
        <v>3.3648571770503835</v>
      </c>
      <c r="AG240" s="102">
        <f t="shared" si="99"/>
        <v>3.4424691615423333</v>
      </c>
      <c r="AH240" s="102">
        <f t="shared" si="99"/>
        <v>3.5214305023067278</v>
      </c>
      <c r="AI240" s="102">
        <f t="shared" si="99"/>
        <v>3.6071291843842666</v>
      </c>
      <c r="AJ240" s="102">
        <f t="shared" si="99"/>
        <v>3.6965194802124262</v>
      </c>
      <c r="AK240" s="102">
        <f t="shared" si="99"/>
        <v>3.7887537704984999</v>
      </c>
      <c r="AL240" s="102">
        <f t="shared" si="99"/>
        <v>3.8827731673820072</v>
      </c>
      <c r="AM240" s="102">
        <f t="shared" si="99"/>
        <v>3.9904195352786358</v>
      </c>
      <c r="AN240" s="102">
        <f t="shared" si="99"/>
        <v>4.0945370236042278</v>
      </c>
      <c r="AO240" s="102">
        <f t="shared" si="99"/>
        <v>4.1954310922870555</v>
      </c>
      <c r="AP240" s="102">
        <f t="shared" si="99"/>
        <v>4.2933660641311864</v>
      </c>
      <c r="AQ240" s="102">
        <f t="shared" si="99"/>
        <v>4.3885724460176121</v>
      </c>
      <c r="AR240" s="102">
        <f t="shared" si="99"/>
        <v>4.5057158791315333</v>
      </c>
      <c r="AS240" s="102">
        <f t="shared" si="99"/>
        <v>4.6191538290658549</v>
      </c>
      <c r="AT240" s="102">
        <f t="shared" si="99"/>
        <v>4.7291963943459789</v>
      </c>
      <c r="AU240" s="102">
        <f t="shared" si="99"/>
        <v>4.8361132273732652</v>
      </c>
      <c r="AV240" s="102">
        <f t="shared" si="99"/>
        <v>4.9513244381748169</v>
      </c>
    </row>
    <row r="241" spans="1:48">
      <c r="A241" s="199" t="s">
        <v>16</v>
      </c>
      <c r="B241" s="95" t="str">
        <f t="shared" si="97"/>
        <v>CEO</v>
      </c>
      <c r="C241" s="95" t="str">
        <f t="shared" si="97"/>
        <v>Commercial - Other</v>
      </c>
      <c r="E241" s="114"/>
      <c r="F241" s="114"/>
      <c r="I241" s="165"/>
      <c r="J241" s="102">
        <f t="shared" si="100"/>
        <v>18.760184357078931</v>
      </c>
      <c r="K241" s="102">
        <f t="shared" si="99"/>
        <v>18.414019966220415</v>
      </c>
      <c r="L241" s="102">
        <f t="shared" si="99"/>
        <v>18.11193788323466</v>
      </c>
      <c r="M241" s="102">
        <f t="shared" si="99"/>
        <v>17.772260523902151</v>
      </c>
      <c r="N241" s="102">
        <f t="shared" si="99"/>
        <v>17.414144069480905</v>
      </c>
      <c r="O241" s="102">
        <f t="shared" si="99"/>
        <v>16.999241745794041</v>
      </c>
      <c r="P241" s="102">
        <f t="shared" si="99"/>
        <v>16.894835599155428</v>
      </c>
      <c r="Q241" s="102">
        <f t="shared" si="99"/>
        <v>16.797138609468625</v>
      </c>
      <c r="R241" s="102">
        <f t="shared" si="99"/>
        <v>16.661144675502275</v>
      </c>
      <c r="S241" s="102">
        <f t="shared" si="99"/>
        <v>16.5004419075972</v>
      </c>
      <c r="T241" s="102">
        <f t="shared" si="99"/>
        <v>16.329806020871569</v>
      </c>
      <c r="U241" s="102">
        <f t="shared" si="99"/>
        <v>16.159577604188513</v>
      </c>
      <c r="V241" s="102">
        <f t="shared" si="99"/>
        <v>15.993386047806567</v>
      </c>
      <c r="W241" s="102">
        <f t="shared" si="99"/>
        <v>15.827874015008433</v>
      </c>
      <c r="X241" s="102">
        <f t="shared" si="99"/>
        <v>15.664646471902252</v>
      </c>
      <c r="Y241" s="102">
        <f t="shared" si="99"/>
        <v>15.501078477384777</v>
      </c>
      <c r="Z241" s="102">
        <f t="shared" si="99"/>
        <v>15.337156482560875</v>
      </c>
      <c r="AA241" s="102">
        <f t="shared" si="99"/>
        <v>15.175754728575345</v>
      </c>
      <c r="AB241" s="102">
        <f t="shared" si="99"/>
        <v>15.012056678939754</v>
      </c>
      <c r="AC241" s="102">
        <f t="shared" si="99"/>
        <v>14.951609520757096</v>
      </c>
      <c r="AD241" s="102">
        <f t="shared" si="99"/>
        <v>14.894141458354214</v>
      </c>
      <c r="AE241" s="102">
        <f t="shared" si="99"/>
        <v>14.838916415814644</v>
      </c>
      <c r="AF241" s="102">
        <f t="shared" si="99"/>
        <v>14.786197539952664</v>
      </c>
      <c r="AG241" s="102">
        <f t="shared" si="99"/>
        <v>14.730902760534704</v>
      </c>
      <c r="AH241" s="102">
        <f t="shared" si="99"/>
        <v>14.677011010701465</v>
      </c>
      <c r="AI241" s="102">
        <f t="shared" si="99"/>
        <v>14.630124593246128</v>
      </c>
      <c r="AJ241" s="102">
        <f t="shared" si="99"/>
        <v>14.58707663077354</v>
      </c>
      <c r="AK241" s="102">
        <f t="shared" si="99"/>
        <v>14.546985788258603</v>
      </c>
      <c r="AL241" s="102">
        <f t="shared" si="99"/>
        <v>14.508751058483657</v>
      </c>
      <c r="AM241" s="102">
        <f t="shared" si="99"/>
        <v>14.484685339422885</v>
      </c>
      <c r="AN241" s="102">
        <f t="shared" si="99"/>
        <v>14.456950372632523</v>
      </c>
      <c r="AO241" s="102">
        <f t="shared" si="99"/>
        <v>14.425863768313132</v>
      </c>
      <c r="AP241" s="102">
        <f t="shared" si="99"/>
        <v>14.391700363230653</v>
      </c>
      <c r="AQ241" s="102">
        <f t="shared" si="99"/>
        <v>14.354699833132784</v>
      </c>
      <c r="AR241" s="102">
        <f t="shared" si="99"/>
        <v>14.34050894382599</v>
      </c>
      <c r="AS241" s="102">
        <f t="shared" si="99"/>
        <v>14.322465178423517</v>
      </c>
      <c r="AT241" s="102">
        <f t="shared" si="99"/>
        <v>14.300890970232423</v>
      </c>
      <c r="AU241" s="102">
        <f t="shared" si="99"/>
        <v>14.276066697611206</v>
      </c>
      <c r="AV241" s="102">
        <f t="shared" si="99"/>
        <v>14.259866728031197</v>
      </c>
    </row>
    <row r="242" spans="1:48">
      <c r="A242" s="199" t="s">
        <v>16</v>
      </c>
      <c r="E242" s="114"/>
      <c r="F242" s="114"/>
      <c r="J242" s="96"/>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c r="AM242" s="97"/>
      <c r="AN242" s="97"/>
      <c r="AO242" s="97"/>
      <c r="AP242" s="97"/>
      <c r="AQ242" s="97"/>
      <c r="AR242" s="97"/>
      <c r="AS242" s="97"/>
      <c r="AT242" s="97"/>
      <c r="AU242" s="97"/>
      <c r="AV242" s="97"/>
    </row>
    <row r="243" spans="1:48">
      <c r="A243" s="199" t="s">
        <v>16</v>
      </c>
      <c r="E243" s="114"/>
      <c r="F243" s="114"/>
      <c r="J243" s="96"/>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c r="AM243" s="97"/>
      <c r="AN243" s="97"/>
      <c r="AO243" s="97"/>
      <c r="AP243" s="97"/>
      <c r="AQ243" s="97"/>
      <c r="AR243" s="97"/>
      <c r="AS243" s="97"/>
      <c r="AT243" s="97"/>
      <c r="AU243" s="97"/>
      <c r="AV243" s="97"/>
    </row>
    <row r="244" spans="1:48">
      <c r="A244" s="199" t="s">
        <v>16</v>
      </c>
      <c r="E244" s="114"/>
      <c r="F244" s="114"/>
      <c r="J244" s="96"/>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c r="AM244" s="97"/>
      <c r="AN244" s="97"/>
      <c r="AO244" s="97"/>
      <c r="AP244" s="97"/>
      <c r="AQ244" s="97"/>
      <c r="AR244" s="97"/>
      <c r="AS244" s="97"/>
      <c r="AT244" s="97"/>
      <c r="AU244" s="97"/>
      <c r="AV244" s="97"/>
    </row>
    <row r="245" spans="1:48">
      <c r="A245" s="199" t="s">
        <v>16</v>
      </c>
      <c r="B245" s="290" t="s">
        <v>481</v>
      </c>
      <c r="C245" s="291"/>
      <c r="D245" s="291"/>
      <c r="E245" s="292"/>
      <c r="F245" s="292"/>
      <c r="G245" s="291"/>
      <c r="H245" s="291"/>
      <c r="I245" s="291"/>
      <c r="J245" s="176">
        <f t="shared" ref="J245:AV245" si="101">SUM(J220:J241)</f>
        <v>350.82050880003044</v>
      </c>
      <c r="K245" s="176">
        <f t="shared" si="101"/>
        <v>343.34479966995821</v>
      </c>
      <c r="L245" s="176">
        <f t="shared" si="101"/>
        <v>336.66964147424017</v>
      </c>
      <c r="M245" s="176">
        <f t="shared" si="101"/>
        <v>329.2720306997266</v>
      </c>
      <c r="N245" s="176">
        <f t="shared" si="101"/>
        <v>321.51056536237775</v>
      </c>
      <c r="O245" s="176">
        <f t="shared" si="101"/>
        <v>312.68149374589541</v>
      </c>
      <c r="P245" s="176">
        <f t="shared" si="101"/>
        <v>315.58659877159721</v>
      </c>
      <c r="Q245" s="176">
        <f t="shared" si="101"/>
        <v>319.10873991245012</v>
      </c>
      <c r="R245" s="176">
        <f t="shared" si="101"/>
        <v>319.10873991245012</v>
      </c>
      <c r="S245" s="176">
        <f t="shared" si="101"/>
        <v>323.14941307482178</v>
      </c>
      <c r="T245" s="176">
        <f t="shared" si="101"/>
        <v>326.47850822604329</v>
      </c>
      <c r="U245" s="176">
        <f t="shared" si="101"/>
        <v>330.06577815160585</v>
      </c>
      <c r="V245" s="176">
        <f t="shared" si="101"/>
        <v>334.29465452503183</v>
      </c>
      <c r="W245" s="176">
        <f t="shared" si="101"/>
        <v>338.86998911994192</v>
      </c>
      <c r="X245" s="176">
        <f t="shared" si="101"/>
        <v>343.98897221498663</v>
      </c>
      <c r="Y245" s="176">
        <f t="shared" si="101"/>
        <v>349.41556074132427</v>
      </c>
      <c r="Z245" s="176">
        <f t="shared" si="101"/>
        <v>355.17775886326518</v>
      </c>
      <c r="AA245" s="176">
        <f t="shared" si="101"/>
        <v>361.63272671640124</v>
      </c>
      <c r="AB245" s="176">
        <f t="shared" si="101"/>
        <v>368.28685733888767</v>
      </c>
      <c r="AC245" s="176">
        <f t="shared" si="101"/>
        <v>376.93924229191981</v>
      </c>
      <c r="AD245" s="176">
        <f t="shared" si="101"/>
        <v>385.93377234726933</v>
      </c>
      <c r="AE245" s="176">
        <f t="shared" si="101"/>
        <v>395.18591018610863</v>
      </c>
      <c r="AF245" s="176">
        <f t="shared" si="101"/>
        <v>404.72587786249437</v>
      </c>
      <c r="AG245" s="176">
        <f t="shared" si="101"/>
        <v>413.97000651560916</v>
      </c>
      <c r="AH245" s="176">
        <f t="shared" si="101"/>
        <v>423.37527121009481</v>
      </c>
      <c r="AI245" s="176">
        <f t="shared" ref="AI245:AR245" si="102">SUM(AI220:AI241)</f>
        <v>433.58508880934932</v>
      </c>
      <c r="AJ245" s="176">
        <f t="shared" si="102"/>
        <v>444.2357477476869</v>
      </c>
      <c r="AK245" s="176">
        <f t="shared" si="102"/>
        <v>455.22602789503128</v>
      </c>
      <c r="AL245" s="176">
        <f t="shared" si="102"/>
        <v>466.42948006848133</v>
      </c>
      <c r="AM245" s="176">
        <f t="shared" si="102"/>
        <v>479.00347711254415</v>
      </c>
      <c r="AN245" s="176">
        <f t="shared" si="102"/>
        <v>491.16292107584326</v>
      </c>
      <c r="AO245" s="176">
        <f t="shared" si="102"/>
        <v>502.94369568627758</v>
      </c>
      <c r="AP245" s="176">
        <f t="shared" si="102"/>
        <v>514.37685211194093</v>
      </c>
      <c r="AQ245" s="176">
        <f t="shared" si="102"/>
        <v>525.48946901497732</v>
      </c>
      <c r="AR245" s="176">
        <f t="shared" si="102"/>
        <v>539.1791282868918</v>
      </c>
      <c r="AS245" s="176">
        <f t="shared" si="101"/>
        <v>552.43348807156121</v>
      </c>
      <c r="AT245" s="176">
        <f t="shared" si="101"/>
        <v>565.28897701339213</v>
      </c>
      <c r="AU245" s="176">
        <f t="shared" si="101"/>
        <v>577.77727237182864</v>
      </c>
      <c r="AV245" s="176">
        <f t="shared" si="101"/>
        <v>591.23994494833755</v>
      </c>
    </row>
    <row r="246" spans="1:48">
      <c r="A246" s="199" t="s">
        <v>16</v>
      </c>
      <c r="K246" s="95"/>
    </row>
    <row r="247" spans="1:48" s="199" customFormat="1" ht="23.25">
      <c r="A247" s="199" t="s">
        <v>16</v>
      </c>
      <c r="B247" s="16" t="s">
        <v>18</v>
      </c>
      <c r="C247" s="16" t="s">
        <v>19</v>
      </c>
      <c r="D247" s="16" t="s">
        <v>20</v>
      </c>
      <c r="E247" s="16" t="s">
        <v>21</v>
      </c>
      <c r="F247" s="16" t="s">
        <v>22</v>
      </c>
      <c r="G247" s="16" t="s">
        <v>23</v>
      </c>
      <c r="H247" s="16" t="s">
        <v>24</v>
      </c>
      <c r="I247" s="17" t="s">
        <v>25</v>
      </c>
      <c r="J247" s="177">
        <v>2012</v>
      </c>
      <c r="K247" s="177">
        <v>2013</v>
      </c>
      <c r="L247" s="177">
        <v>2014</v>
      </c>
      <c r="M247" s="177">
        <v>2015</v>
      </c>
      <c r="N247" s="177">
        <v>2016</v>
      </c>
      <c r="O247" s="177">
        <v>2017</v>
      </c>
      <c r="P247" s="177">
        <v>2018</v>
      </c>
      <c r="Q247" s="177">
        <v>2019</v>
      </c>
      <c r="R247" s="177">
        <v>2020</v>
      </c>
      <c r="S247" s="177">
        <v>2021</v>
      </c>
      <c r="T247" s="177">
        <v>2022</v>
      </c>
      <c r="U247" s="177">
        <v>2023</v>
      </c>
      <c r="V247" s="177">
        <v>2024</v>
      </c>
      <c r="W247" s="177">
        <v>2025</v>
      </c>
      <c r="X247" s="177">
        <v>2026</v>
      </c>
      <c r="Y247" s="177">
        <v>2027</v>
      </c>
      <c r="Z247" s="177">
        <v>2028</v>
      </c>
      <c r="AA247" s="177">
        <v>2029</v>
      </c>
      <c r="AB247" s="177">
        <v>2030</v>
      </c>
      <c r="AC247" s="177">
        <v>2031</v>
      </c>
      <c r="AD247" s="177">
        <v>2032</v>
      </c>
      <c r="AE247" s="177">
        <v>2033</v>
      </c>
      <c r="AF247" s="177">
        <v>2034</v>
      </c>
      <c r="AG247" s="177">
        <v>2035</v>
      </c>
      <c r="AH247" s="177">
        <v>2036</v>
      </c>
      <c r="AI247" s="177">
        <v>2037</v>
      </c>
      <c r="AJ247" s="177">
        <v>2038</v>
      </c>
      <c r="AK247" s="177">
        <v>2039</v>
      </c>
      <c r="AL247" s="177">
        <v>2040</v>
      </c>
      <c r="AM247" s="177">
        <v>2045</v>
      </c>
      <c r="AN247" s="177">
        <v>2050</v>
      </c>
      <c r="AO247" s="177">
        <v>2060</v>
      </c>
      <c r="AP247" s="177">
        <v>2070</v>
      </c>
      <c r="AQ247" s="177"/>
      <c r="AR247" s="18"/>
      <c r="AS247" s="18"/>
      <c r="AT247" s="18"/>
      <c r="AU247" s="18"/>
      <c r="AV247" s="18"/>
    </row>
    <row r="248" spans="1:48" s="199" customFormat="1">
      <c r="A248" s="199"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135.88051692233486</v>
      </c>
      <c r="L248" s="10">
        <f t="shared" si="107"/>
        <v>132.39616572108426</v>
      </c>
      <c r="M248" s="10">
        <f t="shared" si="107"/>
        <v>128.60855827859754</v>
      </c>
      <c r="N248" s="10">
        <f t="shared" si="107"/>
        <v>124.66075526087604</v>
      </c>
      <c r="O248" s="10">
        <f t="shared" si="107"/>
        <v>120.28334032399778</v>
      </c>
      <c r="P248" s="10">
        <f t="shared" si="107"/>
        <v>119.54458266316526</v>
      </c>
      <c r="Q248" s="10">
        <f t="shared" si="107"/>
        <v>118.85329769676166</v>
      </c>
      <c r="R248" s="10">
        <f t="shared" si="107"/>
        <v>117.89103097416967</v>
      </c>
      <c r="S248" s="10">
        <f t="shared" si="107"/>
        <v>116.75392933093214</v>
      </c>
      <c r="T248" s="10">
        <f t="shared" si="107"/>
        <v>115.54654286385139</v>
      </c>
      <c r="U248" s="10">
        <f t="shared" si="107"/>
        <v>114.34203957582858</v>
      </c>
      <c r="V248" s="10">
        <f t="shared" si="107"/>
        <v>113.16610032899654</v>
      </c>
      <c r="W248" s="10">
        <f t="shared" si="107"/>
        <v>111.99496925935928</v>
      </c>
      <c r="X248" s="10">
        <f t="shared" si="107"/>
        <v>110.84000279607284</v>
      </c>
      <c r="Y248" s="10">
        <f t="shared" si="107"/>
        <v>109.68262736457589</v>
      </c>
      <c r="Z248" s="10">
        <f t="shared" ref="Z248:AN256" si="108">INDEX($J$233:$AV$241,MATCH($D248,$B$233:$B$241,0),MATCH(Z$247,$J$104:$AV$104,0))</f>
        <v>108.5227470955121</v>
      </c>
      <c r="AA248" s="10">
        <f t="shared" si="108"/>
        <v>107.38069956222522</v>
      </c>
      <c r="AB248" s="10">
        <f t="shared" si="108"/>
        <v>106.22240388591575</v>
      </c>
      <c r="AC248" s="10">
        <f t="shared" si="108"/>
        <v>105.79469150862093</v>
      </c>
      <c r="AD248" s="10">
        <f t="shared" si="108"/>
        <v>105.38805863574723</v>
      </c>
      <c r="AE248" s="10">
        <f t="shared" si="108"/>
        <v>104.99729693675334</v>
      </c>
      <c r="AF248" s="10">
        <f t="shared" si="108"/>
        <v>104.62426838750206</v>
      </c>
      <c r="AG248" s="10">
        <f t="shared" si="108"/>
        <v>104.23301324387096</v>
      </c>
      <c r="AH248" s="10">
        <f t="shared" si="108"/>
        <v>103.85168566568933</v>
      </c>
      <c r="AI248" s="10">
        <f t="shared" si="108"/>
        <v>103.5199264618561</v>
      </c>
      <c r="AJ248" s="10">
        <f t="shared" si="108"/>
        <v>103.21532742162972</v>
      </c>
      <c r="AK248" s="10">
        <f t="shared" si="108"/>
        <v>102.93165238916582</v>
      </c>
      <c r="AL248" s="10">
        <f t="shared" si="108"/>
        <v>102.66111085075552</v>
      </c>
      <c r="AM248" s="10">
        <f>INDEX($J$233:$AV$241,MATCH($D248,$B$233:$B$241,0),MATCH(AM$247,$J$104:$AV$104,0))</f>
        <v>101.57107423363448</v>
      </c>
      <c r="AN248" s="10">
        <f>INDEX($J$233:$AV$241,MATCH($D248,$B$233:$B$241,0),MATCH(AN$247,$J$104:$AV$104,0))</f>
        <v>100.900053559566</v>
      </c>
      <c r="AO248" s="200">
        <f>AN248</f>
        <v>100.900053559566</v>
      </c>
      <c r="AP248" s="200">
        <f>AO248</f>
        <v>100.900053559566</v>
      </c>
      <c r="AQ248" s="200"/>
      <c r="AR248" s="200"/>
      <c r="AS248" s="200"/>
      <c r="AT248" s="200"/>
      <c r="AU248" s="200"/>
      <c r="AV248" s="200"/>
    </row>
    <row r="249" spans="1:48" s="199" customFormat="1">
      <c r="A249" s="199"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8.5451368677826967</v>
      </c>
      <c r="L249" s="10">
        <f t="shared" si="107"/>
        <v>9.2768728776048626</v>
      </c>
      <c r="M249" s="10">
        <f t="shared" si="107"/>
        <v>10.009107345760587</v>
      </c>
      <c r="N249" s="10">
        <f t="shared" si="107"/>
        <v>10.749546443501771</v>
      </c>
      <c r="O249" s="10">
        <f t="shared" si="107"/>
        <v>11.470981711368383</v>
      </c>
      <c r="P249" s="10">
        <f t="shared" si="107"/>
        <v>11.400529098448615</v>
      </c>
      <c r="Q249" s="10">
        <f t="shared" si="107"/>
        <v>11.334603782560315</v>
      </c>
      <c r="R249" s="10">
        <f t="shared" si="107"/>
        <v>11.242835928869367</v>
      </c>
      <c r="S249" s="10">
        <f t="shared" si="107"/>
        <v>11.134394709009573</v>
      </c>
      <c r="T249" s="10">
        <f t="shared" si="107"/>
        <v>11.019250682869874</v>
      </c>
      <c r="U249" s="10">
        <f t="shared" si="107"/>
        <v>10.904381614959259</v>
      </c>
      <c r="V249" s="10">
        <f t="shared" si="107"/>
        <v>10.792236595060778</v>
      </c>
      <c r="W249" s="10">
        <f t="shared" si="107"/>
        <v>10.680550113414705</v>
      </c>
      <c r="X249" s="10">
        <f t="shared" si="107"/>
        <v>10.570405191084514</v>
      </c>
      <c r="Y249" s="10">
        <f t="shared" si="107"/>
        <v>10.460030534277285</v>
      </c>
      <c r="Z249" s="10">
        <f t="shared" si="108"/>
        <v>10.349417000283555</v>
      </c>
      <c r="AA249" s="10">
        <f t="shared" si="108"/>
        <v>10.240504109000693</v>
      </c>
      <c r="AB249" s="10">
        <f t="shared" si="108"/>
        <v>10.13004169181546</v>
      </c>
      <c r="AC249" s="10">
        <f t="shared" si="108"/>
        <v>10.089252328596421</v>
      </c>
      <c r="AD249" s="10">
        <f t="shared" si="108"/>
        <v>10.050473240524781</v>
      </c>
      <c r="AE249" s="10">
        <f t="shared" si="108"/>
        <v>10.013207728188757</v>
      </c>
      <c r="AF249" s="10">
        <f t="shared" si="108"/>
        <v>9.9776333614081736</v>
      </c>
      <c r="AG249" s="10">
        <f t="shared" si="108"/>
        <v>9.9403207910639999</v>
      </c>
      <c r="AH249" s="10">
        <f t="shared" si="108"/>
        <v>9.9039549762838366</v>
      </c>
      <c r="AI249" s="10">
        <f t="shared" si="108"/>
        <v>9.872316315855068</v>
      </c>
      <c r="AJ249" s="10">
        <f t="shared" si="108"/>
        <v>9.8432678207739919</v>
      </c>
      <c r="AK249" s="10">
        <f t="shared" si="108"/>
        <v>9.8162147716933781</v>
      </c>
      <c r="AL249" s="10">
        <f t="shared" si="108"/>
        <v>9.7904142158482319</v>
      </c>
      <c r="AM249" s="10">
        <f t="shared" si="108"/>
        <v>9.6864614151857555</v>
      </c>
      <c r="AN249" s="10">
        <f t="shared" si="108"/>
        <v>9.6224686306533656</v>
      </c>
      <c r="AO249" s="200">
        <f t="shared" ref="AO249:AP264" si="109">AN249</f>
        <v>9.6224686306533656</v>
      </c>
      <c r="AP249" s="200">
        <f t="shared" si="109"/>
        <v>9.6224686306533656</v>
      </c>
      <c r="AQ249" s="200"/>
      <c r="AR249" s="200"/>
      <c r="AS249" s="200"/>
      <c r="AT249" s="200"/>
      <c r="AU249" s="200"/>
      <c r="AV249" s="200"/>
    </row>
    <row r="250" spans="1:48" s="199" customFormat="1">
      <c r="A250" s="199"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9.6376414085782098</v>
      </c>
      <c r="L250" s="10">
        <f t="shared" si="107"/>
        <v>9.4022691154404061</v>
      </c>
      <c r="M250" s="10">
        <f t="shared" si="107"/>
        <v>9.1456297689080213</v>
      </c>
      <c r="N250" s="10">
        <f t="shared" si="107"/>
        <v>8.8778543138235051</v>
      </c>
      <c r="O250" s="10">
        <f t="shared" si="107"/>
        <v>8.5797067698540808</v>
      </c>
      <c r="P250" s="10">
        <f t="shared" si="107"/>
        <v>8.5270118240132575</v>
      </c>
      <c r="Q250" s="10">
        <f t="shared" si="107"/>
        <v>8.4777030644612239</v>
      </c>
      <c r="R250" s="10">
        <f t="shared" si="107"/>
        <v>8.4090654103023912</v>
      </c>
      <c r="S250" s="10">
        <f t="shared" si="107"/>
        <v>8.3279569322686218</v>
      </c>
      <c r="T250" s="10">
        <f t="shared" si="107"/>
        <v>8.241835098459056</v>
      </c>
      <c r="U250" s="10">
        <f t="shared" si="107"/>
        <v>8.1559189193213282</v>
      </c>
      <c r="V250" s="10">
        <f t="shared" si="107"/>
        <v>8.0720401885693782</v>
      </c>
      <c r="W250" s="10">
        <f t="shared" si="107"/>
        <v>7.9885044209436371</v>
      </c>
      <c r="X250" s="10">
        <f t="shared" si="107"/>
        <v>7.906121660726626</v>
      </c>
      <c r="Y250" s="10">
        <f t="shared" si="107"/>
        <v>7.8235670708879201</v>
      </c>
      <c r="Z250" s="10">
        <f t="shared" si="108"/>
        <v>7.7408338131491385</v>
      </c>
      <c r="AA250" s="10">
        <f t="shared" si="108"/>
        <v>7.6593725490501923</v>
      </c>
      <c r="AB250" s="10">
        <f t="shared" si="108"/>
        <v>7.5767523189438766</v>
      </c>
      <c r="AC250" s="10">
        <f t="shared" si="108"/>
        <v>7.546243964510567</v>
      </c>
      <c r="AD250" s="10">
        <f t="shared" si="108"/>
        <v>7.5172391929200693</v>
      </c>
      <c r="AE250" s="10">
        <f t="shared" si="108"/>
        <v>7.489366498453597</v>
      </c>
      <c r="AF250" s="10">
        <f t="shared" si="108"/>
        <v>7.4627586942411499</v>
      </c>
      <c r="AG250" s="10">
        <f t="shared" si="108"/>
        <v>7.4348508027949203</v>
      </c>
      <c r="AH250" s="10">
        <f t="shared" si="108"/>
        <v>7.4076510360172083</v>
      </c>
      <c r="AI250" s="10">
        <f t="shared" si="108"/>
        <v>7.3839869385667862</v>
      </c>
      <c r="AJ250" s="10">
        <f t="shared" si="108"/>
        <v>7.3622601521266864</v>
      </c>
      <c r="AK250" s="10">
        <f t="shared" si="108"/>
        <v>7.342025857087048</v>
      </c>
      <c r="AL250" s="10">
        <f t="shared" si="108"/>
        <v>7.322728362834118</v>
      </c>
      <c r="AM250" s="10">
        <f t="shared" si="108"/>
        <v>7.2449769924605398</v>
      </c>
      <c r="AN250" s="10">
        <f t="shared" si="108"/>
        <v>7.1971136673773675</v>
      </c>
      <c r="AO250" s="200">
        <f t="shared" si="109"/>
        <v>7.1971136673773675</v>
      </c>
      <c r="AP250" s="200">
        <f t="shared" si="109"/>
        <v>7.1971136673773675</v>
      </c>
      <c r="AQ250" s="200"/>
      <c r="AR250" s="200"/>
      <c r="AS250" s="200"/>
      <c r="AT250" s="200"/>
      <c r="AU250" s="200"/>
      <c r="AV250" s="200"/>
    </row>
    <row r="251" spans="1:48" s="199" customFormat="1">
      <c r="A251" s="199"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118.2474248345661</v>
      </c>
      <c r="L251" s="10">
        <f t="shared" si="107"/>
        <v>115.21523474507296</v>
      </c>
      <c r="M251" s="10">
        <f t="shared" si="107"/>
        <v>111.919141703167</v>
      </c>
      <c r="N251" s="10">
        <f t="shared" si="107"/>
        <v>108.48364152129386</v>
      </c>
      <c r="O251" s="10">
        <f t="shared" si="107"/>
        <v>104.67427977141128</v>
      </c>
      <c r="P251" s="10">
        <f t="shared" si="107"/>
        <v>104.03139002570782</v>
      </c>
      <c r="Q251" s="10">
        <f t="shared" si="107"/>
        <v>103.42981248570776</v>
      </c>
      <c r="R251" s="10">
        <f t="shared" si="107"/>
        <v>102.59241824753646</v>
      </c>
      <c r="S251" s="10">
        <f t="shared" si="107"/>
        <v>101.60287725863336</v>
      </c>
      <c r="T251" s="10">
        <f t="shared" si="107"/>
        <v>100.55217224406525</v>
      </c>
      <c r="U251" s="10">
        <f t="shared" si="107"/>
        <v>99.503976261009981</v>
      </c>
      <c r="V251" s="10">
        <f t="shared" si="107"/>
        <v>98.480637589291021</v>
      </c>
      <c r="W251" s="10">
        <f t="shared" si="107"/>
        <v>97.461483141950268</v>
      </c>
      <c r="X251" s="10">
        <f t="shared" si="107"/>
        <v>96.456395634578129</v>
      </c>
      <c r="Y251" s="10">
        <f t="shared" si="107"/>
        <v>95.449211768626753</v>
      </c>
      <c r="Z251" s="10">
        <f t="shared" si="108"/>
        <v>94.439848115619668</v>
      </c>
      <c r="AA251" s="10">
        <f t="shared" si="108"/>
        <v>93.446003060356674</v>
      </c>
      <c r="AB251" s="10">
        <f t="shared" si="108"/>
        <v>92.438018368931878</v>
      </c>
      <c r="AC251" s="10">
        <f t="shared" si="108"/>
        <v>92.065809840950692</v>
      </c>
      <c r="AD251" s="10">
        <f t="shared" si="108"/>
        <v>91.711945349120128</v>
      </c>
      <c r="AE251" s="10">
        <f t="shared" si="108"/>
        <v>91.371892443254168</v>
      </c>
      <c r="AF251" s="10">
        <f t="shared" si="108"/>
        <v>91.047271472287832</v>
      </c>
      <c r="AG251" s="10">
        <f t="shared" si="108"/>
        <v>90.706789155650043</v>
      </c>
      <c r="AH251" s="10">
        <f t="shared" si="108"/>
        <v>90.374946113250147</v>
      </c>
      <c r="AI251" s="10">
        <f t="shared" si="108"/>
        <v>90.086239001980701</v>
      </c>
      <c r="AJ251" s="10">
        <f t="shared" si="108"/>
        <v>89.821167504391127</v>
      </c>
      <c r="AK251" s="10">
        <f t="shared" si="108"/>
        <v>89.574304724954601</v>
      </c>
      <c r="AL251" s="10">
        <f t="shared" si="108"/>
        <v>89.338871117897583</v>
      </c>
      <c r="AM251" s="10">
        <f t="shared" si="108"/>
        <v>88.390287569134529</v>
      </c>
      <c r="AN251" s="10">
        <f t="shared" si="108"/>
        <v>87.806344642535976</v>
      </c>
      <c r="AO251" s="200">
        <f t="shared" si="109"/>
        <v>87.806344642535976</v>
      </c>
      <c r="AP251" s="200">
        <f t="shared" si="109"/>
        <v>87.806344642535976</v>
      </c>
      <c r="AQ251" s="200"/>
      <c r="AR251" s="200"/>
      <c r="AS251" s="200"/>
      <c r="AT251" s="200"/>
      <c r="AU251" s="200"/>
      <c r="AV251" s="200"/>
    </row>
    <row r="252" spans="1:48" s="199" customFormat="1">
      <c r="A252" s="199"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28.765358745140752</v>
      </c>
      <c r="L252" s="10">
        <f t="shared" si="107"/>
        <v>28.027735614406538</v>
      </c>
      <c r="M252" s="10">
        <f t="shared" si="107"/>
        <v>27.225914357491767</v>
      </c>
      <c r="N252" s="10">
        <f t="shared" si="107"/>
        <v>26.390180341813739</v>
      </c>
      <c r="O252" s="10">
        <f t="shared" si="107"/>
        <v>25.463499211305454</v>
      </c>
      <c r="P252" s="10">
        <f t="shared" si="107"/>
        <v>25.307107186746741</v>
      </c>
      <c r="Q252" s="10">
        <f t="shared" si="107"/>
        <v>25.160764940602007</v>
      </c>
      <c r="R252" s="10">
        <f t="shared" si="107"/>
        <v>24.957056946911564</v>
      </c>
      <c r="S252" s="10">
        <f t="shared" si="107"/>
        <v>24.716337103932801</v>
      </c>
      <c r="T252" s="10">
        <f t="shared" si="107"/>
        <v>24.460738246522979</v>
      </c>
      <c r="U252" s="10">
        <f t="shared" si="107"/>
        <v>24.205749746519835</v>
      </c>
      <c r="V252" s="10">
        <f t="shared" si="107"/>
        <v>23.956808139115232</v>
      </c>
      <c r="W252" s="10">
        <f t="shared" si="107"/>
        <v>23.708884403478052</v>
      </c>
      <c r="X252" s="10">
        <f t="shared" si="107"/>
        <v>23.464382649970371</v>
      </c>
      <c r="Y252" s="10">
        <f t="shared" si="107"/>
        <v>23.219370927584517</v>
      </c>
      <c r="Z252" s="10">
        <f t="shared" si="108"/>
        <v>22.973828941163461</v>
      </c>
      <c r="AA252" s="10">
        <f t="shared" si="108"/>
        <v>22.732062073160023</v>
      </c>
      <c r="AB252" s="10">
        <f t="shared" si="108"/>
        <v>22.486855538649777</v>
      </c>
      <c r="AC252" s="10">
        <f t="shared" si="108"/>
        <v>22.396310549189252</v>
      </c>
      <c r="AD252" s="10">
        <f t="shared" si="108"/>
        <v>22.310228006005637</v>
      </c>
      <c r="AE252" s="10">
        <f t="shared" si="108"/>
        <v>22.227505326477971</v>
      </c>
      <c r="AF252" s="10">
        <f t="shared" si="108"/>
        <v>22.148536683405133</v>
      </c>
      <c r="AG252" s="10">
        <f t="shared" si="108"/>
        <v>22.065709543633044</v>
      </c>
      <c r="AH252" s="10">
        <f t="shared" si="108"/>
        <v>21.984984029525091</v>
      </c>
      <c r="AI252" s="10">
        <f t="shared" si="108"/>
        <v>21.914751940838528</v>
      </c>
      <c r="AJ252" s="10">
        <f t="shared" si="108"/>
        <v>21.850269549514209</v>
      </c>
      <c r="AK252" s="10">
        <f t="shared" si="108"/>
        <v>21.790216686449757</v>
      </c>
      <c r="AL252" s="10">
        <f t="shared" si="108"/>
        <v>21.732944131236543</v>
      </c>
      <c r="AM252" s="10">
        <f t="shared" si="108"/>
        <v>21.502187764930191</v>
      </c>
      <c r="AN252" s="10">
        <f t="shared" si="108"/>
        <v>21.360135387943586</v>
      </c>
      <c r="AO252" s="200">
        <f t="shared" si="109"/>
        <v>21.360135387943586</v>
      </c>
      <c r="AP252" s="200">
        <f t="shared" si="109"/>
        <v>21.360135387943586</v>
      </c>
      <c r="AQ252" s="200"/>
      <c r="AR252" s="200"/>
      <c r="AS252" s="200"/>
      <c r="AT252" s="200"/>
      <c r="AU252" s="200"/>
      <c r="AV252" s="200"/>
    </row>
    <row r="253" spans="1:48" s="199" customFormat="1">
      <c r="A253" s="199"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10.370298222877517</v>
      </c>
      <c r="L253" s="10">
        <f t="shared" si="107"/>
        <v>11.100800089110525</v>
      </c>
      <c r="M253" s="10">
        <f t="shared" si="107"/>
        <v>11.828664869540164</v>
      </c>
      <c r="N253" s="10">
        <f t="shared" si="107"/>
        <v>12.563458496281971</v>
      </c>
      <c r="O253" s="10">
        <f t="shared" si="107"/>
        <v>13.273861719969343</v>
      </c>
      <c r="P253" s="10">
        <f t="shared" si="107"/>
        <v>13.192336157010708</v>
      </c>
      <c r="Q253" s="10">
        <f t="shared" si="107"/>
        <v>13.116049440758747</v>
      </c>
      <c r="R253" s="10">
        <f t="shared" si="107"/>
        <v>13.009858546998991</v>
      </c>
      <c r="S253" s="10">
        <f t="shared" si="107"/>
        <v>12.884373754730767</v>
      </c>
      <c r="T253" s="10">
        <f t="shared" si="107"/>
        <v>12.751132684409455</v>
      </c>
      <c r="U253" s="10">
        <f t="shared" si="107"/>
        <v>12.618209787162034</v>
      </c>
      <c r="V253" s="10">
        <f t="shared" si="107"/>
        <v>12.488439073183789</v>
      </c>
      <c r="W253" s="10">
        <f t="shared" si="107"/>
        <v>12.359198965347979</v>
      </c>
      <c r="X253" s="10">
        <f t="shared" si="107"/>
        <v>12.231742701799174</v>
      </c>
      <c r="Y253" s="10">
        <f t="shared" si="107"/>
        <v>12.104020596689699</v>
      </c>
      <c r="Z253" s="10">
        <f t="shared" si="108"/>
        <v>11.976022070361761</v>
      </c>
      <c r="AA253" s="10">
        <f t="shared" si="108"/>
        <v>11.84999147465625</v>
      </c>
      <c r="AB253" s="10">
        <f t="shared" si="108"/>
        <v>11.7221678159787</v>
      </c>
      <c r="AC253" s="10">
        <f t="shared" si="108"/>
        <v>11.674967638989616</v>
      </c>
      <c r="AD253" s="10">
        <f t="shared" si="108"/>
        <v>11.6300936896066</v>
      </c>
      <c r="AE253" s="10">
        <f t="shared" si="108"/>
        <v>11.586971202785616</v>
      </c>
      <c r="AF253" s="10">
        <f t="shared" si="108"/>
        <v>11.545805656775467</v>
      </c>
      <c r="AG253" s="10">
        <f t="shared" si="108"/>
        <v>11.502628715897398</v>
      </c>
      <c r="AH253" s="10">
        <f t="shared" si="108"/>
        <v>11.46054733098441</v>
      </c>
      <c r="AI253" s="10">
        <f t="shared" si="108"/>
        <v>11.423936061425822</v>
      </c>
      <c r="AJ253" s="10">
        <f t="shared" si="108"/>
        <v>11.390322050299183</v>
      </c>
      <c r="AK253" s="10">
        <f t="shared" si="108"/>
        <v>11.35901710695299</v>
      </c>
      <c r="AL253" s="10">
        <f t="shared" si="108"/>
        <v>11.329161509655036</v>
      </c>
      <c r="AM253" s="10">
        <f t="shared" si="108"/>
        <v>11.208870575878223</v>
      </c>
      <c r="AN253" s="10">
        <f t="shared" si="108"/>
        <v>11.134820124545282</v>
      </c>
      <c r="AO253" s="200">
        <f t="shared" si="109"/>
        <v>11.134820124545282</v>
      </c>
      <c r="AP253" s="200">
        <f t="shared" si="109"/>
        <v>11.134820124545282</v>
      </c>
      <c r="AQ253" s="200"/>
      <c r="AR253" s="200"/>
      <c r="AS253" s="200"/>
      <c r="AT253" s="200"/>
      <c r="AU253" s="200"/>
      <c r="AV253" s="200"/>
    </row>
    <row r="254" spans="1:48" s="199" customFormat="1">
      <c r="A254" s="199"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10.02148368271801</v>
      </c>
      <c r="L254" s="10">
        <f t="shared" si="107"/>
        <v>9.7645052026600503</v>
      </c>
      <c r="M254" s="10">
        <f t="shared" si="107"/>
        <v>9.4851609151849186</v>
      </c>
      <c r="N254" s="10">
        <f t="shared" si="107"/>
        <v>9.1940018555877732</v>
      </c>
      <c r="O254" s="10">
        <f t="shared" si="107"/>
        <v>8.8711579824850144</v>
      </c>
      <c r="P254" s="10">
        <f t="shared" si="107"/>
        <v>8.9535793798308223</v>
      </c>
      <c r="Q254" s="10">
        <f t="shared" si="107"/>
        <v>9.0535068495470483</v>
      </c>
      <c r="R254" s="10">
        <f t="shared" si="107"/>
        <v>9.0535068495470483</v>
      </c>
      <c r="S254" s="10">
        <f t="shared" si="107"/>
        <v>9.0351321842884627</v>
      </c>
      <c r="T254" s="10">
        <f t="shared" si="107"/>
        <v>8.9923139363058517</v>
      </c>
      <c r="U254" s="10">
        <f t="shared" si="107"/>
        <v>8.9521704146826426</v>
      </c>
      <c r="V254" s="10">
        <f t="shared" si="107"/>
        <v>8.9245341768538147</v>
      </c>
      <c r="W254" s="10">
        <f t="shared" si="107"/>
        <v>8.9007444666415232</v>
      </c>
      <c r="X254" s="10">
        <f t="shared" si="107"/>
        <v>8.8853511375312202</v>
      </c>
      <c r="Y254" s="10">
        <f t="shared" si="107"/>
        <v>8.8715441986930816</v>
      </c>
      <c r="Z254" s="10">
        <f t="shared" si="108"/>
        <v>8.8595018786959567</v>
      </c>
      <c r="AA254" s="10">
        <f t="shared" si="108"/>
        <v>8.8574016261732655</v>
      </c>
      <c r="AB254" s="10">
        <f t="shared" si="108"/>
        <v>8.852306025626028</v>
      </c>
      <c r="AC254" s="10">
        <f t="shared" si="108"/>
        <v>9.0625702693506138</v>
      </c>
      <c r="AD254" s="10">
        <f t="shared" si="108"/>
        <v>9.281126029352631</v>
      </c>
      <c r="AE254" s="10">
        <f t="shared" si="108"/>
        <v>9.5059246351985074</v>
      </c>
      <c r="AF254" s="10">
        <f t="shared" si="108"/>
        <v>9.7376984856613067</v>
      </c>
      <c r="AG254" s="10">
        <f t="shared" si="108"/>
        <v>9.9623029975588739</v>
      </c>
      <c r="AH254" s="10">
        <f t="shared" si="108"/>
        <v>10.190812467033965</v>
      </c>
      <c r="AI254" s="10">
        <f t="shared" si="108"/>
        <v>10.438819405450632</v>
      </c>
      <c r="AJ254" s="10">
        <f t="shared" si="108"/>
        <v>10.697509656631434</v>
      </c>
      <c r="AK254" s="10">
        <f t="shared" si="108"/>
        <v>10.964430260266699</v>
      </c>
      <c r="AL254" s="10">
        <f t="shared" si="108"/>
        <v>11.236516857255006</v>
      </c>
      <c r="AM254" s="10">
        <f t="shared" si="108"/>
        <v>12.700270178855428</v>
      </c>
      <c r="AN254" s="10">
        <f t="shared" si="108"/>
        <v>14.32884129896334</v>
      </c>
      <c r="AO254" s="200">
        <f t="shared" si="109"/>
        <v>14.32884129896334</v>
      </c>
      <c r="AP254" s="200">
        <f t="shared" si="109"/>
        <v>14.32884129896334</v>
      </c>
      <c r="AQ254" s="200"/>
      <c r="AR254" s="200"/>
      <c r="AS254" s="200"/>
      <c r="AT254" s="200"/>
      <c r="AU254" s="200"/>
      <c r="AV254" s="200"/>
    </row>
    <row r="255" spans="1:48" s="199"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3.4629190197396977</v>
      </c>
      <c r="L255" s="10">
        <f t="shared" si="107"/>
        <v>3.3741202256258949</v>
      </c>
      <c r="M255" s="10">
        <f t="shared" si="107"/>
        <v>3.2775929371744406</v>
      </c>
      <c r="N255" s="10">
        <f t="shared" si="107"/>
        <v>3.176983059718149</v>
      </c>
      <c r="O255" s="10">
        <f t="shared" si="107"/>
        <v>3.0654245097100388</v>
      </c>
      <c r="P255" s="10">
        <f t="shared" si="107"/>
        <v>3.0939051851807302</v>
      </c>
      <c r="Q255" s="10">
        <f t="shared" si="107"/>
        <v>3.1284350758067578</v>
      </c>
      <c r="R255" s="10">
        <f t="shared" si="107"/>
        <v>3.1284350758067578</v>
      </c>
      <c r="S255" s="10">
        <f t="shared" si="107"/>
        <v>3.1220857187834037</v>
      </c>
      <c r="T255" s="10">
        <f t="shared" si="107"/>
        <v>3.1072898931326955</v>
      </c>
      <c r="U255" s="10">
        <f t="shared" si="107"/>
        <v>3.0934183179299066</v>
      </c>
      <c r="V255" s="10">
        <f t="shared" si="107"/>
        <v>3.0838686288178505</v>
      </c>
      <c r="W255" s="10">
        <f t="shared" si="107"/>
        <v>3.0756481055324305</v>
      </c>
      <c r="X255" s="10">
        <f t="shared" si="107"/>
        <v>3.0703289478267601</v>
      </c>
      <c r="Y255" s="10">
        <f t="shared" si="107"/>
        <v>3.0655579665408825</v>
      </c>
      <c r="Z255" s="10">
        <f t="shared" si="108"/>
        <v>3.0613967484737667</v>
      </c>
      <c r="AA255" s="10">
        <f t="shared" si="108"/>
        <v>3.0606710071926009</v>
      </c>
      <c r="AB255" s="10">
        <f t="shared" si="108"/>
        <v>3.0589102247964317</v>
      </c>
      <c r="AC255" s="10">
        <f t="shared" si="108"/>
        <v>3.1315669362992105</v>
      </c>
      <c r="AD255" s="10">
        <f t="shared" si="108"/>
        <v>3.2070887773904468</v>
      </c>
      <c r="AE255" s="10">
        <f t="shared" si="108"/>
        <v>3.284767830955849</v>
      </c>
      <c r="AF255" s="10">
        <f t="shared" si="108"/>
        <v>3.3648571770503835</v>
      </c>
      <c r="AG255" s="10">
        <f t="shared" si="108"/>
        <v>3.4424691615423333</v>
      </c>
      <c r="AH255" s="10">
        <f t="shared" si="108"/>
        <v>3.5214305023067278</v>
      </c>
      <c r="AI255" s="10">
        <f t="shared" si="108"/>
        <v>3.6071291843842666</v>
      </c>
      <c r="AJ255" s="10">
        <f t="shared" si="108"/>
        <v>3.6965194802124262</v>
      </c>
      <c r="AK255" s="10">
        <f t="shared" si="108"/>
        <v>3.7887537704984999</v>
      </c>
      <c r="AL255" s="10">
        <f t="shared" si="108"/>
        <v>3.8827731673820072</v>
      </c>
      <c r="AM255" s="10">
        <f t="shared" si="108"/>
        <v>4.3885724460176121</v>
      </c>
      <c r="AN255" s="10">
        <f t="shared" si="108"/>
        <v>4.9513244381748169</v>
      </c>
      <c r="AO255" s="200">
        <f t="shared" si="109"/>
        <v>4.9513244381748169</v>
      </c>
      <c r="AP255" s="200">
        <f t="shared" si="109"/>
        <v>4.9513244381748169</v>
      </c>
      <c r="AQ255" s="200"/>
      <c r="AR255" s="200"/>
      <c r="AS255" s="200"/>
      <c r="AT255" s="200"/>
      <c r="AU255" s="200"/>
      <c r="AV255" s="200"/>
    </row>
    <row r="256" spans="1:48" s="199"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18.414019966220415</v>
      </c>
      <c r="L256" s="10">
        <f t="shared" si="107"/>
        <v>18.11193788323466</v>
      </c>
      <c r="M256" s="10">
        <f t="shared" si="107"/>
        <v>17.772260523902151</v>
      </c>
      <c r="N256" s="10">
        <f t="shared" si="107"/>
        <v>17.414144069480905</v>
      </c>
      <c r="O256" s="10">
        <f t="shared" si="107"/>
        <v>16.999241745794041</v>
      </c>
      <c r="P256" s="10">
        <f t="shared" si="107"/>
        <v>16.894835599155428</v>
      </c>
      <c r="Q256" s="10">
        <f t="shared" si="107"/>
        <v>16.797138609468625</v>
      </c>
      <c r="R256" s="10">
        <f t="shared" si="107"/>
        <v>16.661144675502275</v>
      </c>
      <c r="S256" s="10">
        <f t="shared" si="107"/>
        <v>16.5004419075972</v>
      </c>
      <c r="T256" s="10">
        <f t="shared" si="107"/>
        <v>16.329806020871569</v>
      </c>
      <c r="U256" s="10">
        <f t="shared" si="107"/>
        <v>16.159577604188513</v>
      </c>
      <c r="V256" s="10">
        <f t="shared" si="107"/>
        <v>15.993386047806567</v>
      </c>
      <c r="W256" s="10">
        <f t="shared" si="107"/>
        <v>15.827874015008433</v>
      </c>
      <c r="X256" s="10">
        <f t="shared" si="107"/>
        <v>15.664646471902252</v>
      </c>
      <c r="Y256" s="10">
        <f t="shared" si="107"/>
        <v>15.501078477384777</v>
      </c>
      <c r="Z256" s="10">
        <f t="shared" si="108"/>
        <v>15.337156482560875</v>
      </c>
      <c r="AA256" s="10">
        <f t="shared" si="108"/>
        <v>15.175754728575345</v>
      </c>
      <c r="AB256" s="10">
        <f t="shared" si="108"/>
        <v>15.012056678939754</v>
      </c>
      <c r="AC256" s="10">
        <f t="shared" si="108"/>
        <v>14.951609520757096</v>
      </c>
      <c r="AD256" s="10">
        <f t="shared" si="108"/>
        <v>14.894141458354214</v>
      </c>
      <c r="AE256" s="10">
        <f t="shared" si="108"/>
        <v>14.838916415814644</v>
      </c>
      <c r="AF256" s="10">
        <f t="shared" si="108"/>
        <v>14.786197539952664</v>
      </c>
      <c r="AG256" s="10">
        <f t="shared" si="108"/>
        <v>14.730902760534704</v>
      </c>
      <c r="AH256" s="10">
        <f t="shared" si="108"/>
        <v>14.677011010701465</v>
      </c>
      <c r="AI256" s="10">
        <f t="shared" si="108"/>
        <v>14.630124593246128</v>
      </c>
      <c r="AJ256" s="10">
        <f t="shared" si="108"/>
        <v>14.58707663077354</v>
      </c>
      <c r="AK256" s="10">
        <f t="shared" si="108"/>
        <v>14.546985788258603</v>
      </c>
      <c r="AL256" s="10">
        <f t="shared" si="108"/>
        <v>14.508751058483657</v>
      </c>
      <c r="AM256" s="10">
        <f t="shared" si="108"/>
        <v>14.354699833132784</v>
      </c>
      <c r="AN256" s="10">
        <f t="shared" si="108"/>
        <v>14.259866728031197</v>
      </c>
      <c r="AO256" s="200">
        <f t="shared" si="109"/>
        <v>14.259866728031197</v>
      </c>
      <c r="AP256" s="200">
        <f t="shared" si="109"/>
        <v>14.259866728031197</v>
      </c>
      <c r="AQ256" s="200"/>
      <c r="AR256" s="200"/>
      <c r="AS256" s="200"/>
      <c r="AT256" s="200"/>
      <c r="AU256" s="200"/>
      <c r="AV256" s="200"/>
    </row>
    <row r="257" spans="1:48" s="199" customFormat="1">
      <c r="A257" s="199"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200">
        <f t="shared" si="109"/>
        <v>0</v>
      </c>
      <c r="AP257" s="200">
        <f t="shared" si="109"/>
        <v>0</v>
      </c>
      <c r="AQ257" s="200"/>
      <c r="AR257" s="200"/>
      <c r="AS257" s="200"/>
      <c r="AT257" s="200"/>
      <c r="AU257" s="200"/>
      <c r="AV257" s="200"/>
    </row>
    <row r="258" spans="1:48" s="240" customFormat="1">
      <c r="B258" s="241" t="str">
        <f t="shared" ref="B258:B266" si="110">IF(A258="*","","COM_PROJ")</f>
        <v>COM_PROJ</v>
      </c>
      <c r="C258" s="241" t="str">
        <f t="shared" si="104"/>
        <v>-</v>
      </c>
      <c r="D258" s="241" t="str">
        <f>COM!B174</f>
        <v>CNC</v>
      </c>
      <c r="E258" s="241" t="str">
        <f t="shared" si="105"/>
        <v>-</v>
      </c>
      <c r="F258" s="241" t="str">
        <f t="shared" si="105"/>
        <v>-</v>
      </c>
      <c r="G258" s="241" t="str">
        <f t="shared" si="105"/>
        <v>-</v>
      </c>
      <c r="H258" s="241" t="str">
        <f t="shared" si="105"/>
        <v>-</v>
      </c>
      <c r="I258" s="241">
        <f t="shared" si="106"/>
        <v>0</v>
      </c>
      <c r="J258" s="242">
        <f t="shared" ref="J258:Y266" si="111">INDEX($J$220:$AV$228,MATCH($D258,$B$220:$B$228,0),MATCH(J$247,$J$104:$AV$104,0))</f>
        <v>0</v>
      </c>
      <c r="K258" s="242">
        <f t="shared" si="111"/>
        <v>0</v>
      </c>
      <c r="L258" s="242">
        <f t="shared" si="111"/>
        <v>0</v>
      </c>
      <c r="M258" s="242">
        <f t="shared" si="111"/>
        <v>0</v>
      </c>
      <c r="N258" s="242">
        <f t="shared" si="111"/>
        <v>0</v>
      </c>
      <c r="O258" s="242">
        <f t="shared" si="111"/>
        <v>0</v>
      </c>
      <c r="P258" s="242">
        <f t="shared" si="111"/>
        <v>1.8563029696297695</v>
      </c>
      <c r="Q258" s="242">
        <f t="shared" si="111"/>
        <v>3.902496716975357</v>
      </c>
      <c r="R258" s="242">
        <f t="shared" si="111"/>
        <v>4.864763439567338</v>
      </c>
      <c r="S258" s="242">
        <f t="shared" si="111"/>
        <v>7.6278262705618154</v>
      </c>
      <c r="T258" s="242">
        <f t="shared" si="111"/>
        <v>10.189731743711409</v>
      </c>
      <c r="U258" s="242">
        <f t="shared" si="111"/>
        <v>12.850571977682341</v>
      </c>
      <c r="V258" s="242">
        <f t="shared" si="111"/>
        <v>15.732728700910927</v>
      </c>
      <c r="W258" s="242">
        <f t="shared" si="111"/>
        <v>18.746573662780566</v>
      </c>
      <c r="X258" s="242">
        <f t="shared" si="111"/>
        <v>21.957168433317648</v>
      </c>
      <c r="Y258" s="242">
        <f t="shared" si="111"/>
        <v>25.292345663921555</v>
      </c>
      <c r="Z258" s="242">
        <f t="shared" ref="Z258:AN266" si="112">INDEX($J$220:$AV$228,MATCH($D258,$B$220:$B$228,0),MATCH(Z$247,$J$104:$AV$104,0))</f>
        <v>28.763305613441954</v>
      </c>
      <c r="AA258" s="242">
        <f t="shared" si="112"/>
        <v>32.488156665483764</v>
      </c>
      <c r="AB258" s="242">
        <f t="shared" si="112"/>
        <v>36.310523243368543</v>
      </c>
      <c r="AC258" s="242">
        <f t="shared" si="112"/>
        <v>40.085614241903507</v>
      </c>
      <c r="AD258" s="242">
        <f t="shared" si="112"/>
        <v>43.972005023782216</v>
      </c>
      <c r="AE258" s="242">
        <f t="shared" si="112"/>
        <v>47.942195603746171</v>
      </c>
      <c r="AF258" s="242">
        <f t="shared" si="112"/>
        <v>52.006017214351175</v>
      </c>
      <c r="AG258" s="242">
        <f t="shared" si="112"/>
        <v>55.973602406630619</v>
      </c>
      <c r="AH258" s="242">
        <f t="shared" si="112"/>
        <v>59.993605144483453</v>
      </c>
      <c r="AI258" s="242">
        <f t="shared" si="112"/>
        <v>64.275328898895623</v>
      </c>
      <c r="AJ258" s="242">
        <f t="shared" si="112"/>
        <v>68.700458317152155</v>
      </c>
      <c r="AK258" s="242">
        <f t="shared" si="112"/>
        <v>73.236066496394457</v>
      </c>
      <c r="AL258" s="242">
        <f t="shared" si="112"/>
        <v>77.841019524239854</v>
      </c>
      <c r="AM258" s="242">
        <f>INDEX($J$220:$AV$228,MATCH($D258,$B$220:$B$228,0),MATCH(AM$247,$J$104:$AV$104,0))</f>
        <v>101.76445457080226</v>
      </c>
      <c r="AN258" s="242">
        <f t="shared" si="112"/>
        <v>127.85604571309578</v>
      </c>
      <c r="AO258" s="243">
        <f t="shared" si="109"/>
        <v>127.85604571309578</v>
      </c>
      <c r="AP258" s="243">
        <f t="shared" si="109"/>
        <v>127.85604571309578</v>
      </c>
      <c r="AQ258" s="243"/>
      <c r="AR258" s="243"/>
      <c r="AS258" s="243"/>
      <c r="AT258" s="243"/>
      <c r="AU258" s="243"/>
      <c r="AV258" s="243"/>
    </row>
    <row r="259" spans="1:48" s="199"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0.17702881677566448</v>
      </c>
      <c r="Q259" s="10">
        <f t="shared" si="111"/>
        <v>0.37216682167720194</v>
      </c>
      <c r="R259" s="10">
        <f t="shared" si="111"/>
        <v>0.46393467536814875</v>
      </c>
      <c r="S259" s="10">
        <f t="shared" si="111"/>
        <v>0.72743785973536834</v>
      </c>
      <c r="T259" s="10">
        <f t="shared" si="111"/>
        <v>0.9717574034859372</v>
      </c>
      <c r="U259" s="10">
        <f t="shared" si="111"/>
        <v>1.2255119930952529</v>
      </c>
      <c r="V259" s="10">
        <f t="shared" si="111"/>
        <v>1.500372725865047</v>
      </c>
      <c r="W259" s="10">
        <f t="shared" si="111"/>
        <v>1.7877920837360803</v>
      </c>
      <c r="X259" s="10">
        <f t="shared" si="111"/>
        <v>2.0939747503983401</v>
      </c>
      <c r="Y259" s="10">
        <f t="shared" si="111"/>
        <v>2.4120383900792617</v>
      </c>
      <c r="Z259" s="10">
        <f t="shared" si="112"/>
        <v>2.7430511304520615</v>
      </c>
      <c r="AA259" s="10">
        <f t="shared" si="112"/>
        <v>3.0982765355700987</v>
      </c>
      <c r="AB259" s="10">
        <f t="shared" si="112"/>
        <v>3.4628016393039727</v>
      </c>
      <c r="AC259" s="10">
        <f t="shared" si="112"/>
        <v>3.8228182441496763</v>
      </c>
      <c r="AD259" s="10">
        <f t="shared" si="112"/>
        <v>4.1934491017736644</v>
      </c>
      <c r="AE259" s="10">
        <f t="shared" si="112"/>
        <v>4.57207163928169</v>
      </c>
      <c r="AF259" s="10">
        <f t="shared" si="112"/>
        <v>4.959623425322448</v>
      </c>
      <c r="AG259" s="10">
        <f t="shared" si="112"/>
        <v>5.3379974965474499</v>
      </c>
      <c r="AH259" s="10">
        <f t="shared" si="112"/>
        <v>5.7213704371504353</v>
      </c>
      <c r="AI259" s="10">
        <f t="shared" si="112"/>
        <v>6.1297027527287593</v>
      </c>
      <c r="AJ259" s="10">
        <f t="shared" si="112"/>
        <v>6.5517111413429188</v>
      </c>
      <c r="AK259" s="10">
        <f t="shared" si="112"/>
        <v>6.9842554848395153</v>
      </c>
      <c r="AL259" s="10">
        <f t="shared" si="112"/>
        <v>7.4234129926193866</v>
      </c>
      <c r="AM259" s="10">
        <f t="shared" si="112"/>
        <v>9.7049033898184405</v>
      </c>
      <c r="AN259" s="10">
        <f t="shared" si="112"/>
        <v>12.193162894481013</v>
      </c>
      <c r="AO259" s="200">
        <f t="shared" si="109"/>
        <v>12.193162894481013</v>
      </c>
      <c r="AP259" s="200">
        <f t="shared" si="109"/>
        <v>12.193162894481013</v>
      </c>
      <c r="AQ259" s="200"/>
      <c r="AR259" s="200"/>
      <c r="AS259" s="200"/>
      <c r="AT259" s="200"/>
      <c r="AU259" s="200"/>
      <c r="AV259" s="200"/>
    </row>
    <row r="260" spans="1:48" s="199"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0.13240848743086706</v>
      </c>
      <c r="Q260" s="10">
        <f t="shared" si="111"/>
        <v>0.27836172001690523</v>
      </c>
      <c r="R260" s="10">
        <f t="shared" si="111"/>
        <v>0.34699937417573767</v>
      </c>
      <c r="S260" s="10">
        <f t="shared" si="111"/>
        <v>0.54408625929848031</v>
      </c>
      <c r="T260" s="10">
        <f t="shared" si="111"/>
        <v>0.72682476383702166</v>
      </c>
      <c r="U260" s="10">
        <f t="shared" si="111"/>
        <v>0.91662019940945594</v>
      </c>
      <c r="V260" s="10">
        <f t="shared" si="111"/>
        <v>1.1222019489971937</v>
      </c>
      <c r="W260" s="10">
        <f t="shared" si="111"/>
        <v>1.337176906900692</v>
      </c>
      <c r="X260" s="10">
        <f t="shared" si="111"/>
        <v>1.5661858587126112</v>
      </c>
      <c r="Y260" s="10">
        <f t="shared" si="111"/>
        <v>1.8040811697922501</v>
      </c>
      <c r="Z260" s="10">
        <f t="shared" si="112"/>
        <v>2.0516617449290644</v>
      </c>
      <c r="AA260" s="10">
        <f t="shared" si="112"/>
        <v>2.317352153108768</v>
      </c>
      <c r="AB260" s="10">
        <f t="shared" si="112"/>
        <v>2.5899982595172308</v>
      </c>
      <c r="AC260" s="10">
        <f t="shared" si="112"/>
        <v>2.8592722396852364</v>
      </c>
      <c r="AD260" s="10">
        <f t="shared" si="112"/>
        <v>3.1364851372632954</v>
      </c>
      <c r="AE260" s="10">
        <f t="shared" si="112"/>
        <v>3.419675402056197</v>
      </c>
      <c r="AF260" s="10">
        <f t="shared" si="112"/>
        <v>3.7095442873903606</v>
      </c>
      <c r="AG260" s="10">
        <f t="shared" si="112"/>
        <v>3.9925487121301453</v>
      </c>
      <c r="AH260" s="10">
        <f t="shared" si="112"/>
        <v>4.2792920351197106</v>
      </c>
      <c r="AI260" s="10">
        <f t="shared" si="112"/>
        <v>4.5847036921573556</v>
      </c>
      <c r="AJ260" s="10">
        <f t="shared" si="112"/>
        <v>4.9003443513295162</v>
      </c>
      <c r="AK260" s="10">
        <f t="shared" si="112"/>
        <v>5.2238653650960991</v>
      </c>
      <c r="AL260" s="10">
        <f t="shared" si="112"/>
        <v>5.5523326870165128</v>
      </c>
      <c r="AM260" s="10">
        <f t="shared" si="112"/>
        <v>7.2587706448772922</v>
      </c>
      <c r="AN260" s="10">
        <f t="shared" si="112"/>
        <v>9.1198613042887384</v>
      </c>
      <c r="AO260" s="200">
        <f t="shared" si="109"/>
        <v>9.1198613042887384</v>
      </c>
      <c r="AP260" s="200">
        <f t="shared" si="109"/>
        <v>9.1198613042887384</v>
      </c>
      <c r="AQ260" s="200"/>
      <c r="AR260" s="200"/>
      <c r="AS260" s="200"/>
      <c r="AT260" s="200"/>
      <c r="AU260" s="200"/>
      <c r="AV260" s="200"/>
    </row>
    <row r="261" spans="1:48" s="240" customFormat="1">
      <c r="B261" s="241" t="str">
        <f t="shared" si="110"/>
        <v>COM_PROJ</v>
      </c>
      <c r="C261" s="241" t="str">
        <f t="shared" si="104"/>
        <v>-</v>
      </c>
      <c r="D261" s="241" t="str">
        <f>COM!B177</f>
        <v>CNL</v>
      </c>
      <c r="E261" s="241" t="str">
        <f t="shared" si="105"/>
        <v>-</v>
      </c>
      <c r="F261" s="241" t="str">
        <f t="shared" si="105"/>
        <v>-</v>
      </c>
      <c r="G261" s="241" t="str">
        <f t="shared" si="105"/>
        <v>-</v>
      </c>
      <c r="H261" s="241" t="str">
        <f t="shared" si="105"/>
        <v>-</v>
      </c>
      <c r="I261" s="241">
        <f t="shared" si="106"/>
        <v>0</v>
      </c>
      <c r="J261" s="242">
        <f t="shared" si="111"/>
        <v>0</v>
      </c>
      <c r="K261" s="242">
        <f t="shared" si="111"/>
        <v>0</v>
      </c>
      <c r="L261" s="242">
        <f t="shared" si="111"/>
        <v>0</v>
      </c>
      <c r="M261" s="242">
        <f t="shared" si="111"/>
        <v>0</v>
      </c>
      <c r="N261" s="242">
        <f t="shared" si="111"/>
        <v>0</v>
      </c>
      <c r="O261" s="242">
        <f t="shared" si="111"/>
        <v>0</v>
      </c>
      <c r="P261" s="242">
        <f t="shared" si="111"/>
        <v>1.6154122080425941</v>
      </c>
      <c r="Q261" s="242">
        <f t="shared" si="111"/>
        <v>3.3960732388988562</v>
      </c>
      <c r="R261" s="242">
        <f t="shared" si="111"/>
        <v>4.2334674770701453</v>
      </c>
      <c r="S261" s="242">
        <f t="shared" si="111"/>
        <v>6.6379701373591766</v>
      </c>
      <c r="T261" s="242">
        <f t="shared" si="111"/>
        <v>8.8674194486439628</v>
      </c>
      <c r="U261" s="242">
        <f t="shared" si="111"/>
        <v>11.182964846098583</v>
      </c>
      <c r="V261" s="242">
        <f t="shared" si="111"/>
        <v>13.691106691674626</v>
      </c>
      <c r="W261" s="242">
        <f t="shared" si="111"/>
        <v>16.313847711974187</v>
      </c>
      <c r="X261" s="242">
        <f t="shared" si="111"/>
        <v>19.107806495780753</v>
      </c>
      <c r="Y261" s="242">
        <f t="shared" si="111"/>
        <v>22.010180786211258</v>
      </c>
      <c r="Z261" s="242">
        <f t="shared" si="112"/>
        <v>25.03071739462947</v>
      </c>
      <c r="AA261" s="242">
        <f t="shared" si="112"/>
        <v>28.272197886258876</v>
      </c>
      <c r="AB261" s="242">
        <f t="shared" si="112"/>
        <v>31.598539401922448</v>
      </c>
      <c r="AC261" s="242">
        <f t="shared" si="112"/>
        <v>34.88374024751576</v>
      </c>
      <c r="AD261" s="242">
        <f t="shared" si="112"/>
        <v>38.26579760398446</v>
      </c>
      <c r="AE261" s="242">
        <f t="shared" si="112"/>
        <v>41.720780134346207</v>
      </c>
      <c r="AF261" s="242">
        <f t="shared" si="112"/>
        <v>45.257243280977889</v>
      </c>
      <c r="AG261" s="242">
        <f t="shared" si="112"/>
        <v>48.709958522464326</v>
      </c>
      <c r="AH261" s="242">
        <f t="shared" si="112"/>
        <v>52.208289131926918</v>
      </c>
      <c r="AI261" s="242">
        <f t="shared" si="112"/>
        <v>55.934377457758181</v>
      </c>
      <c r="AJ261" s="242">
        <f t="shared" si="112"/>
        <v>59.785261823819255</v>
      </c>
      <c r="AK261" s="242">
        <f t="shared" si="112"/>
        <v>63.73228822172841</v>
      </c>
      <c r="AL261" s="242">
        <f t="shared" si="112"/>
        <v>67.739660649801294</v>
      </c>
      <c r="AM261" s="242">
        <f t="shared" si="112"/>
        <v>88.558573114418408</v>
      </c>
      <c r="AN261" s="242">
        <f t="shared" si="112"/>
        <v>111.26428201436339</v>
      </c>
      <c r="AO261" s="243">
        <f t="shared" si="109"/>
        <v>111.26428201436339</v>
      </c>
      <c r="AP261" s="243">
        <f t="shared" si="109"/>
        <v>111.26428201436339</v>
      </c>
      <c r="AQ261" s="243"/>
      <c r="AR261" s="243"/>
      <c r="AS261" s="243"/>
      <c r="AT261" s="243"/>
      <c r="AU261" s="243"/>
      <c r="AV261" s="243"/>
    </row>
    <row r="262" spans="1:48" s="199"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0.39297187021735175</v>
      </c>
      <c r="Q262" s="10">
        <f t="shared" si="111"/>
        <v>0.82614285409064703</v>
      </c>
      <c r="R262" s="10">
        <f t="shared" si="111"/>
        <v>1.0298508477810902</v>
      </c>
      <c r="S262" s="10">
        <f t="shared" si="111"/>
        <v>1.6147801324875135</v>
      </c>
      <c r="T262" s="10">
        <f t="shared" si="111"/>
        <v>2.1571252138534383</v>
      </c>
      <c r="U262" s="10">
        <f t="shared" si="111"/>
        <v>2.720414386041575</v>
      </c>
      <c r="V262" s="10">
        <f t="shared" si="111"/>
        <v>3.3305553685841742</v>
      </c>
      <c r="W262" s="10">
        <f t="shared" si="111"/>
        <v>3.9685742214265365</v>
      </c>
      <c r="X262" s="10">
        <f t="shared" si="111"/>
        <v>4.6482442171814</v>
      </c>
      <c r="Y262" s="10">
        <f t="shared" si="111"/>
        <v>5.3542878185005014</v>
      </c>
      <c r="Z262" s="10">
        <f t="shared" si="112"/>
        <v>6.089076075120377</v>
      </c>
      <c r="AA262" s="10">
        <f t="shared" si="112"/>
        <v>6.8776120566653933</v>
      </c>
      <c r="AB262" s="10">
        <f t="shared" si="112"/>
        <v>7.6867916826977032</v>
      </c>
      <c r="AC262" s="10">
        <f t="shared" si="112"/>
        <v>8.4859632587852278</v>
      </c>
      <c r="AD262" s="10">
        <f t="shared" si="112"/>
        <v>9.3086965512148314</v>
      </c>
      <c r="AE262" s="10">
        <f t="shared" si="112"/>
        <v>10.149169923747827</v>
      </c>
      <c r="AF262" s="10">
        <f t="shared" si="112"/>
        <v>11.009464608762336</v>
      </c>
      <c r="AG262" s="10">
        <f t="shared" si="112"/>
        <v>11.849386431204762</v>
      </c>
      <c r="AH262" s="10">
        <f t="shared" si="112"/>
        <v>12.70040483715386</v>
      </c>
      <c r="AI262" s="10">
        <f t="shared" si="112"/>
        <v>13.606828529327881</v>
      </c>
      <c r="AJ262" s="10">
        <f t="shared" si="112"/>
        <v>14.543610623574551</v>
      </c>
      <c r="AK262" s="10">
        <f t="shared" si="112"/>
        <v>15.503780627033333</v>
      </c>
      <c r="AL262" s="10">
        <f t="shared" si="112"/>
        <v>16.478630655946652</v>
      </c>
      <c r="AM262" s="10">
        <f t="shared" si="112"/>
        <v>21.54312560428259</v>
      </c>
      <c r="AN262" s="10">
        <f t="shared" si="112"/>
        <v>27.066610474954611</v>
      </c>
      <c r="AO262" s="200">
        <f t="shared" si="109"/>
        <v>27.066610474954611</v>
      </c>
      <c r="AP262" s="200">
        <f t="shared" si="109"/>
        <v>27.066610474954611</v>
      </c>
      <c r="AQ262" s="200"/>
      <c r="AR262" s="200"/>
      <c r="AS262" s="200"/>
      <c r="AT262" s="200"/>
      <c r="AU262" s="200"/>
      <c r="AV262" s="200"/>
    </row>
    <row r="263" spans="1:48" s="199"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0.20485221696423084</v>
      </c>
      <c r="Q263" s="10">
        <f t="shared" si="111"/>
        <v>0.43065982075516357</v>
      </c>
      <c r="R263" s="10">
        <f t="shared" si="111"/>
        <v>0.53685071451491806</v>
      </c>
      <c r="S263" s="10">
        <f t="shared" si="111"/>
        <v>0.84176836847609915</v>
      </c>
      <c r="T263" s="10">
        <f t="shared" si="111"/>
        <v>1.1244873127506763</v>
      </c>
      <c r="U263" s="10">
        <f t="shared" si="111"/>
        <v>1.4181241973726308</v>
      </c>
      <c r="V263" s="10">
        <f t="shared" si="111"/>
        <v>1.736184451572135</v>
      </c>
      <c r="W263" s="10">
        <f t="shared" si="111"/>
        <v>2.0687771544478997</v>
      </c>
      <c r="X263" s="10">
        <f t="shared" si="111"/>
        <v>2.4230821721516973</v>
      </c>
      <c r="Y263" s="10">
        <f t="shared" si="111"/>
        <v>2.7911354807094582</v>
      </c>
      <c r="Z263" s="10">
        <f t="shared" si="112"/>
        <v>3.1741730840997717</v>
      </c>
      <c r="AA263" s="10">
        <f t="shared" si="112"/>
        <v>3.585228826807815</v>
      </c>
      <c r="AB263" s="10">
        <f t="shared" si="112"/>
        <v>4.0070458902615513</v>
      </c>
      <c r="AC263" s="10">
        <f t="shared" si="112"/>
        <v>4.4236458596328427</v>
      </c>
      <c r="AD263" s="10">
        <f t="shared" si="112"/>
        <v>4.8525283107641837</v>
      </c>
      <c r="AE263" s="10">
        <f t="shared" si="112"/>
        <v>5.2906584842230622</v>
      </c>
      <c r="AF263" s="10">
        <f t="shared" si="112"/>
        <v>5.7391213051631276</v>
      </c>
      <c r="AG263" s="10">
        <f t="shared" si="112"/>
        <v>6.176963961200574</v>
      </c>
      <c r="AH263" s="10">
        <f t="shared" si="112"/>
        <v>6.6205911527336863</v>
      </c>
      <c r="AI263" s="10">
        <f t="shared" si="112"/>
        <v>7.0931005533379867</v>
      </c>
      <c r="AJ263" s="10">
        <f t="shared" si="112"/>
        <v>7.5814354784629963</v>
      </c>
      <c r="AK263" s="10">
        <f t="shared" si="112"/>
        <v>8.0819622814687548</v>
      </c>
      <c r="AL263" s="10">
        <f t="shared" si="112"/>
        <v>8.590141631609221</v>
      </c>
      <c r="AM263" s="10">
        <f t="shared" si="112"/>
        <v>11.230211052855431</v>
      </c>
      <c r="AN263" s="10">
        <f t="shared" si="112"/>
        <v>14.109547226459211</v>
      </c>
      <c r="AO263" s="200">
        <f t="shared" si="109"/>
        <v>14.109547226459211</v>
      </c>
      <c r="AP263" s="200">
        <f t="shared" si="109"/>
        <v>14.109547226459211</v>
      </c>
      <c r="AQ263" s="200"/>
      <c r="AR263" s="200"/>
      <c r="AS263" s="200"/>
      <c r="AT263" s="200"/>
      <c r="AU263" s="200"/>
      <c r="AV263" s="200"/>
    </row>
    <row r="264" spans="1:48" s="199"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200">
        <f t="shared" si="109"/>
        <v>0</v>
      </c>
      <c r="AP264" s="200">
        <f t="shared" si="109"/>
        <v>0</v>
      </c>
      <c r="AQ264" s="200"/>
      <c r="AR264" s="200"/>
      <c r="AS264" s="200"/>
      <c r="AT264" s="200"/>
      <c r="AU264" s="200"/>
      <c r="AV264" s="200"/>
    </row>
    <row r="265" spans="1:48" s="199"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200">
        <f>AN265</f>
        <v>0</v>
      </c>
      <c r="AP265" s="200">
        <f>AO265</f>
        <v>0</v>
      </c>
      <c r="AQ265" s="200"/>
      <c r="AR265" s="200"/>
      <c r="AS265" s="200"/>
      <c r="AT265" s="200"/>
      <c r="AU265" s="200"/>
      <c r="AV265" s="200"/>
    </row>
    <row r="266" spans="1:48" s="199"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0.26234508327730677</v>
      </c>
      <c r="Q266" s="10">
        <f t="shared" si="111"/>
        <v>0.55152679436186447</v>
      </c>
      <c r="R266" s="10">
        <f t="shared" si="111"/>
        <v>0.68752072832821642</v>
      </c>
      <c r="S266" s="10">
        <f t="shared" si="111"/>
        <v>1.0780151467270893</v>
      </c>
      <c r="T266" s="10">
        <f t="shared" si="111"/>
        <v>1.440080669272725</v>
      </c>
      <c r="U266" s="10">
        <f t="shared" si="111"/>
        <v>1.8161283103040471</v>
      </c>
      <c r="V266" s="10">
        <f t="shared" si="111"/>
        <v>2.2234538697327739</v>
      </c>
      <c r="W266" s="10">
        <f t="shared" si="111"/>
        <v>2.6493904869996618</v>
      </c>
      <c r="X266" s="10">
        <f t="shared" si="111"/>
        <v>3.1031330959522432</v>
      </c>
      <c r="Y266" s="10">
        <f t="shared" si="111"/>
        <v>3.5744825268492195</v>
      </c>
      <c r="Z266" s="10">
        <f t="shared" si="112"/>
        <v>4.0650216747722219</v>
      </c>
      <c r="AA266" s="10">
        <f t="shared" si="112"/>
        <v>4.5914424021162974</v>
      </c>
      <c r="AB266" s="10">
        <f t="shared" si="112"/>
        <v>5.1316446722185631</v>
      </c>
      <c r="AC266" s="10">
        <f t="shared" si="112"/>
        <v>5.6651656429831538</v>
      </c>
      <c r="AD266" s="10">
        <f t="shared" si="112"/>
        <v>6.214416239464974</v>
      </c>
      <c r="AE266" s="10">
        <f t="shared" si="112"/>
        <v>6.7755099808250696</v>
      </c>
      <c r="AF266" s="10">
        <f t="shared" si="112"/>
        <v>7.3498362822428396</v>
      </c>
      <c r="AG266" s="10">
        <f t="shared" si="112"/>
        <v>7.9105618128850477</v>
      </c>
      <c r="AH266" s="10">
        <f t="shared" si="112"/>
        <v>8.4786953397345712</v>
      </c>
      <c r="AI266" s="10">
        <f t="shared" si="112"/>
        <v>9.0838170215394101</v>
      </c>
      <c r="AJ266" s="10">
        <f t="shared" si="112"/>
        <v>9.7092057456531826</v>
      </c>
      <c r="AK266" s="10">
        <f t="shared" si="112"/>
        <v>10.350208063143347</v>
      </c>
      <c r="AL266" s="10">
        <f t="shared" si="112"/>
        <v>11.001010655900679</v>
      </c>
      <c r="AM266" s="10">
        <f t="shared" si="112"/>
        <v>14.382029628693363</v>
      </c>
      <c r="AN266" s="10">
        <f t="shared" si="112"/>
        <v>18.06946684290395</v>
      </c>
      <c r="AO266" s="200">
        <f>AN266</f>
        <v>18.06946684290395</v>
      </c>
      <c r="AP266" s="200">
        <f>AO266</f>
        <v>18.06946684290395</v>
      </c>
      <c r="AQ266" s="200"/>
      <c r="AR266" s="200"/>
      <c r="AS266" s="200"/>
      <c r="AT266" s="200"/>
      <c r="AU266" s="200"/>
      <c r="AV266" s="200"/>
    </row>
    <row r="267" spans="1:48">
      <c r="K267" s="95"/>
    </row>
    <row r="268" spans="1:48">
      <c r="K268" s="95"/>
    </row>
    <row r="269" spans="1:48">
      <c r="M269" s="102"/>
      <c r="AB269" s="102"/>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election activeCell="E42" sqref="E42"/>
    </sheetView>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6" t="str">
        <f>[2]ITEMS_Comm!C9</f>
        <v>TPPRSUV</v>
      </c>
      <c r="D6" s="45" t="str">
        <f>[2]ITEMS_Comm!D9</f>
        <v>Transport Passenger SUV Priv.Veh.</v>
      </c>
      <c r="E6" s="19" t="str">
        <f>[2]ITEMS_Comm!E9</f>
        <v>PJ</v>
      </c>
      <c r="F6" s="19" t="str">
        <f>[2]ITEMS_Comm!F9</f>
        <v>COM,DEM,ANNUAL,RES</v>
      </c>
    </row>
    <row r="7" spans="1:9">
      <c r="A7" s="18" t="str">
        <f>[2]ITEMS_Comm!A10</f>
        <v/>
      </c>
      <c r="B7" s="19" t="str">
        <f>[2]ITEMS_Comm!B10</f>
        <v>E</v>
      </c>
      <c r="C7" s="46" t="str">
        <f>[2]ITEMS_Comm!C10</f>
        <v>TPPRCAR</v>
      </c>
      <c r="D7" s="45" t="str">
        <f>[2]ITEMS_Comm!D10</f>
        <v>Transport Passenger Car Priv.Veh.</v>
      </c>
      <c r="E7" s="19" t="str">
        <f>[2]ITEMS_Comm!E10</f>
        <v>PJ</v>
      </c>
      <c r="F7" s="19" t="str">
        <f>[2]ITEMS_Comm!F10</f>
        <v>COM,DEM,ANNUAL,RES</v>
      </c>
    </row>
    <row r="8" spans="1:9">
      <c r="A8" s="18" t="str">
        <f>[2]ITEMS_Comm!A11</f>
        <v/>
      </c>
      <c r="B8" s="19" t="str">
        <f>[2]ITEMS_Comm!B11</f>
        <v>E</v>
      </c>
      <c r="C8" s="46" t="str">
        <f>[2]ITEMS_Comm!C11</f>
        <v>TPPRMOT</v>
      </c>
      <c r="D8" s="45" t="str">
        <f>[2]ITEMS_Comm!D11</f>
        <v>Transport Passenger Moto Priv.Veh.</v>
      </c>
      <c r="E8" s="19" t="str">
        <f>[2]ITEMS_Comm!E11</f>
        <v>PJ</v>
      </c>
      <c r="F8" s="19" t="str">
        <f>[2]ITEMS_Comm!F11</f>
        <v>COM,DEM,ANNUAL,RES</v>
      </c>
    </row>
    <row r="9" spans="1:9">
      <c r="A9" s="18" t="str">
        <f>[2]ITEMS_Comm!A12</f>
        <v/>
      </c>
      <c r="B9" s="19" t="str">
        <f>[2]ITEMS_Comm!B12</f>
        <v>E</v>
      </c>
      <c r="C9" s="46" t="str">
        <f>[2]ITEMS_Comm!C12</f>
        <v>TPPUBUS</v>
      </c>
      <c r="D9" s="45" t="str">
        <f>[2]ITEMS_Comm!D12</f>
        <v>Transport Passenger Bus</v>
      </c>
      <c r="E9" s="19" t="str">
        <f>[2]ITEMS_Comm!E12</f>
        <v>PJ</v>
      </c>
      <c r="F9" s="19" t="str">
        <f>[2]ITEMS_Comm!F12</f>
        <v>COM,DEM,ANNUAL,RES</v>
      </c>
    </row>
    <row r="10" spans="1:9">
      <c r="A10" s="18" t="str">
        <f>[2]ITEMS_Comm!A13</f>
        <v/>
      </c>
      <c r="B10" s="19" t="str">
        <f>[2]ITEMS_Comm!B13</f>
        <v>E</v>
      </c>
      <c r="C10" s="46" t="str">
        <f>[2]ITEMS_Comm!C13</f>
        <v>TPPUMBT</v>
      </c>
      <c r="D10" s="45" t="str">
        <f>[2]ITEMS_Comm!D13</f>
        <v>Transport Passenger Minibus</v>
      </c>
      <c r="E10" s="19" t="str">
        <f>[2]ITEMS_Comm!E13</f>
        <v>PJ</v>
      </c>
      <c r="F10" s="19" t="str">
        <f>[2]ITEMS_Comm!F13</f>
        <v>COM,DEM,ANNUAL,RES</v>
      </c>
    </row>
    <row r="11" spans="1:9">
      <c r="A11" s="18" t="str">
        <f>[2]ITEMS_Comm!A14</f>
        <v/>
      </c>
      <c r="B11" s="19" t="str">
        <f>[2]ITEMS_Comm!B14</f>
        <v>E</v>
      </c>
      <c r="C11" s="46" t="str">
        <f>[2]ITEMS_Comm!C14</f>
        <v>TPPUBRT</v>
      </c>
      <c r="D11" s="45" t="str">
        <f>[2]ITEMS_Comm!D14</f>
        <v>Transport Passenger BRT</v>
      </c>
      <c r="E11" s="19" t="str">
        <f>[2]ITEMS_Comm!E14</f>
        <v>PJ</v>
      </c>
      <c r="F11" s="19" t="str">
        <f>[2]ITEMS_Comm!F14</f>
        <v>COM,DEM,ANNUAL,RES</v>
      </c>
    </row>
    <row r="12" spans="1:9">
      <c r="A12" s="18" t="str">
        <f>[2]ITEMS_Comm!A15</f>
        <v/>
      </c>
      <c r="B12" s="19" t="str">
        <f>[2]ITEMS_Comm!B15</f>
        <v>E</v>
      </c>
      <c r="C12" s="46" t="str">
        <f>[2]ITEMS_Comm!C15</f>
        <v>TPPUMER</v>
      </c>
      <c r="D12" s="45" t="str">
        <f>[2]ITEMS_Comm!D15</f>
        <v>Transport Passenger Metro Rail</v>
      </c>
      <c r="E12" s="19" t="str">
        <f>[2]ITEMS_Comm!E15</f>
        <v>PJ</v>
      </c>
      <c r="F12" s="19" t="str">
        <f>[2]ITEMS_Comm!F15</f>
        <v>COM,DEM,ANNUAL,RES</v>
      </c>
    </row>
    <row r="13" spans="1:9">
      <c r="A13" s="18" t="str">
        <f>[2]ITEMS_Comm!A16</f>
        <v/>
      </c>
      <c r="B13" s="19" t="str">
        <f>[2]ITEMS_Comm!B16</f>
        <v>E</v>
      </c>
      <c r="C13" s="46" t="str">
        <f>[2]ITEMS_Comm!C16</f>
        <v>TPPUGAT</v>
      </c>
      <c r="D13" s="45" t="str">
        <f>[2]ITEMS_Comm!D16</f>
        <v>Transport Passenger Gautrain</v>
      </c>
      <c r="E13" s="19" t="str">
        <f>[2]ITEMS_Comm!E16</f>
        <v>PJ</v>
      </c>
      <c r="F13" s="19" t="str">
        <f>[2]ITEMS_Comm!F16</f>
        <v>COM,DEM,ANNUAL,RES</v>
      </c>
    </row>
    <row r="14" spans="1:9">
      <c r="A14" s="18" t="str">
        <f>[2]ITEMS_Comm!A17</f>
        <v>*</v>
      </c>
      <c r="B14" s="19"/>
      <c r="C14" s="46"/>
      <c r="D14" s="45"/>
      <c r="E14" s="19"/>
      <c r="F14" s="19"/>
    </row>
    <row r="15" spans="1:9">
      <c r="B15" s="19" t="str">
        <f>[2]ITEMS_Comm!B18</f>
        <v>E</v>
      </c>
      <c r="C15" s="46" t="str">
        <f>[2]ITEMS_Comm!C18</f>
        <v>TFLCV</v>
      </c>
      <c r="D15" s="45" t="str">
        <f>[2]ITEMS_Comm!D18</f>
        <v>Transport Freight - LCV</v>
      </c>
      <c r="E15" s="19" t="str">
        <f>[2]ITEMS_Comm!E18</f>
        <v>PJ</v>
      </c>
      <c r="F15" s="19" t="str">
        <f>[2]ITEMS_Comm!F18</f>
        <v>COM,DEM,ANNUAL,RES</v>
      </c>
    </row>
    <row r="16" spans="1:9">
      <c r="B16" s="19" t="str">
        <f>[2]ITEMS_Comm!B19</f>
        <v>E</v>
      </c>
      <c r="C16" s="46" t="str">
        <f>[2]ITEMS_Comm!C19</f>
        <v>TFHCV1</v>
      </c>
      <c r="D16" s="45" t="str">
        <f>[2]ITEMS_Comm!D19</f>
        <v>Transport Freight - HCV1</v>
      </c>
      <c r="E16" s="19" t="str">
        <f>[2]ITEMS_Comm!E19</f>
        <v>PJ</v>
      </c>
      <c r="F16" s="19" t="str">
        <f>[2]ITEMS_Comm!F19</f>
        <v>COM,DEM,ANNUAL,RES</v>
      </c>
    </row>
    <row r="17" spans="1:6">
      <c r="B17" s="19" t="str">
        <f>[2]ITEMS_Comm!B20</f>
        <v>E</v>
      </c>
      <c r="C17" s="46" t="str">
        <f>[2]ITEMS_Comm!C20</f>
        <v>TFHCV2</v>
      </c>
      <c r="D17" s="45" t="str">
        <f>[2]ITEMS_Comm!D20</f>
        <v>Transport Freight - HCV2</v>
      </c>
      <c r="E17" s="19" t="str">
        <f>[2]ITEMS_Comm!E20</f>
        <v>PJ</v>
      </c>
      <c r="F17" s="19" t="str">
        <f>[2]ITEMS_Comm!F20</f>
        <v>COM,DEM,ANNUAL,RES</v>
      </c>
    </row>
    <row r="18" spans="1:6">
      <c r="B18" s="19" t="str">
        <f>[2]ITEMS_Comm!B21</f>
        <v>E</v>
      </c>
      <c r="C18" s="46" t="str">
        <f>[2]ITEMS_Comm!C21</f>
        <v>TFHCV3</v>
      </c>
      <c r="D18" s="45" t="str">
        <f>[2]ITEMS_Comm!D21</f>
        <v>Transport Freight - HCV3</v>
      </c>
      <c r="E18" s="19" t="str">
        <f>[2]ITEMS_Comm!E21</f>
        <v>PJ</v>
      </c>
      <c r="F18" s="19" t="str">
        <f>[2]ITEMS_Comm!F21</f>
        <v>COM,DEM,ANNUAL,RES</v>
      </c>
    </row>
    <row r="19" spans="1:6">
      <c r="B19" s="19" t="str">
        <f>[2]ITEMS_Comm!B22</f>
        <v>E</v>
      </c>
      <c r="C19" s="46" t="str">
        <f>[2]ITEMS_Comm!C22</f>
        <v>TFHCV4</v>
      </c>
      <c r="D19" s="45" t="str">
        <f>[2]ITEMS_Comm!D22</f>
        <v>Transport Freight - HCV4</v>
      </c>
      <c r="E19" s="19" t="str">
        <f>[2]ITEMS_Comm!E22</f>
        <v>PJ</v>
      </c>
      <c r="F19" s="19" t="str">
        <f>[2]ITEMS_Comm!F22</f>
        <v>COM,DEM,ANNUAL,RES</v>
      </c>
    </row>
    <row r="20" spans="1:6">
      <c r="B20" s="19" t="str">
        <f>[2]ITEMS_Comm!B23</f>
        <v>E</v>
      </c>
      <c r="C20" s="46" t="str">
        <f>[2]ITEMS_Comm!C23</f>
        <v>TFHCV5</v>
      </c>
      <c r="D20" s="45" t="str">
        <f>[2]ITEMS_Comm!D23</f>
        <v>Transport Freight - HCV5</v>
      </c>
      <c r="E20" s="19" t="str">
        <f>[2]ITEMS_Comm!E23</f>
        <v>PJ</v>
      </c>
      <c r="F20" s="19" t="str">
        <f>[2]ITEMS_Comm!F23</f>
        <v>COM,DEM,ANNUAL,RES</v>
      </c>
    </row>
    <row r="21" spans="1:6">
      <c r="B21" s="19" t="str">
        <f>[2]ITEMS_Comm!B24</f>
        <v>E</v>
      </c>
      <c r="C21" s="46" t="str">
        <f>[2]ITEMS_Comm!C24</f>
        <v>TFHCV6</v>
      </c>
      <c r="D21" s="45" t="str">
        <f>[2]ITEMS_Comm!D24</f>
        <v>Transport Freight - HCV6</v>
      </c>
      <c r="E21" s="19" t="str">
        <f>[2]ITEMS_Comm!E24</f>
        <v>PJ</v>
      </c>
      <c r="F21" s="19" t="str">
        <f>[2]ITEMS_Comm!F24</f>
        <v>COM,DEM,ANNUAL,RES</v>
      </c>
    </row>
    <row r="22" spans="1:6">
      <c r="B22" s="19" t="str">
        <f>[2]ITEMS_Comm!B25</f>
        <v>E</v>
      </c>
      <c r="C22" s="46" t="str">
        <f>[2]ITEMS_Comm!C25</f>
        <v>TFHCV7</v>
      </c>
      <c r="D22" s="45" t="str">
        <f>[2]ITEMS_Comm!D25</f>
        <v>Transport Freight - HCV7</v>
      </c>
      <c r="E22" s="19" t="str">
        <f>[2]ITEMS_Comm!E25</f>
        <v>PJ</v>
      </c>
      <c r="F22" s="19" t="str">
        <f>[2]ITEMS_Comm!F25</f>
        <v>COM,DEM,ANNUAL,RES</v>
      </c>
    </row>
    <row r="23" spans="1:6">
      <c r="B23" s="19" t="str">
        <f>[2]ITEMS_Comm!B26</f>
        <v>E</v>
      </c>
      <c r="C23" s="46" t="str">
        <f>[2]ITEMS_Comm!C26</f>
        <v>TFHCV8</v>
      </c>
      <c r="D23" s="45" t="str">
        <f>[2]ITEMS_Comm!D26</f>
        <v>Transport Freight - HCV8</v>
      </c>
      <c r="E23" s="19" t="str">
        <f>[2]ITEMS_Comm!E26</f>
        <v>PJ</v>
      </c>
      <c r="F23" s="19" t="str">
        <f>[2]ITEMS_Comm!F26</f>
        <v>COM,DEM,ANNUAL,RES</v>
      </c>
    </row>
    <row r="24" spans="1:6">
      <c r="B24" s="19" t="str">
        <f>[2]ITEMS_Comm!B27</f>
        <v>E</v>
      </c>
      <c r="C24" s="46" t="str">
        <f>[2]ITEMS_Comm!C27</f>
        <v>TFHCV9</v>
      </c>
      <c r="D24" s="45" t="str">
        <f>[2]ITEMS_Comm!D27</f>
        <v>Transport Freight - HCV9</v>
      </c>
      <c r="E24" s="19" t="str">
        <f>[2]ITEMS_Comm!E27</f>
        <v>PJ</v>
      </c>
      <c r="F24" s="19" t="str">
        <f>[2]ITEMS_Comm!F27</f>
        <v>COM,DEM,ANNUAL,RES</v>
      </c>
    </row>
    <row r="25" spans="1:6">
      <c r="A25" s="18" t="str">
        <f>[2]ITEMS_Comm!A28</f>
        <v/>
      </c>
      <c r="B25" s="19" t="str">
        <f>[2]ITEMS_Comm!B28</f>
        <v>E</v>
      </c>
      <c r="C25" s="46" t="str">
        <f>[2]ITEMS_Comm!C28</f>
        <v>TFRCO</v>
      </c>
      <c r="D25" s="45" t="str">
        <f>[2]ITEMS_Comm!D28</f>
        <v>Transport Freight - Rail Corridor</v>
      </c>
      <c r="E25" s="19" t="str">
        <f>[2]ITEMS_Comm!E28</f>
        <v>PJ</v>
      </c>
      <c r="F25" s="19" t="str">
        <f>[2]ITEMS_Comm!F28</f>
        <v>COM,DEM,ANNUAL,RES</v>
      </c>
    </row>
    <row r="26" spans="1:6">
      <c r="A26" s="18" t="str">
        <f>[2]ITEMS_Comm!A29</f>
        <v/>
      </c>
      <c r="B26" s="19" t="str">
        <f>[2]ITEMS_Comm!B29</f>
        <v>E</v>
      </c>
      <c r="C26" s="46" t="str">
        <f>[2]ITEMS_Comm!C29</f>
        <v>TFROT</v>
      </c>
      <c r="D26" s="45" t="str">
        <f>[2]ITEMS_Comm!D29</f>
        <v>Transport Freight - Rail Other</v>
      </c>
      <c r="E26" s="19" t="str">
        <f>[2]ITEMS_Comm!E29</f>
        <v>PJ</v>
      </c>
      <c r="F26" s="19" t="str">
        <f>[2]ITEMS_Comm!F29</f>
        <v>COM,DEM,ANNUAL,RES</v>
      </c>
    </row>
    <row r="27" spans="1:6">
      <c r="A27" s="18" t="str">
        <f>[2]ITEMS_Comm!A30</f>
        <v/>
      </c>
      <c r="B27" s="19" t="str">
        <f>[2]ITEMS_Comm!B30</f>
        <v>E</v>
      </c>
      <c r="C27" s="46" t="str">
        <f>[2]ITEMS_Comm!C30</f>
        <v>TFREX</v>
      </c>
      <c r="D27" s="45" t="str">
        <f>[2]ITEMS_Comm!D30</f>
        <v>Transport Freight - Rail Export (bulk mining)</v>
      </c>
      <c r="E27" s="19" t="str">
        <f>[2]ITEMS_Comm!E30</f>
        <v>PJ</v>
      </c>
      <c r="F27" s="19" t="str">
        <f>[2]ITEMS_Comm!F30</f>
        <v>COM,DEM,ANNUAL,RES</v>
      </c>
    </row>
    <row r="28" spans="1:6">
      <c r="A28" s="18" t="str">
        <f>[2]ITEMS_Comm!A31</f>
        <v>*</v>
      </c>
      <c r="B28" s="19"/>
      <c r="C28" s="46"/>
      <c r="D28" s="45"/>
      <c r="E28" s="19"/>
      <c r="F28" s="19"/>
    </row>
    <row r="29" spans="1:6">
      <c r="A29" s="18" t="str">
        <f>[2]ITEMS_Comm!A32</f>
        <v/>
      </c>
      <c r="B29" s="19" t="str">
        <f>[2]ITEMS_Comm!B32</f>
        <v>E</v>
      </c>
      <c r="C29" s="46" t="str">
        <f>[2]ITEMS_Comm!C32</f>
        <v>TFPIP</v>
      </c>
      <c r="D29" s="45" t="str">
        <f>[2]ITEMS_Comm!D32</f>
        <v>Transport Other - Pipeline</v>
      </c>
      <c r="E29" s="19" t="str">
        <f>[2]ITEMS_Comm!E32</f>
        <v>PJ</v>
      </c>
      <c r="F29" s="19" t="str">
        <f>[2]ITEMS_Comm!F32</f>
        <v>COM,DEM,ANNUAL,RES</v>
      </c>
    </row>
    <row r="30" spans="1:6">
      <c r="A30" s="18" t="str">
        <f>[2]ITEMS_Comm!A33</f>
        <v/>
      </c>
      <c r="B30" s="19" t="str">
        <f>[2]ITEMS_Comm!B33</f>
        <v>E</v>
      </c>
      <c r="C30" s="46" t="str">
        <f>[2]ITEMS_Comm!C33</f>
        <v>TAIJET</v>
      </c>
      <c r="D30" s="45"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6" t="str">
        <f>[2]ITEMS_Comm!C34</f>
        <v>TADJET</v>
      </c>
      <c r="D31" s="45"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6" t="str">
        <f>[2]ITEMS_Comm!C35</f>
        <v>TAOAG</v>
      </c>
      <c r="D32" s="45" t="str">
        <f>[2]ITEMS_Comm!D35</f>
        <v>Transport Other - Aviation Gasoline</v>
      </c>
      <c r="E32" s="19" t="str">
        <f>[2]ITEMS_Comm!E35</f>
        <v>PJ</v>
      </c>
      <c r="F32" s="19" t="str">
        <f>[2]ITEMS_Comm!F35</f>
        <v>COM,DEM,ANNUAL,RES</v>
      </c>
    </row>
    <row r="33" spans="1:6">
      <c r="A33" s="18" t="str">
        <f>[2]ITEMS_Comm!A36</f>
        <v/>
      </c>
      <c r="B33" s="19" t="str">
        <f>[2]ITEMS_Comm!B36</f>
        <v>E</v>
      </c>
      <c r="C33" s="46" t="str">
        <f>[2]ITEMS_Comm!C36</f>
        <v>TSHFO</v>
      </c>
      <c r="D33" s="45" t="str">
        <f>[2]ITEMS_Comm!D36</f>
        <v>Transport Other - HFO</v>
      </c>
      <c r="E33" s="19" t="str">
        <f>[2]ITEMS_Comm!E36</f>
        <v>PJ</v>
      </c>
      <c r="F33" s="19" t="str">
        <f>[2]ITEMS_Comm!F36</f>
        <v>COM,DEM,ANNUAL,RES</v>
      </c>
    </row>
    <row r="34" spans="1:6">
      <c r="B34" s="19"/>
      <c r="C34" s="46"/>
      <c r="D34" s="45"/>
      <c r="E34" s="19"/>
      <c r="F34" s="19"/>
    </row>
    <row r="35" spans="1:6">
      <c r="B35" s="19"/>
      <c r="C35" s="46"/>
      <c r="D35" s="45"/>
      <c r="E35" s="19"/>
      <c r="F35" s="19"/>
    </row>
    <row r="36" spans="1:6">
      <c r="B36" s="19"/>
      <c r="C36" s="46"/>
      <c r="D36" s="45"/>
      <c r="E36" s="19"/>
      <c r="F36" s="19"/>
    </row>
    <row r="37" spans="1:6">
      <c r="B37" s="19"/>
      <c r="C37" s="46"/>
      <c r="D37" s="45"/>
      <c r="E37" s="19"/>
      <c r="F37" s="19"/>
    </row>
    <row r="38" spans="1:6">
      <c r="B38" s="19"/>
      <c r="C38" s="46"/>
      <c r="D38" s="45"/>
      <c r="E38" s="19"/>
      <c r="F38" s="19"/>
    </row>
    <row r="39" spans="1:6">
      <c r="B39" s="19"/>
      <c r="C39" s="46"/>
      <c r="D39" s="45"/>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4"/>
  <sheetViews>
    <sheetView topLeftCell="A71" zoomScale="80" zoomScaleNormal="80" workbookViewId="0">
      <selection activeCell="BB7" sqref="BB7"/>
    </sheetView>
  </sheetViews>
  <sheetFormatPr defaultColWidth="9.140625" defaultRowHeight="15"/>
  <cols>
    <col min="1" max="1" width="9.140625" style="199"/>
    <col min="2" max="2" width="11.85546875" style="199" customWidth="1"/>
    <col min="3" max="3" width="73" style="199" customWidth="1"/>
    <col min="4" max="4" width="9.140625" style="199"/>
    <col min="5" max="5" width="13.42578125" style="199" bestFit="1" customWidth="1"/>
    <col min="6" max="53" width="9.140625" style="199"/>
    <col min="54" max="54" width="16" style="199" customWidth="1"/>
    <col min="55" max="16384" width="9.140625" style="199"/>
  </cols>
  <sheetData>
    <row r="1" spans="1:58">
      <c r="A1" s="199" t="str">
        <f>IF(TRA,"TS DATA","")</f>
        <v>TS DATA</v>
      </c>
      <c r="B1" s="199" t="s">
        <v>17</v>
      </c>
      <c r="D1" s="199">
        <f>DriversGams!M162</f>
        <v>0</v>
      </c>
      <c r="BA1" s="206" t="s">
        <v>223</v>
      </c>
      <c r="BB1" s="206" t="s">
        <v>540</v>
      </c>
      <c r="BC1" s="206" t="s">
        <v>197</v>
      </c>
      <c r="BD1" s="206" t="s">
        <v>544</v>
      </c>
      <c r="BF1" s="206"/>
    </row>
    <row r="2" spans="1:58" ht="15.75" thickBot="1">
      <c r="A2" s="199" t="s">
        <v>16</v>
      </c>
      <c r="B2" s="301" t="s">
        <v>296</v>
      </c>
      <c r="C2" s="301"/>
      <c r="BA2" s="206"/>
      <c r="BB2" s="206"/>
      <c r="BC2" s="206"/>
      <c r="BD2" s="206" t="s">
        <v>153</v>
      </c>
      <c r="BE2" s="206" t="s">
        <v>153</v>
      </c>
      <c r="BF2" s="206" t="s">
        <v>546</v>
      </c>
    </row>
    <row r="3" spans="1:58">
      <c r="A3" s="199" t="s">
        <v>16</v>
      </c>
      <c r="C3" s="206" t="str">
        <f>INDEX($BB$4:$BB$7,MATCH($D$3,$BA$4:$BA$7,0))</f>
        <v>NDC-PAMS-lo</v>
      </c>
      <c r="D3" s="210">
        <f>DriversGams!C163</f>
        <v>2</v>
      </c>
      <c r="F3" s="199">
        <f>MATCH(F4,Drivers!$C$5:$AG$5,0)</f>
        <v>1</v>
      </c>
      <c r="G3" s="199">
        <f>MATCH(G4,Drivers!$C$5:$AG$5,0)</f>
        <v>4</v>
      </c>
      <c r="H3" s="199">
        <f>MATCH(H4,Drivers!$C$5:$AG$5,0)</f>
        <v>6</v>
      </c>
      <c r="I3" s="199">
        <f>MATCH(I4,Drivers!$C$5:$AG$5,0)</f>
        <v>9</v>
      </c>
      <c r="J3" s="199">
        <f>MATCH(J4,Drivers!$C$5:$AG$5,0)</f>
        <v>19</v>
      </c>
      <c r="K3" s="199">
        <f>MATCH(K4,Drivers!$C$5:$AG$5,0)</f>
        <v>29</v>
      </c>
      <c r="L3" s="199">
        <f>MATCH(L4,Drivers!$C$5:$AG$5,0)</f>
        <v>31</v>
      </c>
      <c r="BA3" s="206"/>
      <c r="BB3" s="206"/>
      <c r="BC3" s="206"/>
      <c r="BD3" s="215">
        <v>2030</v>
      </c>
      <c r="BE3" s="215">
        <v>2050</v>
      </c>
      <c r="BF3" s="206"/>
    </row>
    <row r="4" spans="1:58">
      <c r="A4" s="199" t="s">
        <v>16</v>
      </c>
      <c r="B4" s="245"/>
      <c r="C4" s="5" t="s">
        <v>198</v>
      </c>
      <c r="D4" s="209">
        <f>INDEX($BC$4:$BC$7,MATCH($D$3,BA$4:BA$7,0))</f>
        <v>1</v>
      </c>
      <c r="F4" s="199">
        <v>2012</v>
      </c>
      <c r="G4" s="199">
        <v>2015</v>
      </c>
      <c r="H4" s="199">
        <v>2017</v>
      </c>
      <c r="I4" s="199">
        <v>2020</v>
      </c>
      <c r="J4" s="199">
        <v>2030</v>
      </c>
      <c r="K4" s="199">
        <v>2040</v>
      </c>
      <c r="L4" s="199">
        <v>2050</v>
      </c>
      <c r="N4" s="7">
        <v>2015</v>
      </c>
      <c r="O4" s="7">
        <v>2020</v>
      </c>
      <c r="P4" s="7">
        <v>2030</v>
      </c>
      <c r="Q4" s="7">
        <v>2040</v>
      </c>
      <c r="R4" s="7">
        <v>2050</v>
      </c>
      <c r="T4" s="7">
        <f>N4</f>
        <v>2015</v>
      </c>
      <c r="U4" s="7">
        <f>O4</f>
        <v>2020</v>
      </c>
      <c r="V4" s="7">
        <f>P4</f>
        <v>2030</v>
      </c>
      <c r="W4" s="7">
        <f>Q4</f>
        <v>2040</v>
      </c>
      <c r="X4" s="7">
        <f>R4</f>
        <v>2050</v>
      </c>
      <c r="BA4" s="206">
        <v>-1</v>
      </c>
      <c r="BB4" s="206" t="s">
        <v>627</v>
      </c>
      <c r="BC4" s="206">
        <v>0</v>
      </c>
      <c r="BD4" s="277">
        <v>0.95</v>
      </c>
      <c r="BE4" s="277">
        <v>0.95</v>
      </c>
      <c r="BF4" s="215">
        <v>1</v>
      </c>
    </row>
    <row r="5" spans="1:58" ht="15.75" thickBot="1">
      <c r="A5" s="199" t="s">
        <v>16</v>
      </c>
      <c r="B5" s="14" t="s">
        <v>11</v>
      </c>
      <c r="C5" s="14"/>
      <c r="D5" s="14"/>
      <c r="E5" s="14"/>
      <c r="F5" s="14"/>
      <c r="G5" s="14"/>
      <c r="H5" s="14"/>
      <c r="I5" s="14"/>
      <c r="J5" s="14"/>
      <c r="K5" s="14"/>
      <c r="L5" s="14"/>
      <c r="M5" s="14"/>
      <c r="BA5" s="206">
        <v>1</v>
      </c>
      <c r="BB5" s="206" t="s">
        <v>628</v>
      </c>
      <c r="BC5" s="206">
        <v>1</v>
      </c>
      <c r="BD5" s="277">
        <v>0.8</v>
      </c>
      <c r="BE5" s="277">
        <v>0.85</v>
      </c>
      <c r="BF5" s="215">
        <v>1</v>
      </c>
    </row>
    <row r="6" spans="1:58">
      <c r="A6" s="199" t="s">
        <v>16</v>
      </c>
      <c r="B6" s="199" t="s">
        <v>9</v>
      </c>
      <c r="C6" s="199" t="s">
        <v>10</v>
      </c>
      <c r="D6" s="199" t="s">
        <v>403</v>
      </c>
      <c r="BA6" s="206">
        <v>2</v>
      </c>
      <c r="BB6" s="206" t="s">
        <v>619</v>
      </c>
      <c r="BC6" s="206">
        <v>1</v>
      </c>
      <c r="BD6" s="277">
        <v>0.92</v>
      </c>
      <c r="BE6" s="277">
        <v>0.93</v>
      </c>
      <c r="BF6" s="215">
        <v>1</v>
      </c>
    </row>
    <row r="7" spans="1:58">
      <c r="A7" s="199" t="s">
        <v>16</v>
      </c>
      <c r="B7" s="200" t="s">
        <v>598</v>
      </c>
      <c r="C7" s="200" t="s">
        <v>2</v>
      </c>
      <c r="D7" s="199">
        <f>MATCH(B7,Drivers!$A$7:$A$22,0)</f>
        <v>14</v>
      </c>
      <c r="E7" s="200"/>
      <c r="F7" s="24">
        <f>INDEX(Drivers!$C$7:$AG$22,$D7,F$3)</f>
        <v>135.96</v>
      </c>
      <c r="G7" s="24">
        <f>INDEX(Drivers!$C$7:$AG$22,$D7,G$3)</f>
        <v>145.44999999999999</v>
      </c>
      <c r="H7" s="24">
        <f>INDEX(Drivers!$C$7:$AG$22,$D7,H$3)</f>
        <v>149.08000000000001</v>
      </c>
      <c r="I7" s="24">
        <f>INDEX(Drivers!$C$7:$AG$22,$D7,I$3)</f>
        <v>142.83000000000001</v>
      </c>
      <c r="J7" s="24">
        <f>INDEX(Drivers!$C$7:$AG$22,$D7,J$3)</f>
        <v>213.08</v>
      </c>
      <c r="K7" s="24">
        <f>INDEX(Drivers!$C$7:$AG$22,$D7,K$3)</f>
        <v>335.89</v>
      </c>
      <c r="L7" s="24">
        <f>INDEX(Drivers!$C$7:$AG$22,$D7,L$3)</f>
        <v>554.19000000000005</v>
      </c>
      <c r="M7" s="200"/>
      <c r="N7" s="200">
        <f>G7</f>
        <v>145.44999999999999</v>
      </c>
      <c r="O7" s="200">
        <f t="shared" ref="O7:R9" si="0">I7</f>
        <v>142.83000000000001</v>
      </c>
      <c r="P7" s="200">
        <f t="shared" si="0"/>
        <v>213.08</v>
      </c>
      <c r="Q7" s="200">
        <f t="shared" si="0"/>
        <v>335.89</v>
      </c>
      <c r="R7" s="200">
        <f t="shared" si="0"/>
        <v>554.19000000000005</v>
      </c>
      <c r="T7" s="200">
        <f t="shared" ref="T7:X9" si="1">N7</f>
        <v>145.44999999999999</v>
      </c>
      <c r="U7" s="200">
        <f t="shared" si="1"/>
        <v>142.83000000000001</v>
      </c>
      <c r="V7" s="200">
        <f t="shared" si="1"/>
        <v>213.08</v>
      </c>
      <c r="W7" s="200">
        <f t="shared" si="1"/>
        <v>335.89</v>
      </c>
      <c r="X7" s="200">
        <f t="shared" si="1"/>
        <v>554.19000000000005</v>
      </c>
      <c r="BA7" s="206">
        <v>3</v>
      </c>
      <c r="BB7" s="206" t="s">
        <v>629</v>
      </c>
      <c r="BC7" s="206">
        <v>1</v>
      </c>
      <c r="BD7" s="277">
        <v>0.8</v>
      </c>
      <c r="BE7" s="277">
        <v>0.65</v>
      </c>
      <c r="BF7" s="215">
        <v>1</v>
      </c>
    </row>
    <row r="8" spans="1:58">
      <c r="A8" s="199" t="s">
        <v>16</v>
      </c>
      <c r="B8" s="200" t="s">
        <v>387</v>
      </c>
      <c r="C8" s="200" t="s">
        <v>68</v>
      </c>
      <c r="D8" s="199">
        <f>MATCH(B8,Drivers!$A$7:$A$22,0)</f>
        <v>7</v>
      </c>
      <c r="E8" s="200"/>
      <c r="F8" s="24">
        <f>INDEX(Drivers!$C$7:$AG$22,$D8,F$3)</f>
        <v>205.45</v>
      </c>
      <c r="G8" s="24">
        <f>INDEX(Drivers!$C$7:$AG$22,$D8,G$3)</f>
        <v>218.73</v>
      </c>
      <c r="H8" s="24">
        <f>INDEX(Drivers!$C$7:$AG$22,$D8,H$3)</f>
        <v>222.46</v>
      </c>
      <c r="I8" s="24">
        <f>INDEX(Drivers!$C$7:$AG$22,$D8,I$3)</f>
        <v>202.16</v>
      </c>
      <c r="J8" s="24">
        <f>INDEX(Drivers!$C$7:$AG$22,$D8,J$3)</f>
        <v>274.29000000000002</v>
      </c>
      <c r="K8" s="24">
        <f>INDEX(Drivers!$C$7:$AG$22,$D8,K$3)</f>
        <v>394.64</v>
      </c>
      <c r="L8" s="24">
        <f>INDEX(Drivers!$C$7:$AG$22,$D8,L$3)</f>
        <v>627.37</v>
      </c>
      <c r="M8" s="200"/>
      <c r="N8" s="200">
        <f>G8</f>
        <v>218.73</v>
      </c>
      <c r="O8" s="200">
        <f t="shared" si="0"/>
        <v>202.16</v>
      </c>
      <c r="P8" s="200">
        <f t="shared" si="0"/>
        <v>274.29000000000002</v>
      </c>
      <c r="Q8" s="200">
        <f t="shared" si="0"/>
        <v>394.64</v>
      </c>
      <c r="R8" s="200">
        <f t="shared" si="0"/>
        <v>627.37</v>
      </c>
      <c r="T8" s="200">
        <f t="shared" si="1"/>
        <v>218.73</v>
      </c>
      <c r="U8" s="200">
        <f t="shared" si="1"/>
        <v>202.16</v>
      </c>
      <c r="V8" s="200">
        <f t="shared" si="1"/>
        <v>274.29000000000002</v>
      </c>
      <c r="W8" s="200">
        <f t="shared" si="1"/>
        <v>394.64</v>
      </c>
      <c r="X8" s="200">
        <f t="shared" si="1"/>
        <v>627.37</v>
      </c>
    </row>
    <row r="9" spans="1:58">
      <c r="A9" s="199" t="s">
        <v>16</v>
      </c>
      <c r="B9" s="200" t="s">
        <v>388</v>
      </c>
      <c r="C9" s="200" t="s">
        <v>69</v>
      </c>
      <c r="D9" s="199">
        <f>MATCH(B9,Drivers!$A$7:$A$22,0)</f>
        <v>6</v>
      </c>
      <c r="E9" s="200"/>
      <c r="F9" s="24">
        <f>INDEX(Drivers!$C$7:$AG$22,$D9,F$3)</f>
        <v>13.35</v>
      </c>
      <c r="G9" s="24">
        <f>INDEX(Drivers!$C$7:$AG$22,$D9,G$3)</f>
        <v>14.36</v>
      </c>
      <c r="H9" s="24">
        <f>INDEX(Drivers!$C$7:$AG$22,$D9,H$3)</f>
        <v>14.53</v>
      </c>
      <c r="I9" s="24">
        <f>INDEX(Drivers!$C$7:$AG$22,$D9,I$3)</f>
        <v>12.76</v>
      </c>
      <c r="J9" s="24">
        <f>INDEX(Drivers!$C$7:$AG$22,$D9,J$3)</f>
        <v>18.34</v>
      </c>
      <c r="K9" s="24">
        <f>INDEX(Drivers!$C$7:$AG$22,$D9,K$3)</f>
        <v>25.83</v>
      </c>
      <c r="L9" s="24">
        <f>INDEX(Drivers!$C$7:$AG$22,$D9,L$3)</f>
        <v>40.78</v>
      </c>
      <c r="M9" s="200"/>
      <c r="N9" s="200">
        <f>G9</f>
        <v>14.36</v>
      </c>
      <c r="O9" s="200">
        <f t="shared" si="0"/>
        <v>12.76</v>
      </c>
      <c r="P9" s="200">
        <f t="shared" si="0"/>
        <v>18.34</v>
      </c>
      <c r="Q9" s="200">
        <f t="shared" si="0"/>
        <v>25.83</v>
      </c>
      <c r="R9" s="200">
        <f t="shared" si="0"/>
        <v>40.78</v>
      </c>
      <c r="T9" s="200">
        <f t="shared" si="1"/>
        <v>14.36</v>
      </c>
      <c r="U9" s="200">
        <f t="shared" si="1"/>
        <v>12.76</v>
      </c>
      <c r="V9" s="200">
        <f t="shared" si="1"/>
        <v>18.34</v>
      </c>
      <c r="W9" s="200">
        <f t="shared" si="1"/>
        <v>25.83</v>
      </c>
      <c r="X9" s="200">
        <f t="shared" si="1"/>
        <v>40.78</v>
      </c>
    </row>
    <row r="10" spans="1:58">
      <c r="A10" s="199" t="s">
        <v>16</v>
      </c>
      <c r="B10" s="200"/>
      <c r="C10" s="200"/>
      <c r="E10" s="200"/>
      <c r="F10" s="200"/>
      <c r="G10" s="200"/>
      <c r="H10" s="200"/>
      <c r="I10" s="200"/>
      <c r="J10" s="200"/>
      <c r="K10" s="200"/>
      <c r="L10" s="200"/>
      <c r="M10" s="200"/>
    </row>
    <row r="11" spans="1:58">
      <c r="A11" s="199" t="s">
        <v>16</v>
      </c>
      <c r="N11" s="5" t="s">
        <v>41</v>
      </c>
      <c r="T11" s="5" t="s">
        <v>197</v>
      </c>
    </row>
    <row r="12" spans="1:58" ht="15.75" thickBot="1">
      <c r="A12" s="199" t="s">
        <v>16</v>
      </c>
      <c r="B12" s="14" t="s">
        <v>444</v>
      </c>
      <c r="C12" s="14"/>
      <c r="D12" s="14"/>
      <c r="F12" s="199">
        <f t="shared" ref="F12:L12" si="2">F$4</f>
        <v>2012</v>
      </c>
      <c r="G12" s="199">
        <f t="shared" si="2"/>
        <v>2015</v>
      </c>
      <c r="H12" s="199">
        <f t="shared" si="2"/>
        <v>2017</v>
      </c>
      <c r="I12" s="199">
        <f t="shared" si="2"/>
        <v>2020</v>
      </c>
      <c r="J12" s="199">
        <f t="shared" si="2"/>
        <v>2030</v>
      </c>
      <c r="K12" s="199">
        <f t="shared" si="2"/>
        <v>2040</v>
      </c>
      <c r="L12" s="199">
        <f t="shared" si="2"/>
        <v>2050</v>
      </c>
      <c r="N12" s="7">
        <f>N$4</f>
        <v>2015</v>
      </c>
      <c r="O12" s="7">
        <f>O$4</f>
        <v>2020</v>
      </c>
      <c r="P12" s="7">
        <f>P$4</f>
        <v>2030</v>
      </c>
      <c r="Q12" s="7">
        <f>Q$4</f>
        <v>2040</v>
      </c>
      <c r="R12" s="7">
        <f>R$4</f>
        <v>2050</v>
      </c>
      <c r="T12" s="7">
        <f>N12</f>
        <v>2015</v>
      </c>
      <c r="U12" s="7">
        <f>O12</f>
        <v>2020</v>
      </c>
      <c r="V12" s="7">
        <f>P12</f>
        <v>2030</v>
      </c>
      <c r="W12" s="7">
        <f>Q12</f>
        <v>2040</v>
      </c>
      <c r="X12" s="7">
        <f>R12</f>
        <v>2050</v>
      </c>
    </row>
    <row r="13" spans="1:58">
      <c r="A13" s="199" t="s">
        <v>16</v>
      </c>
      <c r="B13" s="200" t="str">
        <f>ITEMS_TRA!C15</f>
        <v>TFLCV</v>
      </c>
      <c r="C13" s="200" t="str">
        <f>ITEMS_TRA!D15</f>
        <v>Transport Freight - LCV</v>
      </c>
      <c r="D13" s="200"/>
      <c r="F13" s="65">
        <v>0.8</v>
      </c>
      <c r="G13" s="65">
        <f t="shared" ref="G13:H25" si="3">F13</f>
        <v>0.8</v>
      </c>
      <c r="H13" s="65">
        <f t="shared" si="3"/>
        <v>0.8</v>
      </c>
      <c r="I13" s="65">
        <f>IF($D$4,U13,O13)</f>
        <v>0.8</v>
      </c>
      <c r="J13" s="65">
        <f t="shared" ref="J13:L25" si="4">IF($D$4,V13,P13)</f>
        <v>0.8</v>
      </c>
      <c r="K13" s="65">
        <f t="shared" si="4"/>
        <v>0.8</v>
      </c>
      <c r="L13" s="65">
        <f t="shared" si="4"/>
        <v>0.8</v>
      </c>
      <c r="N13" s="65">
        <f t="shared" ref="N13:R25" si="5">$G13</f>
        <v>0.8</v>
      </c>
      <c r="O13" s="65">
        <f t="shared" si="5"/>
        <v>0.8</v>
      </c>
      <c r="P13" s="65">
        <f t="shared" si="5"/>
        <v>0.8</v>
      </c>
      <c r="Q13" s="65">
        <f t="shared" si="5"/>
        <v>0.8</v>
      </c>
      <c r="R13" s="65">
        <f t="shared" si="5"/>
        <v>0.8</v>
      </c>
      <c r="S13" s="246"/>
      <c r="T13" s="65">
        <f t="shared" ref="T13:X25" si="6">$G13</f>
        <v>0.8</v>
      </c>
      <c r="U13" s="65">
        <f t="shared" si="6"/>
        <v>0.8</v>
      </c>
      <c r="V13" s="65">
        <f t="shared" si="6"/>
        <v>0.8</v>
      </c>
      <c r="W13" s="65">
        <f t="shared" si="6"/>
        <v>0.8</v>
      </c>
      <c r="X13" s="65">
        <f t="shared" si="6"/>
        <v>0.8</v>
      </c>
      <c r="Y13" s="246"/>
      <c r="Z13" s="246"/>
      <c r="AA13" s="246"/>
      <c r="AB13" s="246"/>
      <c r="AC13" s="246"/>
      <c r="AD13" s="246"/>
      <c r="AE13" s="246"/>
      <c r="AF13" s="246"/>
      <c r="AG13" s="246"/>
      <c r="AH13" s="246"/>
      <c r="AI13" s="246"/>
      <c r="AJ13" s="246"/>
      <c r="AK13" s="246"/>
      <c r="AL13" s="246"/>
      <c r="AM13" s="246"/>
      <c r="AN13" s="246"/>
      <c r="AO13" s="246"/>
      <c r="AP13" s="246"/>
      <c r="AQ13" s="246"/>
      <c r="AR13" s="246"/>
    </row>
    <row r="14" spans="1:58">
      <c r="A14" s="199" t="s">
        <v>16</v>
      </c>
      <c r="B14" s="200" t="str">
        <f>ITEMS_TRA!C16</f>
        <v>TFHCV1</v>
      </c>
      <c r="C14" s="200" t="str">
        <f>ITEMS_TRA!D16</f>
        <v>Transport Freight - HCV1</v>
      </c>
      <c r="D14" s="200"/>
      <c r="F14" s="65">
        <f>F13</f>
        <v>0.8</v>
      </c>
      <c r="G14" s="65">
        <f t="shared" si="3"/>
        <v>0.8</v>
      </c>
      <c r="H14" s="65">
        <f t="shared" si="3"/>
        <v>0.8</v>
      </c>
      <c r="I14" s="65">
        <f t="shared" ref="I14:I24" si="7">IF($D$4,U14,O14)</f>
        <v>0.8</v>
      </c>
      <c r="J14" s="65">
        <f t="shared" si="4"/>
        <v>0.8</v>
      </c>
      <c r="K14" s="65">
        <f t="shared" si="4"/>
        <v>0.8</v>
      </c>
      <c r="L14" s="65">
        <f t="shared" si="4"/>
        <v>0.8</v>
      </c>
      <c r="N14" s="65">
        <f t="shared" si="5"/>
        <v>0.8</v>
      </c>
      <c r="O14" s="65">
        <f t="shared" si="5"/>
        <v>0.8</v>
      </c>
      <c r="P14" s="65">
        <f t="shared" si="5"/>
        <v>0.8</v>
      </c>
      <c r="Q14" s="65">
        <f t="shared" si="5"/>
        <v>0.8</v>
      </c>
      <c r="R14" s="65">
        <f t="shared" si="5"/>
        <v>0.8</v>
      </c>
      <c r="S14" s="246"/>
      <c r="T14" s="65">
        <f t="shared" si="6"/>
        <v>0.8</v>
      </c>
      <c r="U14" s="65">
        <f t="shared" si="6"/>
        <v>0.8</v>
      </c>
      <c r="V14" s="65">
        <f t="shared" si="6"/>
        <v>0.8</v>
      </c>
      <c r="W14" s="65">
        <f t="shared" si="6"/>
        <v>0.8</v>
      </c>
      <c r="X14" s="65">
        <f t="shared" si="6"/>
        <v>0.8</v>
      </c>
      <c r="Y14" s="246"/>
      <c r="Z14" s="246"/>
      <c r="AA14" s="246"/>
      <c r="AB14" s="246"/>
      <c r="AC14" s="246"/>
      <c r="AD14" s="246"/>
      <c r="AE14" s="246"/>
      <c r="AF14" s="246"/>
      <c r="AG14" s="246"/>
      <c r="AH14" s="246"/>
      <c r="AI14" s="246"/>
      <c r="AJ14" s="246"/>
      <c r="AK14" s="246"/>
      <c r="AL14" s="246"/>
      <c r="AM14" s="246"/>
      <c r="AN14" s="246"/>
      <c r="AO14" s="246"/>
      <c r="AP14" s="246"/>
      <c r="AQ14" s="246"/>
      <c r="AR14" s="246"/>
    </row>
    <row r="15" spans="1:58">
      <c r="A15" s="199" t="s">
        <v>16</v>
      </c>
      <c r="B15" s="200" t="str">
        <f>ITEMS_TRA!C17</f>
        <v>TFHCV2</v>
      </c>
      <c r="C15" s="200" t="str">
        <f>ITEMS_TRA!D17</f>
        <v>Transport Freight - HCV2</v>
      </c>
      <c r="D15" s="200"/>
      <c r="F15" s="65">
        <f t="shared" ref="F15:F25" si="8">F14</f>
        <v>0.8</v>
      </c>
      <c r="G15" s="65">
        <f t="shared" si="3"/>
        <v>0.8</v>
      </c>
      <c r="H15" s="65">
        <f t="shared" si="3"/>
        <v>0.8</v>
      </c>
      <c r="I15" s="65">
        <f t="shared" si="7"/>
        <v>0.8</v>
      </c>
      <c r="J15" s="65">
        <f t="shared" si="4"/>
        <v>0.8</v>
      </c>
      <c r="K15" s="65">
        <f t="shared" si="4"/>
        <v>0.8</v>
      </c>
      <c r="L15" s="65">
        <f t="shared" si="4"/>
        <v>0.8</v>
      </c>
      <c r="N15" s="65">
        <f t="shared" si="5"/>
        <v>0.8</v>
      </c>
      <c r="O15" s="65">
        <f t="shared" si="5"/>
        <v>0.8</v>
      </c>
      <c r="P15" s="65">
        <f t="shared" si="5"/>
        <v>0.8</v>
      </c>
      <c r="Q15" s="65">
        <f t="shared" si="5"/>
        <v>0.8</v>
      </c>
      <c r="R15" s="65">
        <f t="shared" si="5"/>
        <v>0.8</v>
      </c>
      <c r="S15" s="246"/>
      <c r="T15" s="65">
        <f t="shared" si="6"/>
        <v>0.8</v>
      </c>
      <c r="U15" s="65">
        <f t="shared" si="6"/>
        <v>0.8</v>
      </c>
      <c r="V15" s="65">
        <f t="shared" si="6"/>
        <v>0.8</v>
      </c>
      <c r="W15" s="65">
        <f t="shared" si="6"/>
        <v>0.8</v>
      </c>
      <c r="X15" s="65">
        <f t="shared" si="6"/>
        <v>0.8</v>
      </c>
      <c r="Y15" s="246"/>
      <c r="Z15" s="246"/>
      <c r="AA15" s="246"/>
      <c r="AB15" s="246"/>
      <c r="AC15" s="246"/>
      <c r="AD15" s="246"/>
      <c r="AE15" s="246"/>
      <c r="AF15" s="246"/>
      <c r="AG15" s="246"/>
      <c r="AH15" s="246"/>
      <c r="AI15" s="246"/>
      <c r="AJ15" s="246"/>
      <c r="AK15" s="246"/>
      <c r="AL15" s="246"/>
      <c r="AM15" s="246"/>
      <c r="AN15" s="246"/>
      <c r="AO15" s="246"/>
      <c r="AP15" s="246"/>
      <c r="AQ15" s="246"/>
      <c r="AR15" s="246"/>
    </row>
    <row r="16" spans="1:58">
      <c r="A16" s="199" t="s">
        <v>16</v>
      </c>
      <c r="B16" s="200" t="str">
        <f>ITEMS_TRA!C18</f>
        <v>TFHCV3</v>
      </c>
      <c r="C16" s="200" t="str">
        <f>ITEMS_TRA!D18</f>
        <v>Transport Freight - HCV3</v>
      </c>
      <c r="D16" s="200"/>
      <c r="F16" s="65">
        <f t="shared" si="8"/>
        <v>0.8</v>
      </c>
      <c r="G16" s="65">
        <f t="shared" si="3"/>
        <v>0.8</v>
      </c>
      <c r="H16" s="65">
        <f t="shared" si="3"/>
        <v>0.8</v>
      </c>
      <c r="I16" s="65">
        <f t="shared" si="7"/>
        <v>0.8</v>
      </c>
      <c r="J16" s="65">
        <f t="shared" si="4"/>
        <v>0.8</v>
      </c>
      <c r="K16" s="65">
        <f t="shared" si="4"/>
        <v>0.8</v>
      </c>
      <c r="L16" s="65">
        <f t="shared" si="4"/>
        <v>0.8</v>
      </c>
      <c r="N16" s="65">
        <f t="shared" si="5"/>
        <v>0.8</v>
      </c>
      <c r="O16" s="65">
        <f t="shared" si="5"/>
        <v>0.8</v>
      </c>
      <c r="P16" s="65">
        <f t="shared" si="5"/>
        <v>0.8</v>
      </c>
      <c r="Q16" s="65">
        <f t="shared" si="5"/>
        <v>0.8</v>
      </c>
      <c r="R16" s="65">
        <f t="shared" si="5"/>
        <v>0.8</v>
      </c>
      <c r="S16" s="246"/>
      <c r="T16" s="65">
        <f t="shared" si="6"/>
        <v>0.8</v>
      </c>
      <c r="U16" s="65">
        <f t="shared" si="6"/>
        <v>0.8</v>
      </c>
      <c r="V16" s="65">
        <f t="shared" si="6"/>
        <v>0.8</v>
      </c>
      <c r="W16" s="65">
        <f t="shared" si="6"/>
        <v>0.8</v>
      </c>
      <c r="X16" s="65">
        <f t="shared" si="6"/>
        <v>0.8</v>
      </c>
      <c r="Y16" s="246"/>
      <c r="Z16" s="246"/>
      <c r="AA16" s="246"/>
      <c r="AB16" s="246"/>
      <c r="AC16" s="246"/>
      <c r="AD16" s="246"/>
      <c r="AE16" s="246"/>
      <c r="AF16" s="246"/>
      <c r="AG16" s="246"/>
      <c r="AH16" s="246"/>
      <c r="AI16" s="246"/>
      <c r="AJ16" s="246"/>
      <c r="AK16" s="246"/>
      <c r="AL16" s="246"/>
      <c r="AM16" s="246"/>
      <c r="AN16" s="246"/>
      <c r="AO16" s="246"/>
      <c r="AP16" s="246"/>
      <c r="AQ16" s="246"/>
      <c r="AR16" s="246"/>
    </row>
    <row r="17" spans="1:44">
      <c r="A17" s="199" t="s">
        <v>16</v>
      </c>
      <c r="B17" s="200" t="str">
        <f>ITEMS_TRA!C19</f>
        <v>TFHCV4</v>
      </c>
      <c r="C17" s="200" t="str">
        <f>ITEMS_TRA!D19</f>
        <v>Transport Freight - HCV4</v>
      </c>
      <c r="D17" s="200"/>
      <c r="F17" s="65">
        <f t="shared" si="8"/>
        <v>0.8</v>
      </c>
      <c r="G17" s="65">
        <f t="shared" si="3"/>
        <v>0.8</v>
      </c>
      <c r="H17" s="65">
        <f t="shared" si="3"/>
        <v>0.8</v>
      </c>
      <c r="I17" s="65">
        <f t="shared" si="7"/>
        <v>0.8</v>
      </c>
      <c r="J17" s="65">
        <f t="shared" si="4"/>
        <v>0.8</v>
      </c>
      <c r="K17" s="65">
        <f t="shared" si="4"/>
        <v>0.8</v>
      </c>
      <c r="L17" s="65">
        <f t="shared" si="4"/>
        <v>0.8</v>
      </c>
      <c r="N17" s="65">
        <f t="shared" si="5"/>
        <v>0.8</v>
      </c>
      <c r="O17" s="65">
        <f t="shared" si="5"/>
        <v>0.8</v>
      </c>
      <c r="P17" s="65">
        <f t="shared" si="5"/>
        <v>0.8</v>
      </c>
      <c r="Q17" s="65">
        <f t="shared" si="5"/>
        <v>0.8</v>
      </c>
      <c r="R17" s="65">
        <f t="shared" si="5"/>
        <v>0.8</v>
      </c>
      <c r="S17" s="246"/>
      <c r="T17" s="65">
        <f t="shared" si="6"/>
        <v>0.8</v>
      </c>
      <c r="U17" s="65">
        <f t="shared" si="6"/>
        <v>0.8</v>
      </c>
      <c r="V17" s="65">
        <f t="shared" si="6"/>
        <v>0.8</v>
      </c>
      <c r="W17" s="65">
        <f t="shared" si="6"/>
        <v>0.8</v>
      </c>
      <c r="X17" s="65">
        <f t="shared" si="6"/>
        <v>0.8</v>
      </c>
      <c r="Y17" s="246"/>
      <c r="Z17" s="246"/>
      <c r="AA17" s="246"/>
      <c r="AB17" s="246"/>
      <c r="AC17" s="246"/>
      <c r="AD17" s="246"/>
      <c r="AE17" s="246"/>
      <c r="AF17" s="246"/>
      <c r="AG17" s="246"/>
      <c r="AH17" s="246"/>
      <c r="AI17" s="246"/>
      <c r="AJ17" s="246"/>
      <c r="AK17" s="246"/>
      <c r="AL17" s="246"/>
      <c r="AM17" s="246"/>
      <c r="AN17" s="246"/>
      <c r="AO17" s="246"/>
      <c r="AP17" s="246"/>
      <c r="AQ17" s="246"/>
      <c r="AR17" s="246"/>
    </row>
    <row r="18" spans="1:44">
      <c r="A18" s="199" t="s">
        <v>16</v>
      </c>
      <c r="B18" s="200" t="str">
        <f>ITEMS_TRA!C20</f>
        <v>TFHCV5</v>
      </c>
      <c r="C18" s="200" t="str">
        <f>ITEMS_TRA!D20</f>
        <v>Transport Freight - HCV5</v>
      </c>
      <c r="D18" s="200"/>
      <c r="F18" s="65">
        <f t="shared" si="8"/>
        <v>0.8</v>
      </c>
      <c r="G18" s="65">
        <f t="shared" si="3"/>
        <v>0.8</v>
      </c>
      <c r="H18" s="65">
        <f t="shared" si="3"/>
        <v>0.8</v>
      </c>
      <c r="I18" s="65">
        <f t="shared" si="7"/>
        <v>0.8</v>
      </c>
      <c r="J18" s="65">
        <f t="shared" si="4"/>
        <v>0.8</v>
      </c>
      <c r="K18" s="65">
        <f t="shared" si="4"/>
        <v>0.8</v>
      </c>
      <c r="L18" s="65">
        <f t="shared" si="4"/>
        <v>0.8</v>
      </c>
      <c r="N18" s="65">
        <f t="shared" si="5"/>
        <v>0.8</v>
      </c>
      <c r="O18" s="65">
        <f t="shared" si="5"/>
        <v>0.8</v>
      </c>
      <c r="P18" s="65">
        <f t="shared" si="5"/>
        <v>0.8</v>
      </c>
      <c r="Q18" s="65">
        <f t="shared" si="5"/>
        <v>0.8</v>
      </c>
      <c r="R18" s="65">
        <f t="shared" si="5"/>
        <v>0.8</v>
      </c>
      <c r="S18" s="246"/>
      <c r="T18" s="65">
        <f t="shared" si="6"/>
        <v>0.8</v>
      </c>
      <c r="U18" s="65">
        <f t="shared" si="6"/>
        <v>0.8</v>
      </c>
      <c r="V18" s="65">
        <f t="shared" si="6"/>
        <v>0.8</v>
      </c>
      <c r="W18" s="65">
        <f t="shared" si="6"/>
        <v>0.8</v>
      </c>
      <c r="X18" s="65">
        <f t="shared" si="6"/>
        <v>0.8</v>
      </c>
      <c r="Y18" s="246"/>
      <c r="Z18" s="246"/>
      <c r="AA18" s="246"/>
      <c r="AB18" s="246"/>
      <c r="AC18" s="246"/>
      <c r="AD18" s="246"/>
      <c r="AE18" s="246"/>
      <c r="AF18" s="246"/>
      <c r="AG18" s="246"/>
      <c r="AH18" s="246"/>
      <c r="AI18" s="246"/>
      <c r="AJ18" s="246"/>
      <c r="AK18" s="246"/>
      <c r="AL18" s="246"/>
      <c r="AM18" s="246"/>
      <c r="AN18" s="246"/>
      <c r="AO18" s="246"/>
      <c r="AP18" s="246"/>
      <c r="AQ18" s="246"/>
      <c r="AR18" s="246"/>
    </row>
    <row r="19" spans="1:44">
      <c r="A19" s="199" t="s">
        <v>16</v>
      </c>
      <c r="B19" s="200" t="str">
        <f>ITEMS_TRA!C21</f>
        <v>TFHCV6</v>
      </c>
      <c r="C19" s="200" t="str">
        <f>ITEMS_TRA!D21</f>
        <v>Transport Freight - HCV6</v>
      </c>
      <c r="D19" s="200"/>
      <c r="F19" s="65">
        <f t="shared" si="8"/>
        <v>0.8</v>
      </c>
      <c r="G19" s="65">
        <f t="shared" si="3"/>
        <v>0.8</v>
      </c>
      <c r="H19" s="65">
        <f t="shared" si="3"/>
        <v>0.8</v>
      </c>
      <c r="I19" s="65">
        <f t="shared" si="7"/>
        <v>0.8</v>
      </c>
      <c r="J19" s="65">
        <f t="shared" si="4"/>
        <v>0.8</v>
      </c>
      <c r="K19" s="65">
        <f t="shared" si="4"/>
        <v>0.8</v>
      </c>
      <c r="L19" s="65">
        <f t="shared" si="4"/>
        <v>0.8</v>
      </c>
      <c r="N19" s="65">
        <f t="shared" si="5"/>
        <v>0.8</v>
      </c>
      <c r="O19" s="65">
        <f t="shared" si="5"/>
        <v>0.8</v>
      </c>
      <c r="P19" s="65">
        <f t="shared" si="5"/>
        <v>0.8</v>
      </c>
      <c r="Q19" s="65">
        <f t="shared" si="5"/>
        <v>0.8</v>
      </c>
      <c r="R19" s="65">
        <f t="shared" si="5"/>
        <v>0.8</v>
      </c>
      <c r="S19" s="246"/>
      <c r="T19" s="65">
        <f t="shared" si="6"/>
        <v>0.8</v>
      </c>
      <c r="U19" s="65">
        <f t="shared" si="6"/>
        <v>0.8</v>
      </c>
      <c r="V19" s="65">
        <f t="shared" si="6"/>
        <v>0.8</v>
      </c>
      <c r="W19" s="65">
        <f t="shared" si="6"/>
        <v>0.8</v>
      </c>
      <c r="X19" s="65">
        <f t="shared" si="6"/>
        <v>0.8</v>
      </c>
      <c r="Y19" s="246"/>
      <c r="Z19" s="246"/>
      <c r="AA19" s="246"/>
      <c r="AB19" s="246"/>
      <c r="AC19" s="246"/>
      <c r="AD19" s="246"/>
      <c r="AE19" s="246"/>
      <c r="AF19" s="246"/>
      <c r="AG19" s="246"/>
      <c r="AH19" s="246"/>
      <c r="AI19" s="246"/>
      <c r="AJ19" s="246"/>
      <c r="AK19" s="246"/>
      <c r="AL19" s="246"/>
      <c r="AM19" s="246"/>
      <c r="AN19" s="246"/>
      <c r="AO19" s="246"/>
      <c r="AP19" s="246"/>
      <c r="AQ19" s="246"/>
      <c r="AR19" s="246"/>
    </row>
    <row r="20" spans="1:44">
      <c r="A20" s="199" t="s">
        <v>16</v>
      </c>
      <c r="B20" s="200" t="str">
        <f>ITEMS_TRA!C22</f>
        <v>TFHCV7</v>
      </c>
      <c r="C20" s="200" t="str">
        <f>ITEMS_TRA!D22</f>
        <v>Transport Freight - HCV7</v>
      </c>
      <c r="D20" s="200"/>
      <c r="F20" s="65">
        <f t="shared" si="8"/>
        <v>0.8</v>
      </c>
      <c r="G20" s="65">
        <f t="shared" si="3"/>
        <v>0.8</v>
      </c>
      <c r="H20" s="65">
        <f t="shared" si="3"/>
        <v>0.8</v>
      </c>
      <c r="I20" s="65">
        <f t="shared" si="7"/>
        <v>0.8</v>
      </c>
      <c r="J20" s="65">
        <f t="shared" si="4"/>
        <v>0.8</v>
      </c>
      <c r="K20" s="65">
        <f t="shared" si="4"/>
        <v>0.8</v>
      </c>
      <c r="L20" s="65">
        <f t="shared" si="4"/>
        <v>0.8</v>
      </c>
      <c r="N20" s="65">
        <f t="shared" si="5"/>
        <v>0.8</v>
      </c>
      <c r="O20" s="65">
        <f t="shared" si="5"/>
        <v>0.8</v>
      </c>
      <c r="P20" s="65">
        <f t="shared" si="5"/>
        <v>0.8</v>
      </c>
      <c r="Q20" s="65">
        <f t="shared" si="5"/>
        <v>0.8</v>
      </c>
      <c r="R20" s="65">
        <f t="shared" si="5"/>
        <v>0.8</v>
      </c>
      <c r="S20" s="246"/>
      <c r="T20" s="65">
        <f t="shared" si="6"/>
        <v>0.8</v>
      </c>
      <c r="U20" s="65">
        <f t="shared" si="6"/>
        <v>0.8</v>
      </c>
      <c r="V20" s="65">
        <f t="shared" si="6"/>
        <v>0.8</v>
      </c>
      <c r="W20" s="65">
        <f t="shared" si="6"/>
        <v>0.8</v>
      </c>
      <c r="X20" s="65">
        <f t="shared" si="6"/>
        <v>0.8</v>
      </c>
      <c r="Y20" s="246"/>
      <c r="Z20" s="246"/>
      <c r="AA20" s="246"/>
      <c r="AB20" s="246"/>
      <c r="AC20" s="246"/>
      <c r="AD20" s="246"/>
      <c r="AE20" s="246"/>
      <c r="AF20" s="246"/>
      <c r="AG20" s="246"/>
      <c r="AH20" s="246"/>
      <c r="AI20" s="246"/>
      <c r="AJ20" s="246"/>
      <c r="AK20" s="246"/>
      <c r="AL20" s="246"/>
      <c r="AM20" s="246"/>
      <c r="AN20" s="246"/>
      <c r="AO20" s="246"/>
      <c r="AP20" s="246"/>
      <c r="AQ20" s="246"/>
      <c r="AR20" s="246"/>
    </row>
    <row r="21" spans="1:44">
      <c r="A21" s="199" t="s">
        <v>16</v>
      </c>
      <c r="B21" s="200" t="str">
        <f>ITEMS_TRA!C23</f>
        <v>TFHCV8</v>
      </c>
      <c r="C21" s="200" t="str">
        <f>ITEMS_TRA!D23</f>
        <v>Transport Freight - HCV8</v>
      </c>
      <c r="D21" s="200"/>
      <c r="F21" s="65">
        <f t="shared" si="8"/>
        <v>0.8</v>
      </c>
      <c r="G21" s="65">
        <f t="shared" si="3"/>
        <v>0.8</v>
      </c>
      <c r="H21" s="65">
        <f t="shared" si="3"/>
        <v>0.8</v>
      </c>
      <c r="I21" s="65">
        <f t="shared" si="7"/>
        <v>0.8</v>
      </c>
      <c r="J21" s="65">
        <f t="shared" si="4"/>
        <v>0.8</v>
      </c>
      <c r="K21" s="65">
        <f t="shared" si="4"/>
        <v>0.8</v>
      </c>
      <c r="L21" s="65">
        <f t="shared" si="4"/>
        <v>0.8</v>
      </c>
      <c r="N21" s="65">
        <f t="shared" si="5"/>
        <v>0.8</v>
      </c>
      <c r="O21" s="65">
        <f t="shared" si="5"/>
        <v>0.8</v>
      </c>
      <c r="P21" s="65">
        <f t="shared" si="5"/>
        <v>0.8</v>
      </c>
      <c r="Q21" s="65">
        <f t="shared" si="5"/>
        <v>0.8</v>
      </c>
      <c r="R21" s="65">
        <f t="shared" si="5"/>
        <v>0.8</v>
      </c>
      <c r="S21" s="246"/>
      <c r="T21" s="65">
        <f t="shared" si="6"/>
        <v>0.8</v>
      </c>
      <c r="U21" s="65">
        <f t="shared" si="6"/>
        <v>0.8</v>
      </c>
      <c r="V21" s="65">
        <f t="shared" si="6"/>
        <v>0.8</v>
      </c>
      <c r="W21" s="65">
        <f t="shared" si="6"/>
        <v>0.8</v>
      </c>
      <c r="X21" s="65">
        <f t="shared" si="6"/>
        <v>0.8</v>
      </c>
      <c r="Y21" s="246"/>
      <c r="Z21" s="246"/>
      <c r="AA21" s="246"/>
      <c r="AB21" s="246"/>
      <c r="AC21" s="246"/>
      <c r="AD21" s="246"/>
      <c r="AE21" s="246"/>
      <c r="AF21" s="246"/>
      <c r="AG21" s="246"/>
      <c r="AH21" s="246"/>
      <c r="AI21" s="246"/>
      <c r="AJ21" s="246"/>
      <c r="AK21" s="246"/>
      <c r="AL21" s="246"/>
      <c r="AM21" s="246"/>
      <c r="AN21" s="246"/>
      <c r="AO21" s="246"/>
      <c r="AP21" s="246"/>
      <c r="AQ21" s="246"/>
      <c r="AR21" s="246"/>
    </row>
    <row r="22" spans="1:44">
      <c r="A22" s="199" t="s">
        <v>16</v>
      </c>
      <c r="B22" s="200" t="str">
        <f>ITEMS_TRA!C24</f>
        <v>TFHCV9</v>
      </c>
      <c r="C22" s="200" t="str">
        <f>ITEMS_TRA!D24</f>
        <v>Transport Freight - HCV9</v>
      </c>
      <c r="D22" s="200"/>
      <c r="F22" s="65">
        <f t="shared" si="8"/>
        <v>0.8</v>
      </c>
      <c r="G22" s="65">
        <f t="shared" si="3"/>
        <v>0.8</v>
      </c>
      <c r="H22" s="65">
        <f t="shared" si="3"/>
        <v>0.8</v>
      </c>
      <c r="I22" s="65">
        <f t="shared" si="7"/>
        <v>0.8</v>
      </c>
      <c r="J22" s="65">
        <f t="shared" si="4"/>
        <v>0.8</v>
      </c>
      <c r="K22" s="65">
        <f t="shared" si="4"/>
        <v>0.8</v>
      </c>
      <c r="L22" s="65">
        <f t="shared" si="4"/>
        <v>0.8</v>
      </c>
      <c r="N22" s="65">
        <f t="shared" si="5"/>
        <v>0.8</v>
      </c>
      <c r="O22" s="47">
        <f t="shared" ref="O22:Q25" si="9">N22</f>
        <v>0.8</v>
      </c>
      <c r="P22" s="47">
        <f t="shared" si="9"/>
        <v>0.8</v>
      </c>
      <c r="Q22" s="47">
        <f t="shared" si="9"/>
        <v>0.8</v>
      </c>
      <c r="R22" s="65">
        <f t="shared" si="5"/>
        <v>0.8</v>
      </c>
      <c r="S22" s="246"/>
      <c r="T22" s="65">
        <f t="shared" si="6"/>
        <v>0.8</v>
      </c>
      <c r="U22" s="47">
        <f t="shared" ref="U22:W25" si="10">T22</f>
        <v>0.8</v>
      </c>
      <c r="V22" s="47">
        <f t="shared" si="10"/>
        <v>0.8</v>
      </c>
      <c r="W22" s="47">
        <f t="shared" si="10"/>
        <v>0.8</v>
      </c>
      <c r="X22" s="65">
        <f t="shared" si="6"/>
        <v>0.8</v>
      </c>
      <c r="Y22" s="246"/>
      <c r="Z22" s="246"/>
      <c r="AA22" s="246"/>
      <c r="AB22" s="246"/>
      <c r="AC22" s="246"/>
      <c r="AD22" s="246"/>
      <c r="AE22" s="246"/>
      <c r="AF22" s="246"/>
      <c r="AG22" s="246"/>
      <c r="AH22" s="246"/>
      <c r="AI22" s="246"/>
      <c r="AJ22" s="246"/>
      <c r="AK22" s="246"/>
      <c r="AL22" s="246"/>
      <c r="AM22" s="246"/>
      <c r="AN22" s="246"/>
      <c r="AO22" s="246"/>
      <c r="AP22" s="246"/>
      <c r="AQ22" s="246"/>
      <c r="AR22" s="246"/>
    </row>
    <row r="23" spans="1:44">
      <c r="A23" s="199" t="s">
        <v>16</v>
      </c>
      <c r="B23" s="200" t="str">
        <f>ITEMS_TRA!C25</f>
        <v>TFRCO</v>
      </c>
      <c r="C23" s="200" t="str">
        <f>ITEMS_TRA!D25</f>
        <v>Transport Freight - Rail Corridor</v>
      </c>
      <c r="D23" s="200"/>
      <c r="F23" s="65">
        <f t="shared" si="8"/>
        <v>0.8</v>
      </c>
      <c r="G23" s="65">
        <f t="shared" si="3"/>
        <v>0.8</v>
      </c>
      <c r="H23" s="65">
        <f t="shared" si="3"/>
        <v>0.8</v>
      </c>
      <c r="I23" s="65">
        <f t="shared" si="7"/>
        <v>0.8</v>
      </c>
      <c r="J23" s="65">
        <f t="shared" si="4"/>
        <v>0.8</v>
      </c>
      <c r="K23" s="65">
        <f t="shared" si="4"/>
        <v>0.8</v>
      </c>
      <c r="L23" s="65">
        <f t="shared" si="4"/>
        <v>0.8</v>
      </c>
      <c r="N23" s="65">
        <f t="shared" si="5"/>
        <v>0.8</v>
      </c>
      <c r="O23" s="47">
        <f t="shared" si="9"/>
        <v>0.8</v>
      </c>
      <c r="P23" s="47">
        <f t="shared" si="9"/>
        <v>0.8</v>
      </c>
      <c r="Q23" s="47">
        <f t="shared" si="9"/>
        <v>0.8</v>
      </c>
      <c r="R23" s="65">
        <f t="shared" si="5"/>
        <v>0.8</v>
      </c>
      <c r="S23" s="246"/>
      <c r="T23" s="65">
        <f t="shared" si="6"/>
        <v>0.8</v>
      </c>
      <c r="U23" s="47">
        <f t="shared" si="10"/>
        <v>0.8</v>
      </c>
      <c r="V23" s="47">
        <f t="shared" si="10"/>
        <v>0.8</v>
      </c>
      <c r="W23" s="47">
        <f t="shared" si="10"/>
        <v>0.8</v>
      </c>
      <c r="X23" s="65">
        <f t="shared" si="6"/>
        <v>0.8</v>
      </c>
      <c r="Y23" s="246"/>
      <c r="Z23" s="246"/>
      <c r="AA23" s="246"/>
      <c r="AB23" s="246"/>
      <c r="AC23" s="246"/>
      <c r="AD23" s="246"/>
      <c r="AE23" s="246"/>
      <c r="AF23" s="246"/>
      <c r="AG23" s="246"/>
      <c r="AH23" s="246"/>
      <c r="AI23" s="246"/>
      <c r="AJ23" s="246"/>
      <c r="AK23" s="246"/>
      <c r="AL23" s="246"/>
      <c r="AM23" s="246"/>
      <c r="AN23" s="246"/>
      <c r="AO23" s="246"/>
      <c r="AP23" s="246"/>
      <c r="AQ23" s="246"/>
      <c r="AR23" s="246"/>
    </row>
    <row r="24" spans="1:44">
      <c r="A24" s="199" t="s">
        <v>16</v>
      </c>
      <c r="B24" s="200" t="str">
        <f>ITEMS_TRA!C26</f>
        <v>TFROT</v>
      </c>
      <c r="C24" s="200" t="str">
        <f>ITEMS_TRA!D26</f>
        <v>Transport Freight - Rail Other</v>
      </c>
      <c r="F24" s="65">
        <f t="shared" si="8"/>
        <v>0.8</v>
      </c>
      <c r="G24" s="65">
        <f t="shared" si="3"/>
        <v>0.8</v>
      </c>
      <c r="H24" s="65">
        <f t="shared" si="3"/>
        <v>0.8</v>
      </c>
      <c r="I24" s="65">
        <f t="shared" si="7"/>
        <v>0.8</v>
      </c>
      <c r="J24" s="65">
        <f t="shared" si="4"/>
        <v>0.8</v>
      </c>
      <c r="K24" s="65">
        <f t="shared" si="4"/>
        <v>0.8</v>
      </c>
      <c r="L24" s="65">
        <f t="shared" si="4"/>
        <v>0.8</v>
      </c>
      <c r="N24" s="65">
        <f t="shared" si="5"/>
        <v>0.8</v>
      </c>
      <c r="O24" s="47">
        <f t="shared" si="9"/>
        <v>0.8</v>
      </c>
      <c r="P24" s="47">
        <f t="shared" si="9"/>
        <v>0.8</v>
      </c>
      <c r="Q24" s="47">
        <f t="shared" si="9"/>
        <v>0.8</v>
      </c>
      <c r="R24" s="65">
        <f t="shared" si="5"/>
        <v>0.8</v>
      </c>
      <c r="S24" s="246"/>
      <c r="T24" s="65">
        <f t="shared" si="6"/>
        <v>0.8</v>
      </c>
      <c r="U24" s="47">
        <f t="shared" si="10"/>
        <v>0.8</v>
      </c>
      <c r="V24" s="47">
        <f t="shared" si="10"/>
        <v>0.8</v>
      </c>
      <c r="W24" s="47">
        <f t="shared" si="10"/>
        <v>0.8</v>
      </c>
      <c r="X24" s="65">
        <f t="shared" si="6"/>
        <v>0.8</v>
      </c>
      <c r="Y24" s="246"/>
      <c r="Z24" s="246"/>
      <c r="AA24" s="246"/>
      <c r="AB24" s="246"/>
      <c r="AC24" s="246"/>
      <c r="AD24" s="246"/>
      <c r="AE24" s="246"/>
      <c r="AF24" s="246"/>
      <c r="AG24" s="246"/>
      <c r="AH24" s="246"/>
      <c r="AI24" s="246"/>
      <c r="AJ24" s="246"/>
      <c r="AK24" s="246"/>
      <c r="AL24" s="246"/>
      <c r="AM24" s="246"/>
      <c r="AN24" s="246"/>
      <c r="AO24" s="246"/>
      <c r="AP24" s="246"/>
      <c r="AQ24" s="246"/>
      <c r="AR24" s="246"/>
    </row>
    <row r="25" spans="1:44">
      <c r="A25" s="199" t="s">
        <v>16</v>
      </c>
      <c r="B25" s="200" t="str">
        <f>ITEMS_TRA!C27</f>
        <v>TFREX</v>
      </c>
      <c r="C25" s="200" t="str">
        <f>ITEMS_TRA!D27</f>
        <v>Transport Freight - Rail Export (bulk mining)</v>
      </c>
      <c r="F25" s="65">
        <f t="shared" si="8"/>
        <v>0.8</v>
      </c>
      <c r="G25" s="65">
        <f t="shared" si="3"/>
        <v>0.8</v>
      </c>
      <c r="H25" s="65">
        <f t="shared" si="3"/>
        <v>0.8</v>
      </c>
      <c r="I25" s="65">
        <f>IF($D$4,U25,O25)</f>
        <v>0.8</v>
      </c>
      <c r="J25" s="65">
        <f t="shared" si="4"/>
        <v>0.8</v>
      </c>
      <c r="K25" s="65">
        <f t="shared" si="4"/>
        <v>0.8</v>
      </c>
      <c r="L25" s="65">
        <f t="shared" si="4"/>
        <v>0.8</v>
      </c>
      <c r="N25" s="65">
        <f t="shared" si="5"/>
        <v>0.8</v>
      </c>
      <c r="O25" s="47">
        <f t="shared" si="9"/>
        <v>0.8</v>
      </c>
      <c r="P25" s="47">
        <f t="shared" si="9"/>
        <v>0.8</v>
      </c>
      <c r="Q25" s="47">
        <f t="shared" si="9"/>
        <v>0.8</v>
      </c>
      <c r="R25" s="65">
        <f t="shared" si="5"/>
        <v>0.8</v>
      </c>
      <c r="S25" s="246"/>
      <c r="T25" s="65">
        <f t="shared" si="6"/>
        <v>0.8</v>
      </c>
      <c r="U25" s="47">
        <f t="shared" si="10"/>
        <v>0.8</v>
      </c>
      <c r="V25" s="47">
        <f t="shared" si="10"/>
        <v>0.8</v>
      </c>
      <c r="W25" s="47">
        <f t="shared" si="10"/>
        <v>0.8</v>
      </c>
      <c r="X25" s="65">
        <f t="shared" si="6"/>
        <v>0.8</v>
      </c>
      <c r="Y25" s="246"/>
      <c r="Z25" s="246"/>
      <c r="AA25" s="246"/>
      <c r="AB25" s="246"/>
      <c r="AC25" s="246"/>
      <c r="AD25" s="246"/>
      <c r="AE25" s="246"/>
      <c r="AF25" s="246"/>
      <c r="AG25" s="246"/>
      <c r="AH25" s="246"/>
      <c r="AI25" s="246"/>
      <c r="AJ25" s="246"/>
      <c r="AK25" s="246"/>
      <c r="AL25" s="246"/>
      <c r="AM25" s="246"/>
      <c r="AN25" s="246"/>
      <c r="AO25" s="246"/>
      <c r="AP25" s="246"/>
      <c r="AQ25" s="246"/>
      <c r="AR25" s="246"/>
    </row>
    <row r="26" spans="1:44" ht="15.75" thickBot="1">
      <c r="A26" s="199" t="s">
        <v>16</v>
      </c>
      <c r="B26" s="200"/>
      <c r="C26" s="200"/>
      <c r="N26" s="200"/>
      <c r="O26" s="200"/>
      <c r="P26" s="200"/>
      <c r="Q26" s="200"/>
      <c r="R26" s="200"/>
      <c r="S26" s="200"/>
      <c r="T26" s="200"/>
      <c r="U26" s="200"/>
      <c r="V26" s="276">
        <v>2030</v>
      </c>
      <c r="W26" s="276">
        <v>2050</v>
      </c>
      <c r="X26" s="200"/>
      <c r="Y26" s="200"/>
      <c r="Z26" s="200"/>
      <c r="AA26" s="200"/>
      <c r="AB26" s="200"/>
      <c r="AC26" s="200"/>
      <c r="AD26" s="200"/>
      <c r="AE26" s="200"/>
      <c r="AF26" s="200"/>
      <c r="AG26" s="200"/>
      <c r="AH26" s="200"/>
      <c r="AI26" s="200"/>
      <c r="AJ26" s="200"/>
      <c r="AK26" s="200"/>
      <c r="AL26" s="200"/>
      <c r="AM26" s="200"/>
      <c r="AN26" s="200"/>
      <c r="AO26" s="200"/>
      <c r="AP26" s="200"/>
      <c r="AQ26" s="200"/>
      <c r="AR26" s="200"/>
    </row>
    <row r="27" spans="1:44" ht="15.75" thickBot="1">
      <c r="A27" s="199" t="s">
        <v>16</v>
      </c>
      <c r="B27" s="14" t="s">
        <v>153</v>
      </c>
      <c r="C27" s="14"/>
      <c r="V27" s="196">
        <f>INDEX($BD$4:$BD$7,MATCH($D$3,$BA$4:$BA$7,0))</f>
        <v>0.92</v>
      </c>
      <c r="W27" s="196">
        <f>INDEX($BE$4:$BE$7,MATCH($D$3,$BA$4:$BA$7,0))</f>
        <v>0.93</v>
      </c>
    </row>
    <row r="28" spans="1:44">
      <c r="A28" s="199" t="s">
        <v>16</v>
      </c>
      <c r="B28" s="200" t="str">
        <f>B15</f>
        <v>TFHCV2</v>
      </c>
      <c r="C28" s="200" t="str">
        <f>C15</f>
        <v>Transport Freight - HCV2</v>
      </c>
      <c r="D28" s="199" t="s">
        <v>48</v>
      </c>
      <c r="F28" s="247">
        <f>F51/F$60</f>
        <v>9.4676612498750534E-3</v>
      </c>
      <c r="G28" s="66">
        <f t="shared" ref="G28:H35" si="11">F28</f>
        <v>9.4676612498750534E-3</v>
      </c>
      <c r="H28" s="66">
        <f t="shared" si="11"/>
        <v>9.4676612498750534E-3</v>
      </c>
      <c r="I28" s="66">
        <f>IF($D$4,U28,O28)</f>
        <v>9.4676612498750534E-3</v>
      </c>
      <c r="J28" s="66">
        <f>IF($D$4,V28,P28)</f>
        <v>8.71024834988505E-3</v>
      </c>
      <c r="K28" s="66">
        <f>IF($D$4,W28,Q28)</f>
        <v>8.1005309653930969E-3</v>
      </c>
      <c r="L28" s="66">
        <f>IF($D$4,X28,R28)</f>
        <v>7.5334937978155806E-3</v>
      </c>
      <c r="N28" s="248">
        <f>$G28</f>
        <v>9.4676612498750534E-3</v>
      </c>
      <c r="O28" s="35">
        <f>N28</f>
        <v>9.4676612498750534E-3</v>
      </c>
      <c r="P28" s="35">
        <f>O28</f>
        <v>9.4676612498750534E-3</v>
      </c>
      <c r="Q28" s="35">
        <f>P28</f>
        <v>9.4676612498750534E-3</v>
      </c>
      <c r="R28" s="35">
        <f>P28</f>
        <v>9.4676612498750534E-3</v>
      </c>
      <c r="S28" s="249"/>
      <c r="T28" s="248">
        <f>$G28</f>
        <v>9.4676612498750534E-3</v>
      </c>
      <c r="U28" s="278">
        <f>O28</f>
        <v>9.4676612498750534E-3</v>
      </c>
      <c r="V28" s="278">
        <f t="shared" ref="V28:V35" si="12">IF(INDEX($BF$4:$BF$7,MATCH($D$3,$BA$4:$BA$7,0)),U28*$V$27,U28)</f>
        <v>8.71024834988505E-3</v>
      </c>
      <c r="W28" s="278">
        <f t="shared" ref="W28:X35" si="13">IF(INDEX($BF$4:$BF$7,MATCH($D$3,$BA$4:$BA$7,0)),V28*$W$27,V28)</f>
        <v>8.1005309653930969E-3</v>
      </c>
      <c r="X28" s="79">
        <f t="shared" si="13"/>
        <v>7.5334937978155806E-3</v>
      </c>
      <c r="Y28" s="249"/>
      <c r="Z28" s="249"/>
      <c r="AA28" s="249"/>
      <c r="AB28" s="249"/>
      <c r="AC28" s="249"/>
      <c r="AD28" s="249"/>
      <c r="AE28" s="249"/>
      <c r="AF28" s="249"/>
      <c r="AG28" s="249"/>
      <c r="AH28" s="249"/>
      <c r="AI28" s="249"/>
      <c r="AJ28" s="249"/>
      <c r="AK28" s="249"/>
      <c r="AL28" s="249"/>
      <c r="AM28" s="249"/>
      <c r="AN28" s="249"/>
      <c r="AO28" s="249"/>
      <c r="AP28" s="249"/>
      <c r="AQ28" s="249"/>
      <c r="AR28" s="249"/>
    </row>
    <row r="29" spans="1:44">
      <c r="A29" s="199" t="s">
        <v>16</v>
      </c>
      <c r="B29" s="200" t="str">
        <f t="shared" ref="B29:C35" si="14">B16</f>
        <v>TFHCV3</v>
      </c>
      <c r="C29" s="200" t="str">
        <f t="shared" si="14"/>
        <v>Transport Freight - HCV3</v>
      </c>
      <c r="F29" s="247">
        <f>F52/F$60</f>
        <v>7.8489485135980169E-2</v>
      </c>
      <c r="G29" s="66">
        <f t="shared" si="11"/>
        <v>7.8489485135980169E-2</v>
      </c>
      <c r="H29" s="66">
        <f t="shared" si="11"/>
        <v>7.8489485135980169E-2</v>
      </c>
      <c r="I29" s="66">
        <f t="shared" ref="I29:L35" si="15">IF($D$4,U29,O29)</f>
        <v>7.8489485135980169E-2</v>
      </c>
      <c r="J29" s="66">
        <f t="shared" si="15"/>
        <v>7.2210326325101756E-2</v>
      </c>
      <c r="K29" s="66">
        <f t="shared" si="15"/>
        <v>6.7155603482344631E-2</v>
      </c>
      <c r="L29" s="66">
        <f t="shared" si="15"/>
        <v>6.2454711238580513E-2</v>
      </c>
      <c r="N29" s="248">
        <f t="shared" ref="N29:N35" si="16">$G29</f>
        <v>7.8489485135980169E-2</v>
      </c>
      <c r="O29" s="35">
        <f t="shared" ref="O29:Q35" si="17">N29</f>
        <v>7.8489485135980169E-2</v>
      </c>
      <c r="P29" s="35">
        <f t="shared" si="17"/>
        <v>7.8489485135980169E-2</v>
      </c>
      <c r="Q29" s="35">
        <f t="shared" si="17"/>
        <v>7.8489485135980169E-2</v>
      </c>
      <c r="R29" s="35">
        <f t="shared" ref="R29:R35" si="18">P29</f>
        <v>7.8489485135980169E-2</v>
      </c>
      <c r="S29" s="249"/>
      <c r="T29" s="248">
        <f t="shared" ref="T29:T35" si="19">$G29</f>
        <v>7.8489485135980169E-2</v>
      </c>
      <c r="U29" s="77">
        <f t="shared" ref="U29:U35" si="20">O29</f>
        <v>7.8489485135980169E-2</v>
      </c>
      <c r="V29" s="77">
        <f t="shared" si="12"/>
        <v>7.2210326325101756E-2</v>
      </c>
      <c r="W29" s="278">
        <f t="shared" si="13"/>
        <v>6.7155603482344631E-2</v>
      </c>
      <c r="X29" s="79">
        <f t="shared" si="13"/>
        <v>6.2454711238580513E-2</v>
      </c>
      <c r="Y29" s="249"/>
      <c r="Z29" s="249"/>
      <c r="AA29" s="249"/>
      <c r="AB29" s="249"/>
      <c r="AC29" s="249"/>
      <c r="AD29" s="249"/>
      <c r="AE29" s="249"/>
      <c r="AF29" s="249"/>
      <c r="AG29" s="249"/>
      <c r="AH29" s="249"/>
      <c r="AI29" s="249"/>
      <c r="AJ29" s="249"/>
      <c r="AK29" s="249"/>
      <c r="AL29" s="249"/>
      <c r="AM29" s="249"/>
      <c r="AN29" s="249"/>
      <c r="AO29" s="249"/>
      <c r="AP29" s="249"/>
      <c r="AQ29" s="249"/>
      <c r="AR29" s="249"/>
    </row>
    <row r="30" spans="1:44">
      <c r="A30" s="199" t="s">
        <v>16</v>
      </c>
      <c r="B30" s="200" t="str">
        <f t="shared" si="14"/>
        <v>TFHCV4</v>
      </c>
      <c r="C30" s="200" t="str">
        <f t="shared" si="14"/>
        <v>Transport Freight - HCV4</v>
      </c>
      <c r="F30" s="247">
        <f t="shared" ref="F30:F35" si="21">F53/F$60</f>
        <v>2.6108291894949322E-2</v>
      </c>
      <c r="G30" s="66">
        <f t="shared" si="11"/>
        <v>2.6108291894949322E-2</v>
      </c>
      <c r="H30" s="66">
        <f t="shared" si="11"/>
        <v>2.6108291894949322E-2</v>
      </c>
      <c r="I30" s="66">
        <f t="shared" si="15"/>
        <v>2.6108291894949322E-2</v>
      </c>
      <c r="J30" s="66">
        <f t="shared" si="15"/>
        <v>2.4019628543353377E-2</v>
      </c>
      <c r="K30" s="66">
        <f t="shared" si="15"/>
        <v>2.2338254545318643E-2</v>
      </c>
      <c r="L30" s="66">
        <f t="shared" si="15"/>
        <v>2.0774576727146339E-2</v>
      </c>
      <c r="N30" s="248">
        <f t="shared" si="16"/>
        <v>2.6108291894949322E-2</v>
      </c>
      <c r="O30" s="35">
        <f t="shared" si="17"/>
        <v>2.6108291894949322E-2</v>
      </c>
      <c r="P30" s="35">
        <f t="shared" si="17"/>
        <v>2.6108291894949322E-2</v>
      </c>
      <c r="Q30" s="35">
        <f t="shared" si="17"/>
        <v>2.6108291894949322E-2</v>
      </c>
      <c r="R30" s="35">
        <f t="shared" si="18"/>
        <v>2.6108291894949322E-2</v>
      </c>
      <c r="S30" s="249"/>
      <c r="T30" s="248">
        <f t="shared" si="19"/>
        <v>2.6108291894949322E-2</v>
      </c>
      <c r="U30" s="77">
        <f t="shared" si="20"/>
        <v>2.6108291894949322E-2</v>
      </c>
      <c r="V30" s="77">
        <f t="shared" si="12"/>
        <v>2.4019628543353377E-2</v>
      </c>
      <c r="W30" s="278">
        <f t="shared" si="13"/>
        <v>2.2338254545318643E-2</v>
      </c>
      <c r="X30" s="79">
        <f t="shared" si="13"/>
        <v>2.0774576727146339E-2</v>
      </c>
      <c r="Y30" s="249"/>
      <c r="Z30" s="249"/>
      <c r="AA30" s="249"/>
      <c r="AB30" s="249"/>
      <c r="AC30" s="249"/>
      <c r="AD30" s="249"/>
      <c r="AE30" s="249"/>
      <c r="AF30" s="249"/>
      <c r="AG30" s="249"/>
      <c r="AH30" s="249"/>
      <c r="AI30" s="249"/>
      <c r="AJ30" s="249"/>
      <c r="AK30" s="249"/>
      <c r="AL30" s="249"/>
      <c r="AM30" s="249"/>
      <c r="AN30" s="249"/>
      <c r="AO30" s="249"/>
      <c r="AP30" s="249"/>
      <c r="AQ30" s="249"/>
      <c r="AR30" s="249"/>
    </row>
    <row r="31" spans="1:44">
      <c r="A31" s="199" t="s">
        <v>16</v>
      </c>
      <c r="B31" s="200" t="str">
        <f t="shared" si="14"/>
        <v>TFHCV5</v>
      </c>
      <c r="C31" s="200" t="str">
        <f t="shared" si="14"/>
        <v>Transport Freight - HCV5</v>
      </c>
      <c r="F31" s="247">
        <f t="shared" si="21"/>
        <v>1.7199691913336531E-2</v>
      </c>
      <c r="G31" s="66">
        <f t="shared" si="11"/>
        <v>1.7199691913336531E-2</v>
      </c>
      <c r="H31" s="66">
        <f t="shared" si="11"/>
        <v>1.7199691913336531E-2</v>
      </c>
      <c r="I31" s="66">
        <f t="shared" si="15"/>
        <v>1.7199691913336531E-2</v>
      </c>
      <c r="J31" s="66">
        <f t="shared" si="15"/>
        <v>1.582371656026961E-2</v>
      </c>
      <c r="K31" s="66">
        <f t="shared" si="15"/>
        <v>1.4716056401050738E-2</v>
      </c>
      <c r="L31" s="66">
        <f t="shared" si="15"/>
        <v>1.3685932452977187E-2</v>
      </c>
      <c r="N31" s="248">
        <f t="shared" si="16"/>
        <v>1.7199691913336531E-2</v>
      </c>
      <c r="O31" s="35">
        <f t="shared" si="17"/>
        <v>1.7199691913336531E-2</v>
      </c>
      <c r="P31" s="35">
        <f t="shared" si="17"/>
        <v>1.7199691913336531E-2</v>
      </c>
      <c r="Q31" s="35">
        <f t="shared" si="17"/>
        <v>1.7199691913336531E-2</v>
      </c>
      <c r="R31" s="35">
        <f t="shared" si="18"/>
        <v>1.7199691913336531E-2</v>
      </c>
      <c r="S31" s="249"/>
      <c r="T31" s="248">
        <f t="shared" si="19"/>
        <v>1.7199691913336531E-2</v>
      </c>
      <c r="U31" s="77">
        <f t="shared" si="20"/>
        <v>1.7199691913336531E-2</v>
      </c>
      <c r="V31" s="77">
        <f t="shared" si="12"/>
        <v>1.582371656026961E-2</v>
      </c>
      <c r="W31" s="278">
        <f t="shared" si="13"/>
        <v>1.4716056401050738E-2</v>
      </c>
      <c r="X31" s="79">
        <f t="shared" si="13"/>
        <v>1.3685932452977187E-2</v>
      </c>
      <c r="Y31" s="249"/>
      <c r="Z31" s="249"/>
      <c r="AA31" s="249"/>
      <c r="AB31" s="249"/>
      <c r="AC31" s="249"/>
      <c r="AD31" s="249"/>
      <c r="AE31" s="249"/>
      <c r="AF31" s="249"/>
      <c r="AG31" s="249"/>
      <c r="AH31" s="249"/>
      <c r="AI31" s="249"/>
      <c r="AJ31" s="249"/>
      <c r="AK31" s="249"/>
      <c r="AL31" s="249"/>
      <c r="AM31" s="249"/>
      <c r="AN31" s="249"/>
      <c r="AO31" s="249"/>
      <c r="AP31" s="249"/>
      <c r="AQ31" s="249"/>
      <c r="AR31" s="249"/>
    </row>
    <row r="32" spans="1:44">
      <c r="A32" s="199" t="s">
        <v>16</v>
      </c>
      <c r="B32" s="200" t="str">
        <f t="shared" si="14"/>
        <v>TFHCV6</v>
      </c>
      <c r="C32" s="200" t="str">
        <f t="shared" si="14"/>
        <v>Transport Freight - HCV6</v>
      </c>
      <c r="F32" s="247">
        <f t="shared" si="21"/>
        <v>0.56836281793433707</v>
      </c>
      <c r="G32" s="66">
        <f t="shared" si="11"/>
        <v>0.56836281793433707</v>
      </c>
      <c r="H32" s="66">
        <f t="shared" si="11"/>
        <v>0.56836281793433707</v>
      </c>
      <c r="I32" s="66">
        <f t="shared" si="15"/>
        <v>0.56836281793433707</v>
      </c>
      <c r="J32" s="66">
        <f t="shared" si="15"/>
        <v>0.52289379249959012</v>
      </c>
      <c r="K32" s="66">
        <f t="shared" si="15"/>
        <v>0.48629122702461886</v>
      </c>
      <c r="L32" s="66">
        <f t="shared" si="15"/>
        <v>0.45225084113289554</v>
      </c>
      <c r="N32" s="248">
        <f t="shared" si="16"/>
        <v>0.56836281793433707</v>
      </c>
      <c r="O32" s="35">
        <f t="shared" si="17"/>
        <v>0.56836281793433707</v>
      </c>
      <c r="P32" s="35">
        <f t="shared" si="17"/>
        <v>0.56836281793433707</v>
      </c>
      <c r="Q32" s="35">
        <f t="shared" si="17"/>
        <v>0.56836281793433707</v>
      </c>
      <c r="R32" s="35">
        <f t="shared" si="18"/>
        <v>0.56836281793433707</v>
      </c>
      <c r="S32" s="249"/>
      <c r="T32" s="248">
        <f t="shared" si="19"/>
        <v>0.56836281793433707</v>
      </c>
      <c r="U32" s="77">
        <f t="shared" si="20"/>
        <v>0.56836281793433707</v>
      </c>
      <c r="V32" s="77">
        <f t="shared" si="12"/>
        <v>0.52289379249959012</v>
      </c>
      <c r="W32" s="278">
        <f t="shared" si="13"/>
        <v>0.48629122702461886</v>
      </c>
      <c r="X32" s="79">
        <f t="shared" si="13"/>
        <v>0.45225084113289554</v>
      </c>
      <c r="Y32" s="249"/>
      <c r="Z32" s="249"/>
      <c r="AA32" s="249"/>
      <c r="AB32" s="249"/>
      <c r="AC32" s="249"/>
      <c r="AD32" s="249"/>
      <c r="AE32" s="249"/>
      <c r="AF32" s="249"/>
      <c r="AG32" s="249"/>
      <c r="AH32" s="249"/>
      <c r="AI32" s="249"/>
      <c r="AJ32" s="249"/>
      <c r="AK32" s="249"/>
      <c r="AL32" s="249"/>
      <c r="AM32" s="249"/>
      <c r="AN32" s="249"/>
      <c r="AO32" s="249"/>
      <c r="AP32" s="249"/>
      <c r="AQ32" s="249"/>
      <c r="AR32" s="249"/>
    </row>
    <row r="33" spans="1:44">
      <c r="A33" s="199" t="s">
        <v>16</v>
      </c>
      <c r="B33" s="200" t="str">
        <f t="shared" si="14"/>
        <v>TFHCV7</v>
      </c>
      <c r="C33" s="200" t="str">
        <f t="shared" si="14"/>
        <v>Transport Freight - HCV7</v>
      </c>
      <c r="F33" s="247">
        <f t="shared" si="21"/>
        <v>0.16189701580843874</v>
      </c>
      <c r="G33" s="66">
        <f t="shared" si="11"/>
        <v>0.16189701580843874</v>
      </c>
      <c r="H33" s="66">
        <f t="shared" si="11"/>
        <v>0.16189701580843874</v>
      </c>
      <c r="I33" s="66">
        <f t="shared" si="15"/>
        <v>0.16189701580843874</v>
      </c>
      <c r="J33" s="66">
        <f t="shared" si="15"/>
        <v>0.14894525454376364</v>
      </c>
      <c r="K33" s="66">
        <f t="shared" si="15"/>
        <v>0.13851908672570021</v>
      </c>
      <c r="L33" s="66">
        <f t="shared" si="15"/>
        <v>0.1288227506549012</v>
      </c>
      <c r="N33" s="248">
        <f t="shared" si="16"/>
        <v>0.16189701580843874</v>
      </c>
      <c r="O33" s="35">
        <f t="shared" si="17"/>
        <v>0.16189701580843874</v>
      </c>
      <c r="P33" s="35">
        <f t="shared" si="17"/>
        <v>0.16189701580843874</v>
      </c>
      <c r="Q33" s="35">
        <f t="shared" si="17"/>
        <v>0.16189701580843874</v>
      </c>
      <c r="R33" s="35">
        <f t="shared" si="18"/>
        <v>0.16189701580843874</v>
      </c>
      <c r="S33" s="249"/>
      <c r="T33" s="248">
        <f>$G33</f>
        <v>0.16189701580843874</v>
      </c>
      <c r="U33" s="77">
        <f t="shared" si="20"/>
        <v>0.16189701580843874</v>
      </c>
      <c r="V33" s="77">
        <f t="shared" si="12"/>
        <v>0.14894525454376364</v>
      </c>
      <c r="W33" s="278">
        <f t="shared" si="13"/>
        <v>0.13851908672570021</v>
      </c>
      <c r="X33" s="79">
        <f t="shared" si="13"/>
        <v>0.1288227506549012</v>
      </c>
      <c r="Y33" s="249"/>
      <c r="Z33" s="249"/>
      <c r="AA33" s="249"/>
      <c r="AB33" s="249"/>
      <c r="AC33" s="249"/>
      <c r="AD33" s="249"/>
      <c r="AE33" s="249"/>
      <c r="AF33" s="249"/>
      <c r="AG33" s="249"/>
      <c r="AH33" s="249"/>
      <c r="AI33" s="249"/>
      <c r="AJ33" s="249"/>
      <c r="AK33" s="249"/>
      <c r="AL33" s="249"/>
      <c r="AM33" s="249"/>
      <c r="AN33" s="249"/>
      <c r="AO33" s="249"/>
      <c r="AP33" s="249"/>
      <c r="AQ33" s="249"/>
      <c r="AR33" s="249"/>
    </row>
    <row r="34" spans="1:44">
      <c r="A34" s="199" t="s">
        <v>16</v>
      </c>
      <c r="B34" s="200" t="str">
        <f t="shared" si="14"/>
        <v>TFHCV8</v>
      </c>
      <c r="C34" s="200" t="str">
        <f t="shared" si="14"/>
        <v>Transport Freight - HCV8</v>
      </c>
      <c r="F34" s="247">
        <f t="shared" si="21"/>
        <v>6.2226033461875293E-3</v>
      </c>
      <c r="G34" s="66">
        <f t="shared" si="11"/>
        <v>6.2226033461875293E-3</v>
      </c>
      <c r="H34" s="66">
        <f t="shared" si="11"/>
        <v>6.2226033461875293E-3</v>
      </c>
      <c r="I34" s="66">
        <f t="shared" si="15"/>
        <v>6.2226033461875293E-3</v>
      </c>
      <c r="J34" s="66">
        <f t="shared" si="15"/>
        <v>5.7247950784925271E-3</v>
      </c>
      <c r="K34" s="66">
        <f t="shared" si="15"/>
        <v>5.3240594229980506E-3</v>
      </c>
      <c r="L34" s="66">
        <f t="shared" si="15"/>
        <v>4.9513752633881872E-3</v>
      </c>
      <c r="N34" s="248">
        <f t="shared" si="16"/>
        <v>6.2226033461875293E-3</v>
      </c>
      <c r="O34" s="35">
        <f t="shared" si="17"/>
        <v>6.2226033461875293E-3</v>
      </c>
      <c r="P34" s="35">
        <f t="shared" si="17"/>
        <v>6.2226033461875293E-3</v>
      </c>
      <c r="Q34" s="35">
        <f t="shared" si="17"/>
        <v>6.2226033461875293E-3</v>
      </c>
      <c r="R34" s="35">
        <f t="shared" si="18"/>
        <v>6.2226033461875293E-3</v>
      </c>
      <c r="S34" s="249"/>
      <c r="T34" s="248">
        <f t="shared" si="19"/>
        <v>6.2226033461875293E-3</v>
      </c>
      <c r="U34" s="77">
        <f t="shared" si="20"/>
        <v>6.2226033461875293E-3</v>
      </c>
      <c r="V34" s="77">
        <f t="shared" si="12"/>
        <v>5.7247950784925271E-3</v>
      </c>
      <c r="W34" s="278">
        <f t="shared" si="13"/>
        <v>5.3240594229980506E-3</v>
      </c>
      <c r="X34" s="79">
        <f t="shared" si="13"/>
        <v>4.9513752633881872E-3</v>
      </c>
      <c r="Y34" s="249"/>
      <c r="Z34" s="249"/>
      <c r="AA34" s="249"/>
      <c r="AB34" s="249"/>
      <c r="AC34" s="249"/>
      <c r="AD34" s="249"/>
      <c r="AE34" s="249"/>
      <c r="AF34" s="249"/>
      <c r="AG34" s="249"/>
      <c r="AH34" s="249"/>
      <c r="AI34" s="249"/>
      <c r="AJ34" s="249"/>
      <c r="AK34" s="249"/>
      <c r="AL34" s="249"/>
      <c r="AM34" s="249"/>
      <c r="AN34" s="249"/>
      <c r="AO34" s="249"/>
      <c r="AP34" s="249"/>
      <c r="AQ34" s="249"/>
      <c r="AR34" s="249"/>
    </row>
    <row r="35" spans="1:44">
      <c r="A35" s="199" t="s">
        <v>16</v>
      </c>
      <c r="B35" s="200" t="str">
        <f t="shared" si="14"/>
        <v>TFHCV9</v>
      </c>
      <c r="C35" s="200" t="str">
        <f t="shared" si="14"/>
        <v>Transport Freight - HCV9</v>
      </c>
      <c r="F35" s="247">
        <f t="shared" si="21"/>
        <v>5.0622264837377005E-3</v>
      </c>
      <c r="G35" s="66">
        <f t="shared" si="11"/>
        <v>5.0622264837377005E-3</v>
      </c>
      <c r="H35" s="66">
        <f t="shared" si="11"/>
        <v>5.0622264837377005E-3</v>
      </c>
      <c r="I35" s="66">
        <f t="shared" si="15"/>
        <v>5.0622264837377005E-3</v>
      </c>
      <c r="J35" s="66">
        <f t="shared" si="15"/>
        <v>4.6572483650386843E-3</v>
      </c>
      <c r="K35" s="66">
        <f t="shared" si="15"/>
        <v>4.3312409794859768E-3</v>
      </c>
      <c r="L35" s="66">
        <f t="shared" si="15"/>
        <v>4.0280541109219588E-3</v>
      </c>
      <c r="N35" s="248">
        <f t="shared" si="16"/>
        <v>5.0622264837377005E-3</v>
      </c>
      <c r="O35" s="35">
        <f t="shared" si="17"/>
        <v>5.0622264837377005E-3</v>
      </c>
      <c r="P35" s="35">
        <f t="shared" si="17"/>
        <v>5.0622264837377005E-3</v>
      </c>
      <c r="Q35" s="35">
        <f t="shared" si="17"/>
        <v>5.0622264837377005E-3</v>
      </c>
      <c r="R35" s="35">
        <f t="shared" si="18"/>
        <v>5.0622264837377005E-3</v>
      </c>
      <c r="S35" s="249"/>
      <c r="T35" s="248">
        <f t="shared" si="19"/>
        <v>5.0622264837377005E-3</v>
      </c>
      <c r="U35" s="77">
        <f t="shared" si="20"/>
        <v>5.0622264837377005E-3</v>
      </c>
      <c r="V35" s="77">
        <f t="shared" si="12"/>
        <v>4.6572483650386843E-3</v>
      </c>
      <c r="W35" s="278">
        <f t="shared" si="13"/>
        <v>4.3312409794859768E-3</v>
      </c>
      <c r="X35" s="79">
        <f t="shared" si="13"/>
        <v>4.0280541109219588E-3</v>
      </c>
      <c r="Y35" s="249"/>
      <c r="Z35" s="249"/>
      <c r="AA35" s="249"/>
      <c r="AB35" s="249"/>
      <c r="AC35" s="249"/>
      <c r="AD35" s="249"/>
      <c r="AE35" s="249"/>
      <c r="AF35" s="249"/>
      <c r="AG35" s="249"/>
      <c r="AH35" s="249"/>
      <c r="AI35" s="249"/>
      <c r="AJ35" s="249"/>
      <c r="AK35" s="249"/>
      <c r="AL35" s="249"/>
      <c r="AM35" s="249"/>
      <c r="AN35" s="249"/>
      <c r="AO35" s="249"/>
      <c r="AP35" s="249"/>
      <c r="AQ35" s="249"/>
      <c r="AR35" s="249"/>
    </row>
    <row r="36" spans="1:44">
      <c r="A36" s="199" t="s">
        <v>16</v>
      </c>
      <c r="B36" s="200" t="str">
        <f>B23</f>
        <v>TFRCO</v>
      </c>
      <c r="C36" s="200" t="str">
        <f>C23</f>
        <v>Transport Freight - Rail Corridor</v>
      </c>
      <c r="D36" s="199" t="s">
        <v>48</v>
      </c>
      <c r="F36" s="247">
        <f>F59/F$60</f>
        <v>0.12719020623315802</v>
      </c>
      <c r="G36" s="66">
        <f t="shared" ref="G36:L36" si="22">1-SUM(G28:G35)</f>
        <v>0.12719020623315791</v>
      </c>
      <c r="H36" s="66">
        <f t="shared" si="22"/>
        <v>0.12719020623315791</v>
      </c>
      <c r="I36" s="66">
        <f t="shared" si="22"/>
        <v>0.12719020623315791</v>
      </c>
      <c r="J36" s="66">
        <f t="shared" si="22"/>
        <v>0.19701498973450526</v>
      </c>
      <c r="K36" s="66">
        <f t="shared" si="22"/>
        <v>0.25322394045308971</v>
      </c>
      <c r="L36" s="66">
        <f t="shared" si="22"/>
        <v>0.30549826462137342</v>
      </c>
      <c r="N36" s="248">
        <f>$G36</f>
        <v>0.12719020623315791</v>
      </c>
      <c r="O36" s="66">
        <f>1-SUM(O28:O35)</f>
        <v>0.12719020623315791</v>
      </c>
      <c r="P36" s="66">
        <f>1-SUM(P28:P35)</f>
        <v>0.12719020623315791</v>
      </c>
      <c r="Q36" s="66">
        <f>1-SUM(Q28:Q35)</f>
        <v>0.12719020623315791</v>
      </c>
      <c r="R36" s="66">
        <f>1-SUM(R28:R35)</f>
        <v>0.12719020623315791</v>
      </c>
      <c r="S36" s="249"/>
      <c r="T36" s="248">
        <f>$G36</f>
        <v>0.12719020623315791</v>
      </c>
      <c r="U36" s="66">
        <f>1-SUM(U28:U35)</f>
        <v>0.12719020623315791</v>
      </c>
      <c r="V36" s="66">
        <f>1-SUM(V28:V35)</f>
        <v>0.19701498973450526</v>
      </c>
      <c r="W36" s="66">
        <f>1-SUM(W28:W35)</f>
        <v>0.25322394045308971</v>
      </c>
      <c r="X36" s="66">
        <f>1-SUM(X28:X35)</f>
        <v>0.30549826462137342</v>
      </c>
      <c r="Y36" s="249"/>
      <c r="Z36" s="249"/>
      <c r="AA36" s="249"/>
      <c r="AB36" s="249"/>
      <c r="AC36" s="249"/>
      <c r="AD36" s="249"/>
      <c r="AE36" s="249"/>
      <c r="AF36" s="249"/>
      <c r="AG36" s="249"/>
      <c r="AH36" s="249"/>
      <c r="AI36" s="249"/>
      <c r="AJ36" s="249"/>
      <c r="AK36" s="249"/>
      <c r="AL36" s="249"/>
      <c r="AM36" s="249"/>
      <c r="AN36" s="249"/>
      <c r="AO36" s="249"/>
      <c r="AP36" s="249"/>
      <c r="AQ36" s="249"/>
      <c r="AR36" s="249"/>
    </row>
    <row r="37" spans="1:44">
      <c r="A37" s="199" t="s">
        <v>16</v>
      </c>
    </row>
    <row r="38" spans="1:44" ht="15.75" thickBot="1">
      <c r="A38" s="199" t="s">
        <v>16</v>
      </c>
      <c r="B38" s="14" t="s">
        <v>433</v>
      </c>
      <c r="C38" s="14"/>
      <c r="D38" s="14"/>
    </row>
    <row r="39" spans="1:44">
      <c r="A39" s="199" t="s">
        <v>16</v>
      </c>
      <c r="B39" s="200" t="str">
        <f>B14</f>
        <v>TFHCV1</v>
      </c>
      <c r="C39" s="200" t="str">
        <f>C14</f>
        <v>Transport Freight - HCV1</v>
      </c>
      <c r="D39" s="199" t="s">
        <v>48</v>
      </c>
      <c r="F39" s="247">
        <f>F46/F$48</f>
        <v>0.16367820456437782</v>
      </c>
      <c r="G39" s="66">
        <f>IF($D$4,T39,N39)</f>
        <v>0.16367820456437782</v>
      </c>
      <c r="H39" s="66">
        <f>IF($D$4,U39,O39)</f>
        <v>0.15549429433615891</v>
      </c>
      <c r="I39" s="66">
        <f>IF($D$4,U39,O39)</f>
        <v>0.15549429433615891</v>
      </c>
      <c r="J39" s="66">
        <f>IF($D$4,V39,P39)</f>
        <v>0.14771957961935095</v>
      </c>
      <c r="K39" s="66">
        <f>IF($D$4,W39,Q39)</f>
        <v>0.1403336006383834</v>
      </c>
      <c r="L39" s="66">
        <f>IF($D$4,X39,R39)</f>
        <v>0.13331692060646422</v>
      </c>
      <c r="N39" s="248">
        <f>$F39</f>
        <v>0.16367820456437782</v>
      </c>
      <c r="O39" s="35">
        <f>N39</f>
        <v>0.16367820456437782</v>
      </c>
      <c r="P39" s="35">
        <f>O39</f>
        <v>0.16367820456437782</v>
      </c>
      <c r="Q39" s="35">
        <f>P39</f>
        <v>0.16367820456437782</v>
      </c>
      <c r="R39" s="35">
        <f>P39</f>
        <v>0.16367820456437782</v>
      </c>
      <c r="S39" s="249"/>
      <c r="T39" s="248">
        <f>N39</f>
        <v>0.16367820456437782</v>
      </c>
      <c r="U39" s="77">
        <f>T39*0.95</f>
        <v>0.15549429433615891</v>
      </c>
      <c r="V39" s="77">
        <f>U39*0.95</f>
        <v>0.14771957961935095</v>
      </c>
      <c r="W39" s="77">
        <f>V39*0.95</f>
        <v>0.1403336006383834</v>
      </c>
      <c r="X39" s="77">
        <f>W39*0.95</f>
        <v>0.13331692060646422</v>
      </c>
      <c r="Y39" s="249"/>
      <c r="Z39" s="249"/>
      <c r="AA39" s="249"/>
      <c r="AB39" s="249"/>
      <c r="AC39" s="249"/>
      <c r="AD39" s="249"/>
      <c r="AE39" s="249"/>
      <c r="AF39" s="249"/>
      <c r="AG39" s="249"/>
      <c r="AH39" s="249"/>
      <c r="AI39" s="249"/>
      <c r="AJ39" s="249"/>
      <c r="AK39" s="249"/>
      <c r="AL39" s="249"/>
      <c r="AM39" s="249"/>
      <c r="AN39" s="249"/>
      <c r="AO39" s="249"/>
      <c r="AP39" s="249"/>
      <c r="AQ39" s="249"/>
      <c r="AR39" s="249"/>
    </row>
    <row r="40" spans="1:44">
      <c r="A40" s="199" t="s">
        <v>16</v>
      </c>
      <c r="B40" s="200" t="str">
        <f>B24</f>
        <v>TFROT</v>
      </c>
      <c r="C40" s="200" t="str">
        <f>C24</f>
        <v>Transport Freight - Rail Other</v>
      </c>
      <c r="D40" s="199" t="s">
        <v>48</v>
      </c>
      <c r="F40" s="247">
        <f>F47/F$48</f>
        <v>0.83632179543562224</v>
      </c>
      <c r="G40" s="66">
        <f t="shared" ref="G40:L40" si="23">1-G39</f>
        <v>0.83632179543562213</v>
      </c>
      <c r="H40" s="66">
        <f t="shared" si="23"/>
        <v>0.84450570566384109</v>
      </c>
      <c r="I40" s="66">
        <f t="shared" si="23"/>
        <v>0.84450570566384109</v>
      </c>
      <c r="J40" s="66">
        <f t="shared" si="23"/>
        <v>0.85228042038064911</v>
      </c>
      <c r="K40" s="66">
        <f t="shared" si="23"/>
        <v>0.8596663993616166</v>
      </c>
      <c r="L40" s="66">
        <f t="shared" si="23"/>
        <v>0.86668307939353584</v>
      </c>
      <c r="N40" s="248">
        <f>$G40</f>
        <v>0.83632179543562213</v>
      </c>
      <c r="O40" s="66">
        <f>1-O39</f>
        <v>0.83632179543562213</v>
      </c>
      <c r="P40" s="66">
        <f>1-P39</f>
        <v>0.83632179543562213</v>
      </c>
      <c r="Q40" s="66">
        <f>1-Q39</f>
        <v>0.83632179543562213</v>
      </c>
      <c r="R40" s="66">
        <f>1-R39</f>
        <v>0.83632179543562213</v>
      </c>
      <c r="S40" s="249"/>
      <c r="T40" s="248">
        <f>$G40</f>
        <v>0.83632179543562213</v>
      </c>
      <c r="U40" s="66">
        <f>1-U39</f>
        <v>0.84450570566384109</v>
      </c>
      <c r="V40" s="66">
        <f>1-V39</f>
        <v>0.85228042038064911</v>
      </c>
      <c r="W40" s="66">
        <f>1-W39</f>
        <v>0.8596663993616166</v>
      </c>
      <c r="X40" s="66">
        <f>1-X39</f>
        <v>0.86668307939353584</v>
      </c>
      <c r="Y40" s="249"/>
      <c r="Z40" s="249"/>
      <c r="AA40" s="249"/>
      <c r="AB40" s="249"/>
      <c r="AC40" s="249"/>
      <c r="AD40" s="249"/>
      <c r="AE40" s="249"/>
      <c r="AF40" s="249"/>
      <c r="AG40" s="249"/>
      <c r="AH40" s="249"/>
      <c r="AI40" s="249"/>
      <c r="AJ40" s="249"/>
      <c r="AK40" s="249"/>
      <c r="AL40" s="249"/>
      <c r="AM40" s="249"/>
      <c r="AN40" s="249"/>
      <c r="AO40" s="249"/>
      <c r="AP40" s="249"/>
      <c r="AQ40" s="249"/>
      <c r="AR40" s="249"/>
    </row>
    <row r="41" spans="1:44">
      <c r="A41" s="199" t="s">
        <v>16</v>
      </c>
    </row>
    <row r="42" spans="1:44" ht="15.75" thickBot="1">
      <c r="A42" s="199" t="s">
        <v>16</v>
      </c>
      <c r="B42" s="14" t="s">
        <v>207</v>
      </c>
      <c r="C42" s="14"/>
      <c r="D42" s="14"/>
      <c r="G42" s="49"/>
      <c r="H42" s="49"/>
    </row>
    <row r="43" spans="1:44">
      <c r="A43" s="199" t="s">
        <v>16</v>
      </c>
      <c r="B43" s="200"/>
      <c r="C43" s="3" t="s">
        <v>5</v>
      </c>
      <c r="D43" s="5" t="s">
        <v>149</v>
      </c>
      <c r="E43" s="5"/>
      <c r="F43" s="49">
        <f>F63*F92</f>
        <v>17.151878492126293</v>
      </c>
      <c r="G43" s="49">
        <f>F43*(1+(F13+G13)/2*((G7/F7)^(1/(G$4-F$4))-1))^(G$4-F$4)</f>
        <v>18.105321144065741</v>
      </c>
      <c r="H43" s="49">
        <f>G43*(1+(G13+H13)/2*((H7/G7)^(1/(H$4-G$4))-1))^(H$4-G$4)</f>
        <v>18.466359641187378</v>
      </c>
      <c r="I43" s="49">
        <f>G43*(1+(G13+I13)/2*((I7/G7)^(1/(I$4-G$4))-1))^(I$4-G$4)</f>
        <v>17.844036324411295</v>
      </c>
      <c r="J43" s="49">
        <f>I43*(1+(I13+J13)/2*((J7/I7)^(1/(J$4-I$4))-1))^(J$4-I$4)</f>
        <v>24.604989710445018</v>
      </c>
      <c r="K43" s="49">
        <f>J43*(1+(J13+K13)/2*((K7/J7)^(1/(K$4-J$4))-1))^(K$4-J$4)</f>
        <v>35.469886384244894</v>
      </c>
      <c r="L43" s="49">
        <f>K43*(1+(K13+L13)/2*((L7/K7)^(1/(L$4-K$4))-1))^(L$4-K$4)</f>
        <v>53.05074365970129</v>
      </c>
      <c r="M43" s="49"/>
      <c r="N43" s="85">
        <f>$G43</f>
        <v>18.105321144065741</v>
      </c>
      <c r="O43" s="49">
        <f>N43*(1+(N13+O13)/2*((O7/N7)^(1/(O$4-N$4))-1))^(O$4-N$4)</f>
        <v>17.844036324411295</v>
      </c>
      <c r="P43" s="49">
        <f>O43*(1+(O13+P13)/2*((P7/O7)^(1/(P$4-O$4))-1))^(P$4-O$4)</f>
        <v>24.604989710445018</v>
      </c>
      <c r="Q43" s="49">
        <f>P43*(1+(P13+Q13)/2*((Q7/P7)^(1/(Q$4-P$4))-1))^(Q$4-P$4)</f>
        <v>35.469886384244894</v>
      </c>
      <c r="R43" s="49">
        <f>Q43*(1+(Q13+R13)/2*((R7/Q7)^(1/(R$4-Q$4))-1))^(R$4-Q$4)</f>
        <v>53.05074365970129</v>
      </c>
      <c r="T43" s="85">
        <f>$G43</f>
        <v>18.105321144065741</v>
      </c>
      <c r="U43" s="49">
        <f>T43*(1+(T13+U13)/2*((U7/T7)^(1/(U$4-T$4))-1))^(U$4-T$4)</f>
        <v>17.844036324411295</v>
      </c>
      <c r="V43" s="49">
        <f>U43*(1+(U13+V13)/2*((V7/U7)^(1/(V$4-U$4))-1))^(V$4-U$4)</f>
        <v>24.604989710445018</v>
      </c>
      <c r="W43" s="49">
        <f>V43*(1+(V13+W13)/2*((W7/V7)^(1/(W$4-V$4))-1))^(W$4-V$4)</f>
        <v>35.469886384244894</v>
      </c>
      <c r="X43" s="49">
        <f>W43*(1+(W13+X13)/2*((X7/W7)^(1/(X$4-W$4))-1))^(X$4-W$4)</f>
        <v>53.05074365970129</v>
      </c>
    </row>
    <row r="44" spans="1:44">
      <c r="A44" s="199" t="s">
        <v>16</v>
      </c>
    </row>
    <row r="45" spans="1:44" ht="15.75" thickBot="1">
      <c r="A45" s="199" t="s">
        <v>16</v>
      </c>
      <c r="B45" s="14" t="s">
        <v>411</v>
      </c>
      <c r="C45" s="14"/>
      <c r="D45" s="14"/>
    </row>
    <row r="46" spans="1:44">
      <c r="A46" s="199" t="s">
        <v>16</v>
      </c>
      <c r="B46" s="200" t="str">
        <f>B39</f>
        <v>TFHCV1</v>
      </c>
      <c r="C46" s="200" t="str">
        <f>C39</f>
        <v>Transport Freight - HCV1</v>
      </c>
      <c r="D46" s="199" t="s">
        <v>149</v>
      </c>
      <c r="F46" s="10">
        <f>F64*F93</f>
        <v>4.9123710000000003</v>
      </c>
      <c r="G46" s="10">
        <f>G39*G$48</f>
        <v>5.1854410334485532</v>
      </c>
      <c r="H46" s="10">
        <f>H39*H$48</f>
        <v>5.0244017958530307</v>
      </c>
      <c r="I46" s="10">
        <f t="shared" ref="G46:L47" si="24">I39*I$48</f>
        <v>4.8550775515966293</v>
      </c>
      <c r="J46" s="10">
        <f t="shared" si="24"/>
        <v>6.3598938310370956</v>
      </c>
      <c r="K46" s="10">
        <f t="shared" si="24"/>
        <v>8.7098380671800921</v>
      </c>
      <c r="L46" s="10">
        <f t="shared" si="24"/>
        <v>12.375574382541121</v>
      </c>
      <c r="N46" s="10">
        <f t="shared" ref="N46:R47" si="25">N39*N$48</f>
        <v>5.1854410334485532</v>
      </c>
      <c r="O46" s="10">
        <f>O39*O$48</f>
        <v>5.1106079490490837</v>
      </c>
      <c r="P46" s="10">
        <f>P39*P$48</f>
        <v>7.0469737740023231</v>
      </c>
      <c r="Q46" s="10">
        <f>Q39*Q$48</f>
        <v>10.158726423303797</v>
      </c>
      <c r="R46" s="10">
        <f>R39*R$48</f>
        <v>15.19395877261976</v>
      </c>
      <c r="S46" s="10"/>
      <c r="T46" s="10">
        <f t="shared" ref="T46:X47" si="26">T39*T$48</f>
        <v>5.1854410334485532</v>
      </c>
      <c r="U46" s="10">
        <f t="shared" si="26"/>
        <v>4.8550775515966293</v>
      </c>
      <c r="V46" s="10">
        <f t="shared" si="26"/>
        <v>6.3598938310370956</v>
      </c>
      <c r="W46" s="10">
        <f t="shared" si="26"/>
        <v>8.7098380671800921</v>
      </c>
      <c r="X46" s="10">
        <f t="shared" si="26"/>
        <v>12.375574382541121</v>
      </c>
      <c r="Y46" s="10"/>
      <c r="Z46" s="10"/>
      <c r="AA46" s="10"/>
      <c r="AB46" s="10"/>
      <c r="AC46" s="10"/>
      <c r="AD46" s="10"/>
      <c r="AE46" s="10"/>
      <c r="AF46" s="10"/>
      <c r="AG46" s="10"/>
      <c r="AH46" s="10"/>
      <c r="AI46" s="10"/>
      <c r="AJ46" s="10"/>
      <c r="AK46" s="10"/>
      <c r="AL46" s="10"/>
      <c r="AM46" s="10"/>
      <c r="AN46" s="10"/>
      <c r="AO46" s="10"/>
      <c r="AP46" s="10"/>
      <c r="AQ46" s="10"/>
      <c r="AR46" s="10"/>
    </row>
    <row r="47" spans="1:44">
      <c r="A47" s="199" t="s">
        <v>16</v>
      </c>
      <c r="B47" s="200" t="str">
        <f>B40</f>
        <v>TFROT</v>
      </c>
      <c r="C47" s="200" t="str">
        <f>C40</f>
        <v>Transport Freight - Rail Other</v>
      </c>
      <c r="D47" s="199" t="s">
        <v>149</v>
      </c>
      <c r="F47" s="10">
        <f>F103</f>
        <v>25.1</v>
      </c>
      <c r="G47" s="10">
        <f t="shared" si="24"/>
        <v>26.495264697955154</v>
      </c>
      <c r="H47" s="10">
        <f t="shared" si="24"/>
        <v>27.288049392811885</v>
      </c>
      <c r="I47" s="10">
        <f t="shared" si="24"/>
        <v>26.368431788884816</v>
      </c>
      <c r="J47" s="10">
        <f t="shared" si="24"/>
        <v>36.693937268574047</v>
      </c>
      <c r="K47" s="10">
        <f t="shared" si="24"/>
        <v>53.355398109748847</v>
      </c>
      <c r="L47" s="10">
        <f t="shared" si="24"/>
        <v>80.452660219969331</v>
      </c>
      <c r="N47" s="10">
        <f t="shared" si="25"/>
        <v>26.495264697955154</v>
      </c>
      <c r="O47" s="10">
        <f t="shared" si="25"/>
        <v>26.112901391432359</v>
      </c>
      <c r="P47" s="10">
        <f t="shared" si="25"/>
        <v>36.006857325608813</v>
      </c>
      <c r="Q47" s="10">
        <f t="shared" si="25"/>
        <v>51.906509753625137</v>
      </c>
      <c r="R47" s="10">
        <f t="shared" si="25"/>
        <v>77.634275829890683</v>
      </c>
      <c r="S47" s="10"/>
      <c r="T47" s="10">
        <f t="shared" si="26"/>
        <v>26.495264697955154</v>
      </c>
      <c r="U47" s="10">
        <f t="shared" si="26"/>
        <v>26.368431788884816</v>
      </c>
      <c r="V47" s="10">
        <f t="shared" si="26"/>
        <v>36.693937268574047</v>
      </c>
      <c r="W47" s="10">
        <f t="shared" si="26"/>
        <v>53.355398109748847</v>
      </c>
      <c r="X47" s="10">
        <f t="shared" si="26"/>
        <v>80.452660219969331</v>
      </c>
      <c r="Y47" s="10"/>
      <c r="Z47" s="10"/>
      <c r="AA47" s="10"/>
      <c r="AB47" s="10"/>
      <c r="AC47" s="10"/>
      <c r="AD47" s="10"/>
      <c r="AE47" s="10"/>
      <c r="AF47" s="10"/>
      <c r="AG47" s="10"/>
      <c r="AH47" s="10"/>
      <c r="AI47" s="10"/>
      <c r="AJ47" s="10"/>
      <c r="AK47" s="10"/>
      <c r="AL47" s="10"/>
      <c r="AM47" s="10"/>
      <c r="AN47" s="10"/>
      <c r="AO47" s="10"/>
      <c r="AP47" s="10"/>
      <c r="AQ47" s="10"/>
      <c r="AR47" s="10"/>
    </row>
    <row r="48" spans="1:44">
      <c r="A48" s="199" t="s">
        <v>16</v>
      </c>
      <c r="B48" s="200"/>
      <c r="C48" s="3" t="s">
        <v>5</v>
      </c>
      <c r="D48" s="5" t="s">
        <v>149</v>
      </c>
      <c r="E48" s="5"/>
      <c r="F48" s="49">
        <f>SUM(F46:F47)</f>
        <v>30.012371000000002</v>
      </c>
      <c r="G48" s="49">
        <f>F48*(1+(F21+G21)/2*((G7/F7)^(1/(G$4-F$4))-1))^(G$4-F$4)</f>
        <v>31.680705731403709</v>
      </c>
      <c r="H48" s="49">
        <f>G48*(1+(G21+H21)/2*((H7/G7)^(1/(H$4-G$4))-1))^(H$4-G$4)</f>
        <v>32.312451188664916</v>
      </c>
      <c r="I48" s="49">
        <f>G48*(1+(G21+I21)/2*((I7/G7)^(1/(I$4-G$4))-1))^(I$4-G$4)</f>
        <v>31.223509340481446</v>
      </c>
      <c r="J48" s="49">
        <f>I48*(1+(I21+J21)/2*((J7/I7)^(1/(J$4-I$4))-1))^(J$4-I$4)</f>
        <v>43.053831099611138</v>
      </c>
      <c r="K48" s="49">
        <f>J48*(1+(J21+K21)/2*((K7/J7)^(1/(K$4-J$4))-1))^(K$4-J$4)</f>
        <v>62.065236176928941</v>
      </c>
      <c r="L48" s="49">
        <f>K48*(1+(K21+L21)/2*((L7/K7)^(1/(L$4-K$4))-1))^(L$4-K$4)</f>
        <v>92.828234602510449</v>
      </c>
      <c r="N48" s="85">
        <f>$G48</f>
        <v>31.680705731403709</v>
      </c>
      <c r="O48" s="49">
        <f>N48*(1+(N21+O21)/2*((O7/N7)^(1/(O$4-N$4))-1))^(O$4-N$4)</f>
        <v>31.223509340481446</v>
      </c>
      <c r="P48" s="49">
        <f>O48*(1+(O21+P21)/2*((P7/O7)^(1/(P$4-O$4))-1))^(P$4-O$4)</f>
        <v>43.053831099611138</v>
      </c>
      <c r="Q48" s="49">
        <f>P48*(1+(P21+Q21)/2*((Q7/P7)^(1/(Q$4-P$4))-1))^(Q$4-P$4)</f>
        <v>62.065236176928941</v>
      </c>
      <c r="R48" s="49">
        <f>Q48*(1+(Q21+R21)/2*((R7/Q7)^(1/(R$4-Q$4))-1))^(R$4-Q$4)</f>
        <v>92.828234602510449</v>
      </c>
      <c r="S48" s="200"/>
      <c r="T48" s="85">
        <f>$G48</f>
        <v>31.680705731403709</v>
      </c>
      <c r="U48" s="49">
        <f>T48*(1+(T21+U21)/2*((U7/T7)^(1/(U$4-T$4))-1))^(U$4-T$4)</f>
        <v>31.223509340481446</v>
      </c>
      <c r="V48" s="49">
        <f>U48*(1+(U21+V21)/2*((V7/U7)^(1/(V$4-U$4))-1))^(V$4-U$4)</f>
        <v>43.053831099611138</v>
      </c>
      <c r="W48" s="49">
        <f>V48*(1+(V21+W21)/2*((W7/V7)^(1/(W$4-V$4))-1))^(W$4-V$4)</f>
        <v>62.065236176928941</v>
      </c>
      <c r="X48" s="49">
        <f>W48*(1+(W21+X21)/2*((X7/W7)^(1/(X$4-W$4))-1))^(X$4-W$4)</f>
        <v>92.828234602510449</v>
      </c>
      <c r="Y48" s="200"/>
      <c r="Z48" s="200"/>
      <c r="AA48" s="200"/>
      <c r="AB48" s="200"/>
      <c r="AC48" s="200"/>
      <c r="AD48" s="200"/>
      <c r="AE48" s="200"/>
      <c r="AF48" s="200"/>
      <c r="AG48" s="200"/>
      <c r="AH48" s="200"/>
      <c r="AI48" s="200"/>
      <c r="AJ48" s="200"/>
      <c r="AK48" s="200"/>
      <c r="AL48" s="200"/>
      <c r="AM48" s="200"/>
      <c r="AN48" s="200"/>
      <c r="AO48" s="200"/>
      <c r="AP48" s="200"/>
      <c r="AQ48" s="200"/>
      <c r="AR48" s="200"/>
    </row>
    <row r="49" spans="1:44">
      <c r="A49" s="199" t="s">
        <v>16</v>
      </c>
      <c r="B49" s="200"/>
      <c r="C49" s="3"/>
      <c r="D49" s="5"/>
      <c r="E49" s="5"/>
      <c r="F49" s="49"/>
      <c r="G49" s="49"/>
      <c r="H49" s="49"/>
      <c r="I49" s="49"/>
      <c r="J49" s="49"/>
      <c r="K49" s="49"/>
      <c r="L49" s="49"/>
      <c r="N49" s="10"/>
      <c r="O49" s="200"/>
      <c r="P49" s="200"/>
      <c r="Q49" s="200"/>
      <c r="R49" s="200"/>
      <c r="S49" s="200"/>
      <c r="T49" s="200"/>
      <c r="U49" s="200"/>
      <c r="V49" s="200"/>
      <c r="W49" s="200"/>
      <c r="X49" s="200"/>
      <c r="Y49" s="200"/>
      <c r="Z49" s="200"/>
      <c r="AA49" s="200"/>
      <c r="AB49" s="200"/>
      <c r="AC49" s="200"/>
      <c r="AD49" s="200"/>
      <c r="AE49" s="200"/>
      <c r="AF49" s="200"/>
      <c r="AG49" s="200"/>
      <c r="AH49" s="200"/>
      <c r="AI49" s="200"/>
      <c r="AJ49" s="200"/>
      <c r="AK49" s="200"/>
      <c r="AL49" s="200"/>
      <c r="AM49" s="200"/>
      <c r="AN49" s="200"/>
      <c r="AO49" s="200"/>
      <c r="AP49" s="200"/>
      <c r="AQ49" s="200"/>
      <c r="AR49" s="200"/>
    </row>
    <row r="50" spans="1:44" ht="15.75" thickBot="1">
      <c r="A50" s="199" t="s">
        <v>16</v>
      </c>
      <c r="B50" s="14" t="s">
        <v>208</v>
      </c>
      <c r="C50" s="14"/>
      <c r="D50" s="14"/>
    </row>
    <row r="51" spans="1:44">
      <c r="A51" s="199" t="s">
        <v>16</v>
      </c>
      <c r="B51" s="200" t="str">
        <f>B15</f>
        <v>TFHCV2</v>
      </c>
      <c r="C51" s="200" t="str">
        <f>C28</f>
        <v>Transport Freight - HCV2</v>
      </c>
      <c r="D51" s="199" t="s">
        <v>149</v>
      </c>
      <c r="F51" s="10">
        <f>F65*F94</f>
        <v>1.637614669131271</v>
      </c>
      <c r="G51" s="10">
        <f t="shared" ref="G51:L59" si="27">G28*G$60</f>
        <v>1.7286467781628396</v>
      </c>
      <c r="H51" s="10">
        <f t="shared" si="27"/>
        <v>1.7631177510815739</v>
      </c>
      <c r="I51" s="10">
        <f t="shared" si="27"/>
        <v>1.7037000148282078</v>
      </c>
      <c r="J51" s="10">
        <f t="shared" si="27"/>
        <v>2.1612800448635485</v>
      </c>
      <c r="K51" s="10">
        <f t="shared" si="27"/>
        <v>2.8975477510999172</v>
      </c>
      <c r="L51" s="10">
        <f t="shared" si="27"/>
        <v>4.0303728923098676</v>
      </c>
      <c r="N51" s="10">
        <f>N28*N$60</f>
        <v>1.7286467781628396</v>
      </c>
      <c r="O51" s="10">
        <f>O28*O$60</f>
        <v>1.7037000148282078</v>
      </c>
      <c r="P51" s="10">
        <f>P28*P$60</f>
        <v>2.349217440069074</v>
      </c>
      <c r="Q51" s="10">
        <f>Q28*Q$60</f>
        <v>3.3865681990415109</v>
      </c>
      <c r="R51" s="10">
        <f>R28*R$60</f>
        <v>5.0651405946777794</v>
      </c>
      <c r="S51" s="10"/>
      <c r="T51" s="10">
        <f>T28*T$60</f>
        <v>1.7286467781628396</v>
      </c>
      <c r="U51" s="10">
        <f>U28*U$60</f>
        <v>1.7037000148282078</v>
      </c>
      <c r="V51" s="10">
        <f>V28*V$60</f>
        <v>2.1612800448635485</v>
      </c>
      <c r="W51" s="10">
        <f>W28*W$60</f>
        <v>2.8975477510999172</v>
      </c>
      <c r="X51" s="10">
        <f>X28*X$60</f>
        <v>4.0303728923098676</v>
      </c>
      <c r="Y51" s="10"/>
      <c r="Z51" s="10"/>
      <c r="AA51" s="10"/>
      <c r="AB51" s="10"/>
      <c r="AC51" s="10"/>
      <c r="AD51" s="10"/>
      <c r="AE51" s="10"/>
      <c r="AF51" s="10"/>
      <c r="AG51" s="10"/>
      <c r="AH51" s="10"/>
      <c r="AI51" s="10"/>
      <c r="AJ51" s="10"/>
      <c r="AK51" s="10"/>
      <c r="AL51" s="10"/>
      <c r="AM51" s="10"/>
      <c r="AN51" s="10"/>
      <c r="AO51" s="10"/>
      <c r="AP51" s="10"/>
      <c r="AQ51" s="10"/>
      <c r="AR51" s="10"/>
    </row>
    <row r="52" spans="1:44">
      <c r="A52" s="199" t="s">
        <v>16</v>
      </c>
      <c r="B52" s="200" t="str">
        <f t="shared" ref="B52:B58" si="28">B16</f>
        <v>TFHCV3</v>
      </c>
      <c r="C52" s="200" t="str">
        <f t="shared" ref="C52:C58" si="29">C29</f>
        <v>Transport Freight - HCV3</v>
      </c>
      <c r="D52" s="199" t="s">
        <v>149</v>
      </c>
      <c r="F52" s="10">
        <f t="shared" ref="F52:F58" si="30">F66*F95</f>
        <v>13.576270721867905</v>
      </c>
      <c r="G52" s="10">
        <f t="shared" si="27"/>
        <v>14.330951648884017</v>
      </c>
      <c r="H52" s="10">
        <f t="shared" si="27"/>
        <v>14.616725383824466</v>
      </c>
      <c r="I52" s="10">
        <f t="shared" si="27"/>
        <v>14.124136200140512</v>
      </c>
      <c r="J52" s="10">
        <f t="shared" si="27"/>
        <v>17.91759902248792</v>
      </c>
      <c r="K52" s="10">
        <f t="shared" si="27"/>
        <v>24.021458429741671</v>
      </c>
      <c r="L52" s="10">
        <f t="shared" si="27"/>
        <v>33.412886759925797</v>
      </c>
      <c r="N52" s="10">
        <f t="shared" ref="N52:R59" si="31">N29*N$60</f>
        <v>14.330951648884017</v>
      </c>
      <c r="O52" s="10">
        <f t="shared" si="31"/>
        <v>14.124136200140512</v>
      </c>
      <c r="P52" s="10">
        <f t="shared" si="31"/>
        <v>19.475651111399912</v>
      </c>
      <c r="Q52" s="10">
        <f t="shared" si="31"/>
        <v>28.075570862250668</v>
      </c>
      <c r="R52" s="10">
        <f t="shared" si="31"/>
        <v>41.991392269432751</v>
      </c>
      <c r="S52" s="10"/>
      <c r="T52" s="10">
        <f t="shared" ref="T52:X59" si="32">T29*T$60</f>
        <v>14.330951648884017</v>
      </c>
      <c r="U52" s="10">
        <f t="shared" si="32"/>
        <v>14.124136200140512</v>
      </c>
      <c r="V52" s="10">
        <f t="shared" si="32"/>
        <v>17.91759902248792</v>
      </c>
      <c r="W52" s="10">
        <f t="shared" si="32"/>
        <v>24.021458429741671</v>
      </c>
      <c r="X52" s="10">
        <f t="shared" si="32"/>
        <v>33.412886759925797</v>
      </c>
      <c r="Y52" s="10"/>
      <c r="Z52" s="10"/>
      <c r="AA52" s="10"/>
      <c r="AB52" s="10"/>
      <c r="AC52" s="10"/>
      <c r="AD52" s="10"/>
      <c r="AE52" s="10"/>
      <c r="AF52" s="10"/>
      <c r="AG52" s="10"/>
      <c r="AH52" s="10"/>
      <c r="AI52" s="10"/>
      <c r="AJ52" s="10"/>
      <c r="AK52" s="10"/>
      <c r="AL52" s="10"/>
      <c r="AM52" s="10"/>
      <c r="AN52" s="10"/>
      <c r="AO52" s="10"/>
      <c r="AP52" s="10"/>
      <c r="AQ52" s="10"/>
      <c r="AR52" s="10"/>
    </row>
    <row r="53" spans="1:44">
      <c r="A53" s="199" t="s">
        <v>16</v>
      </c>
      <c r="B53" s="200" t="str">
        <f t="shared" si="28"/>
        <v>TFHCV4</v>
      </c>
      <c r="C53" s="200" t="str">
        <f t="shared" si="29"/>
        <v>Transport Freight - HCV4</v>
      </c>
      <c r="D53" s="199" t="s">
        <v>149</v>
      </c>
      <c r="F53" s="10">
        <f t="shared" si="30"/>
        <v>4.515932780515814</v>
      </c>
      <c r="G53" s="10">
        <f t="shared" si="27"/>
        <v>4.766965513065303</v>
      </c>
      <c r="H53" s="10">
        <f t="shared" si="27"/>
        <v>4.8620236482385577</v>
      </c>
      <c r="I53" s="10">
        <f t="shared" si="27"/>
        <v>4.6981716090815304</v>
      </c>
      <c r="J53" s="10">
        <f t="shared" si="27"/>
        <v>5.96000731213016</v>
      </c>
      <c r="K53" s="10">
        <f t="shared" si="27"/>
        <v>7.9903600761242881</v>
      </c>
      <c r="L53" s="10">
        <f t="shared" si="27"/>
        <v>11.114270899722554</v>
      </c>
      <c r="N53" s="10">
        <f t="shared" si="31"/>
        <v>4.766965513065303</v>
      </c>
      <c r="O53" s="10">
        <f t="shared" si="31"/>
        <v>4.6981716090815304</v>
      </c>
      <c r="P53" s="10">
        <f t="shared" si="31"/>
        <v>6.4782688175327818</v>
      </c>
      <c r="Q53" s="10">
        <f t="shared" si="31"/>
        <v>9.3388967696637284</v>
      </c>
      <c r="R53" s="10">
        <f t="shared" si="31"/>
        <v>13.967775741506371</v>
      </c>
      <c r="S53" s="10"/>
      <c r="T53" s="10">
        <f t="shared" si="32"/>
        <v>4.766965513065303</v>
      </c>
      <c r="U53" s="10">
        <f t="shared" si="32"/>
        <v>4.6981716090815304</v>
      </c>
      <c r="V53" s="10">
        <f t="shared" si="32"/>
        <v>5.96000731213016</v>
      </c>
      <c r="W53" s="10">
        <f t="shared" si="32"/>
        <v>7.9903600761242881</v>
      </c>
      <c r="X53" s="10">
        <f t="shared" si="32"/>
        <v>11.114270899722554</v>
      </c>
      <c r="Y53" s="10"/>
      <c r="Z53" s="10"/>
      <c r="AA53" s="10"/>
      <c r="AB53" s="10"/>
      <c r="AC53" s="10"/>
      <c r="AD53" s="10"/>
      <c r="AE53" s="10"/>
      <c r="AF53" s="10"/>
      <c r="AG53" s="10"/>
      <c r="AH53" s="10"/>
      <c r="AI53" s="10"/>
      <c r="AJ53" s="10"/>
      <c r="AK53" s="10"/>
      <c r="AL53" s="10"/>
      <c r="AM53" s="10"/>
      <c r="AN53" s="10"/>
      <c r="AO53" s="10"/>
      <c r="AP53" s="10"/>
      <c r="AQ53" s="10"/>
      <c r="AR53" s="10"/>
    </row>
    <row r="54" spans="1:44">
      <c r="A54" s="199" t="s">
        <v>16</v>
      </c>
      <c r="B54" s="200" t="str">
        <f t="shared" si="28"/>
        <v>TFHCV5</v>
      </c>
      <c r="C54" s="200" t="str">
        <f t="shared" si="29"/>
        <v>Transport Freight - HCV5</v>
      </c>
      <c r="D54" s="199" t="s">
        <v>149</v>
      </c>
      <c r="F54" s="10">
        <f t="shared" si="30"/>
        <v>2.9750185434856067</v>
      </c>
      <c r="G54" s="10">
        <f t="shared" si="27"/>
        <v>3.140394573345664</v>
      </c>
      <c r="H54" s="10">
        <f t="shared" si="27"/>
        <v>3.2030172315193512</v>
      </c>
      <c r="I54" s="10">
        <f t="shared" si="27"/>
        <v>3.0950743372000948</v>
      </c>
      <c r="J54" s="10">
        <f t="shared" si="27"/>
        <v>3.9263499114510219</v>
      </c>
      <c r="K54" s="10">
        <f t="shared" si="27"/>
        <v>5.2639112561993491</v>
      </c>
      <c r="L54" s="10">
        <f t="shared" si="27"/>
        <v>7.321889769187468</v>
      </c>
      <c r="N54" s="10">
        <f t="shared" si="31"/>
        <v>3.140394573345664</v>
      </c>
      <c r="O54" s="10">
        <f t="shared" si="31"/>
        <v>3.0950743372000948</v>
      </c>
      <c r="P54" s="10">
        <f t="shared" si="31"/>
        <v>4.2677716428815451</v>
      </c>
      <c r="Q54" s="10">
        <f t="shared" si="31"/>
        <v>6.1523039460020437</v>
      </c>
      <c r="R54" s="10">
        <f t="shared" si="31"/>
        <v>9.2017294901992521</v>
      </c>
      <c r="S54" s="10"/>
      <c r="T54" s="10">
        <f t="shared" si="32"/>
        <v>3.140394573345664</v>
      </c>
      <c r="U54" s="10">
        <f t="shared" si="32"/>
        <v>3.0950743372000948</v>
      </c>
      <c r="V54" s="10">
        <f t="shared" si="32"/>
        <v>3.9263499114510219</v>
      </c>
      <c r="W54" s="10">
        <f t="shared" si="32"/>
        <v>5.2639112561993491</v>
      </c>
      <c r="X54" s="10">
        <f t="shared" si="32"/>
        <v>7.321889769187468</v>
      </c>
      <c r="Y54" s="10"/>
      <c r="Z54" s="10"/>
      <c r="AA54" s="10"/>
      <c r="AB54" s="10"/>
      <c r="AC54" s="10"/>
      <c r="AD54" s="10"/>
      <c r="AE54" s="10"/>
      <c r="AF54" s="10"/>
      <c r="AG54" s="10"/>
      <c r="AH54" s="10"/>
      <c r="AI54" s="10"/>
      <c r="AJ54" s="10"/>
      <c r="AK54" s="10"/>
      <c r="AL54" s="10"/>
      <c r="AM54" s="10"/>
      <c r="AN54" s="10"/>
      <c r="AO54" s="10"/>
      <c r="AP54" s="10"/>
      <c r="AQ54" s="10"/>
      <c r="AR54" s="10"/>
    </row>
    <row r="55" spans="1:44">
      <c r="A55" s="199" t="s">
        <v>16</v>
      </c>
      <c r="B55" s="200" t="str">
        <f t="shared" si="28"/>
        <v>TFHCV6</v>
      </c>
      <c r="C55" s="200" t="str">
        <f t="shared" si="29"/>
        <v>Transport Freight - HCV6</v>
      </c>
      <c r="D55" s="199" t="s">
        <v>149</v>
      </c>
      <c r="F55" s="10">
        <f>F69*F98</f>
        <v>98.309314568087203</v>
      </c>
      <c r="G55" s="10">
        <f t="shared" si="27"/>
        <v>103.77415584685295</v>
      </c>
      <c r="H55" s="10">
        <f t="shared" si="27"/>
        <v>105.84351794039939</v>
      </c>
      <c r="I55" s="10">
        <f t="shared" si="27"/>
        <v>102.27655128190302</v>
      </c>
      <c r="J55" s="10">
        <f t="shared" si="27"/>
        <v>129.74600423733031</v>
      </c>
      <c r="K55" s="10">
        <f t="shared" si="27"/>
        <v>173.94564100359884</v>
      </c>
      <c r="L55" s="10">
        <f t="shared" si="27"/>
        <v>241.95142115267711</v>
      </c>
      <c r="N55" s="10">
        <f t="shared" si="31"/>
        <v>103.77415584685295</v>
      </c>
      <c r="O55" s="10">
        <f t="shared" si="31"/>
        <v>102.27655128190302</v>
      </c>
      <c r="P55" s="10">
        <f t="shared" si="31"/>
        <v>141.02826547535904</v>
      </c>
      <c r="Q55" s="10">
        <f t="shared" si="31"/>
        <v>203.30252571715619</v>
      </c>
      <c r="R55" s="10">
        <f t="shared" si="31"/>
        <v>304.07061529188735</v>
      </c>
      <c r="S55" s="10"/>
      <c r="T55" s="10">
        <f t="shared" si="32"/>
        <v>103.77415584685295</v>
      </c>
      <c r="U55" s="10">
        <f t="shared" si="32"/>
        <v>102.27655128190302</v>
      </c>
      <c r="V55" s="10">
        <f t="shared" si="32"/>
        <v>129.74600423733031</v>
      </c>
      <c r="W55" s="10">
        <f t="shared" si="32"/>
        <v>173.94564100359884</v>
      </c>
      <c r="X55" s="10">
        <f t="shared" si="32"/>
        <v>241.95142115267711</v>
      </c>
      <c r="Y55" s="10"/>
      <c r="Z55" s="10"/>
      <c r="AA55" s="10"/>
      <c r="AB55" s="10"/>
      <c r="AC55" s="10"/>
      <c r="AD55" s="10"/>
      <c r="AE55" s="10"/>
      <c r="AF55" s="10"/>
      <c r="AG55" s="10"/>
      <c r="AH55" s="10"/>
      <c r="AI55" s="10"/>
      <c r="AJ55" s="10"/>
      <c r="AK55" s="10"/>
      <c r="AL55" s="10"/>
      <c r="AM55" s="10"/>
      <c r="AN55" s="10"/>
      <c r="AO55" s="10"/>
      <c r="AP55" s="10"/>
      <c r="AQ55" s="10"/>
      <c r="AR55" s="10"/>
    </row>
    <row r="56" spans="1:44">
      <c r="A56" s="199" t="s">
        <v>16</v>
      </c>
      <c r="B56" s="200" t="str">
        <f t="shared" si="28"/>
        <v>TFHCV7</v>
      </c>
      <c r="C56" s="200" t="str">
        <f t="shared" si="29"/>
        <v>Transport Freight - HCV7</v>
      </c>
      <c r="D56" s="199" t="s">
        <v>149</v>
      </c>
      <c r="F56" s="10">
        <f t="shared" si="30"/>
        <v>28.003212301240232</v>
      </c>
      <c r="G56" s="10">
        <f t="shared" si="27"/>
        <v>29.559861446788599</v>
      </c>
      <c r="H56" s="10">
        <f t="shared" si="27"/>
        <v>30.149315114412186</v>
      </c>
      <c r="I56" s="10">
        <f t="shared" si="27"/>
        <v>29.133271771539118</v>
      </c>
      <c r="J56" s="10">
        <f t="shared" si="27"/>
        <v>36.957890692841893</v>
      </c>
      <c r="K56" s="10">
        <f t="shared" si="27"/>
        <v>49.548069125489704</v>
      </c>
      <c r="L56" s="10">
        <f t="shared" si="27"/>
        <v>68.919380049513791</v>
      </c>
      <c r="N56" s="10">
        <f t="shared" si="31"/>
        <v>29.559861446788599</v>
      </c>
      <c r="O56" s="10">
        <f t="shared" si="31"/>
        <v>29.133271771539118</v>
      </c>
      <c r="P56" s="10">
        <f t="shared" si="31"/>
        <v>40.171620318306402</v>
      </c>
      <c r="Q56" s="10">
        <f t="shared" si="31"/>
        <v>57.910319221002453</v>
      </c>
      <c r="R56" s="10">
        <f t="shared" si="31"/>
        <v>86.613908681970997</v>
      </c>
      <c r="S56" s="10"/>
      <c r="T56" s="10">
        <f t="shared" si="32"/>
        <v>29.559861446788599</v>
      </c>
      <c r="U56" s="10">
        <f t="shared" si="32"/>
        <v>29.133271771539118</v>
      </c>
      <c r="V56" s="10">
        <f t="shared" si="32"/>
        <v>36.957890692841893</v>
      </c>
      <c r="W56" s="10">
        <f t="shared" si="32"/>
        <v>49.548069125489704</v>
      </c>
      <c r="X56" s="10">
        <f t="shared" si="32"/>
        <v>68.919380049513791</v>
      </c>
      <c r="Y56" s="10"/>
      <c r="Z56" s="10"/>
      <c r="AA56" s="10"/>
      <c r="AB56" s="10"/>
      <c r="AC56" s="10"/>
      <c r="AD56" s="10"/>
      <c r="AE56" s="10"/>
      <c r="AF56" s="10"/>
      <c r="AG56" s="10"/>
      <c r="AH56" s="10"/>
      <c r="AI56" s="10"/>
      <c r="AJ56" s="10"/>
      <c r="AK56" s="10"/>
      <c r="AL56" s="10"/>
      <c r="AM56" s="10"/>
      <c r="AN56" s="10"/>
      <c r="AO56" s="10"/>
      <c r="AP56" s="10"/>
      <c r="AQ56" s="10"/>
      <c r="AR56" s="10"/>
    </row>
    <row r="57" spans="1:44">
      <c r="A57" s="199" t="s">
        <v>16</v>
      </c>
      <c r="B57" s="200" t="str">
        <f t="shared" si="28"/>
        <v>TFHCV8</v>
      </c>
      <c r="C57" s="200" t="str">
        <f t="shared" si="29"/>
        <v>Transport Freight - HCV8</v>
      </c>
      <c r="D57" s="199" t="s">
        <v>149</v>
      </c>
      <c r="F57" s="10">
        <f t="shared" si="30"/>
        <v>1.0763192990282064</v>
      </c>
      <c r="G57" s="10">
        <f t="shared" si="27"/>
        <v>1.1361499891342581</v>
      </c>
      <c r="H57" s="10">
        <f t="shared" si="27"/>
        <v>1.1588059741520242</v>
      </c>
      <c r="I57" s="10">
        <f t="shared" si="27"/>
        <v>1.1197537737537513</v>
      </c>
      <c r="J57" s="10">
        <f t="shared" si="27"/>
        <v>1.4204974263727206</v>
      </c>
      <c r="K57" s="10">
        <f t="shared" si="27"/>
        <v>1.9044080534641481</v>
      </c>
      <c r="L57" s="10">
        <f t="shared" si="27"/>
        <v>2.6489553422078624</v>
      </c>
      <c r="N57" s="10">
        <f t="shared" si="31"/>
        <v>1.1361499891342581</v>
      </c>
      <c r="O57" s="10">
        <f t="shared" si="31"/>
        <v>1.1197537737537513</v>
      </c>
      <c r="P57" s="10">
        <f t="shared" si="31"/>
        <v>1.544018941709479</v>
      </c>
      <c r="Q57" s="10">
        <f t="shared" si="31"/>
        <v>2.2258158642638475</v>
      </c>
      <c r="R57" s="10">
        <f t="shared" si="31"/>
        <v>3.3290545554498157</v>
      </c>
      <c r="S57" s="10"/>
      <c r="T57" s="10">
        <f t="shared" si="32"/>
        <v>1.1361499891342581</v>
      </c>
      <c r="U57" s="10">
        <f t="shared" si="32"/>
        <v>1.1197537737537513</v>
      </c>
      <c r="V57" s="10">
        <f t="shared" si="32"/>
        <v>1.4204974263727206</v>
      </c>
      <c r="W57" s="10">
        <f t="shared" si="32"/>
        <v>1.9044080534641481</v>
      </c>
      <c r="X57" s="10">
        <f t="shared" si="32"/>
        <v>2.6489553422078624</v>
      </c>
      <c r="Y57" s="10"/>
      <c r="Z57" s="10"/>
      <c r="AA57" s="10"/>
      <c r="AB57" s="10"/>
      <c r="AC57" s="10"/>
      <c r="AD57" s="10"/>
      <c r="AE57" s="10"/>
      <c r="AF57" s="10"/>
      <c r="AG57" s="10"/>
      <c r="AH57" s="10"/>
      <c r="AI57" s="10"/>
      <c r="AJ57" s="10"/>
      <c r="AK57" s="10"/>
      <c r="AL57" s="10"/>
      <c r="AM57" s="10"/>
      <c r="AN57" s="10"/>
      <c r="AO57" s="10"/>
      <c r="AP57" s="10"/>
      <c r="AQ57" s="10"/>
      <c r="AR57" s="10"/>
    </row>
    <row r="58" spans="1:44">
      <c r="A58" s="199" t="s">
        <v>16</v>
      </c>
      <c r="B58" s="200" t="str">
        <f t="shared" si="28"/>
        <v>TFHCV9</v>
      </c>
      <c r="C58" s="200" t="str">
        <f t="shared" si="29"/>
        <v>Transport Freight - HCV9</v>
      </c>
      <c r="D58" s="199" t="s">
        <v>149</v>
      </c>
      <c r="F58" s="10">
        <f t="shared" si="30"/>
        <v>0.87560973396075781</v>
      </c>
      <c r="G58" s="10">
        <f t="shared" si="27"/>
        <v>0.9242833336014491</v>
      </c>
      <c r="H58" s="10">
        <f t="shared" si="27"/>
        <v>0.94271448226889054</v>
      </c>
      <c r="I58" s="10">
        <f t="shared" si="27"/>
        <v>0.9109446470237289</v>
      </c>
      <c r="J58" s="10">
        <f t="shared" si="27"/>
        <v>1.1556063100616794</v>
      </c>
      <c r="K58" s="10">
        <f t="shared" si="27"/>
        <v>1.5492783884410937</v>
      </c>
      <c r="L58" s="10">
        <f t="shared" si="27"/>
        <v>2.1549841989814307</v>
      </c>
      <c r="N58" s="10">
        <f t="shared" si="31"/>
        <v>0.9242833336014491</v>
      </c>
      <c r="O58" s="10">
        <f t="shared" si="31"/>
        <v>0.9109446470237289</v>
      </c>
      <c r="P58" s="10">
        <f t="shared" si="31"/>
        <v>1.2560938152844343</v>
      </c>
      <c r="Q58" s="10">
        <f t="shared" si="31"/>
        <v>1.8107508046296092</v>
      </c>
      <c r="R58" s="10">
        <f t="shared" si="31"/>
        <v>2.7082600639699872</v>
      </c>
      <c r="S58" s="10"/>
      <c r="T58" s="10">
        <f t="shared" si="32"/>
        <v>0.9242833336014491</v>
      </c>
      <c r="U58" s="10">
        <f t="shared" si="32"/>
        <v>0.9109446470237289</v>
      </c>
      <c r="V58" s="10">
        <f t="shared" si="32"/>
        <v>1.1556063100616794</v>
      </c>
      <c r="W58" s="10">
        <f t="shared" si="32"/>
        <v>1.5492783884410937</v>
      </c>
      <c r="X58" s="10">
        <f t="shared" si="32"/>
        <v>2.1549841989814307</v>
      </c>
      <c r="Y58" s="10"/>
      <c r="Z58" s="10"/>
      <c r="AA58" s="10"/>
      <c r="AB58" s="10"/>
      <c r="AC58" s="10"/>
      <c r="AD58" s="10"/>
      <c r="AE58" s="10"/>
      <c r="AF58" s="10"/>
      <c r="AG58" s="10"/>
      <c r="AH58" s="10"/>
      <c r="AI58" s="10"/>
      <c r="AJ58" s="10"/>
      <c r="AK58" s="10"/>
      <c r="AL58" s="10"/>
      <c r="AM58" s="10"/>
      <c r="AN58" s="10"/>
      <c r="AO58" s="10"/>
      <c r="AP58" s="10"/>
      <c r="AQ58" s="10"/>
      <c r="AR58" s="10"/>
    </row>
    <row r="59" spans="1:44">
      <c r="A59" s="199" t="s">
        <v>16</v>
      </c>
      <c r="B59" s="200" t="str">
        <f>B23</f>
        <v>TFRCO</v>
      </c>
      <c r="C59" s="200" t="str">
        <f>C36</f>
        <v>Transport Freight - Rail Corridor</v>
      </c>
      <c r="D59" s="199" t="s">
        <v>149</v>
      </c>
      <c r="F59" s="10">
        <f>F102</f>
        <v>22</v>
      </c>
      <c r="G59" s="10">
        <f t="shared" si="27"/>
        <v>23.222941169522429</v>
      </c>
      <c r="H59" s="10">
        <f t="shared" si="27"/>
        <v>23.686030209030392</v>
      </c>
      <c r="I59" s="10">
        <f t="shared" si="27"/>
        <v>22.887802016394883</v>
      </c>
      <c r="J59" s="10">
        <f t="shared" si="27"/>
        <v>48.88546787047725</v>
      </c>
      <c r="K59" s="10">
        <f t="shared" si="27"/>
        <v>90.577822900637926</v>
      </c>
      <c r="L59" s="10">
        <f t="shared" si="27"/>
        <v>163.43969443961191</v>
      </c>
      <c r="N59" s="10">
        <f t="shared" si="31"/>
        <v>23.222941169522429</v>
      </c>
      <c r="O59" s="10">
        <f>O36*O$60</f>
        <v>22.887802016394883</v>
      </c>
      <c r="P59" s="10">
        <f>P36*P$60</f>
        <v>31.559795265473838</v>
      </c>
      <c r="Q59" s="10">
        <f>Q36*Q$60</f>
        <v>45.49574560078694</v>
      </c>
      <c r="R59" s="10">
        <f>R36*R$60</f>
        <v>68.045978815043583</v>
      </c>
      <c r="S59" s="10"/>
      <c r="T59" s="10">
        <f t="shared" si="32"/>
        <v>23.222941169522429</v>
      </c>
      <c r="U59" s="10">
        <f t="shared" si="32"/>
        <v>22.887802016394883</v>
      </c>
      <c r="V59" s="10">
        <f t="shared" si="32"/>
        <v>48.88546787047725</v>
      </c>
      <c r="W59" s="10">
        <f t="shared" si="32"/>
        <v>90.577822900637926</v>
      </c>
      <c r="X59" s="10">
        <f>X36*X$60</f>
        <v>163.43969443961191</v>
      </c>
      <c r="Y59" s="10"/>
      <c r="Z59" s="10"/>
      <c r="AA59" s="10"/>
      <c r="AB59" s="10"/>
      <c r="AC59" s="10"/>
      <c r="AD59" s="10"/>
      <c r="AE59" s="10"/>
      <c r="AF59" s="10"/>
      <c r="AG59" s="10"/>
      <c r="AH59" s="10"/>
      <c r="AI59" s="10"/>
      <c r="AJ59" s="10"/>
      <c r="AK59" s="10"/>
      <c r="AL59" s="10"/>
      <c r="AM59" s="10"/>
      <c r="AN59" s="10"/>
      <c r="AO59" s="10"/>
      <c r="AP59" s="10"/>
      <c r="AQ59" s="10"/>
      <c r="AR59" s="10"/>
    </row>
    <row r="60" spans="1:44">
      <c r="A60" s="199" t="s">
        <v>16</v>
      </c>
      <c r="B60" s="200"/>
      <c r="C60" s="3" t="s">
        <v>5</v>
      </c>
      <c r="D60" s="5" t="s">
        <v>149</v>
      </c>
      <c r="E60" s="5"/>
      <c r="F60" s="49">
        <f>SUM(F51:F59)</f>
        <v>172.96929261731697</v>
      </c>
      <c r="G60" s="49">
        <f>F60*(1+(F22+G22)/2*((G7/F7)^(1/(G$4-F$4))-1))^(G$4-F$4)</f>
        <v>182.58435029935751</v>
      </c>
      <c r="H60" s="49">
        <f>G60*(1+(G22+H22)/2*((H7/G7)^(1/(H$4-G$4))-1))^(H$4-G$4)</f>
        <v>186.22526773492683</v>
      </c>
      <c r="I60" s="49">
        <f>G60*(1+(G22+I22)/2*((I7/G7)^(1/(I$4-G$4))-1))^(I$4-G$4)</f>
        <v>179.94940565186485</v>
      </c>
      <c r="J60" s="49">
        <f>I60*(1+(I22+J22)/2*((J7/I7)^(1/(J$4-I$4))-1))^(J$4-I$4)</f>
        <v>248.1307028280165</v>
      </c>
      <c r="K60" s="49">
        <f>J60*(1+(J22+K22)/2*((K7/J7)^(1/(K$4-J$4))-1))^(K$4-J$4)</f>
        <v>357.69849698479698</v>
      </c>
      <c r="L60" s="49">
        <f>K60*(1+(K22+L22)/2*((L7/K7)^(1/(L$4-K$4))-1))^(L$4-K$4)</f>
        <v>534.99385550413785</v>
      </c>
      <c r="N60" s="85">
        <f>$G60</f>
        <v>182.58435029935751</v>
      </c>
      <c r="O60" s="49">
        <f>N60*(1+(N22+O22)/2*((O7/N7)^(1/(O$4-N$4))-1))^(O$4-N$4)</f>
        <v>179.94940565186485</v>
      </c>
      <c r="P60" s="49">
        <f>O60*(1+(O22+P22)/2*((P7/O7)^(1/(P$4-O$4))-1))^(P$4-O$4)</f>
        <v>248.1307028280165</v>
      </c>
      <c r="Q60" s="49">
        <f>P60*(1+(P22+Q22)/2*((Q7/P7)^(1/(Q$4-P$4))-1))^(Q$4-P$4)</f>
        <v>357.69849698479698</v>
      </c>
      <c r="R60" s="49">
        <f>Q60*(1+(Q22+R22)/2*((R7/Q7)^(1/(R$4-Q$4))-1))^(R$4-Q$4)</f>
        <v>534.99385550413785</v>
      </c>
      <c r="T60" s="85">
        <f>$G60</f>
        <v>182.58435029935751</v>
      </c>
      <c r="U60" s="49">
        <f>T60*(1+(T22+U22)/2*((U7/T7)^(1/(U$4-T$4))-1))^(U$4-T$4)</f>
        <v>179.94940565186485</v>
      </c>
      <c r="V60" s="49">
        <f>U60*(1+(U22+V22)/2*((V7/U7)^(1/(V$4-U$4))-1))^(V$4-U$4)</f>
        <v>248.1307028280165</v>
      </c>
      <c r="W60" s="49">
        <f>V60*(1+(V22+W22)/2*((W7/V7)^(1/(W$4-V$4))-1))^(W$4-V$4)</f>
        <v>357.69849698479698</v>
      </c>
      <c r="X60" s="49">
        <f>W60*(1+(W22+X22)/2*((X7/W7)^(1/(X$4-W$4))-1))^(X$4-W$4)</f>
        <v>534.99385550413785</v>
      </c>
    </row>
    <row r="61" spans="1:44">
      <c r="A61" s="199" t="s">
        <v>16</v>
      </c>
      <c r="B61" s="200"/>
      <c r="C61" s="3"/>
      <c r="D61" s="5"/>
      <c r="E61" s="5"/>
      <c r="F61" s="49"/>
      <c r="G61" s="10"/>
      <c r="H61" s="10"/>
      <c r="I61" s="10"/>
      <c r="J61" s="10"/>
      <c r="K61" s="10"/>
      <c r="L61" s="10"/>
    </row>
    <row r="62" spans="1:44" ht="15.75" thickBot="1">
      <c r="A62" s="199" t="s">
        <v>16</v>
      </c>
      <c r="B62" s="14" t="s">
        <v>148</v>
      </c>
      <c r="C62" s="14"/>
      <c r="D62" s="14"/>
    </row>
    <row r="63" spans="1:44">
      <c r="A63" s="199" t="s">
        <v>16</v>
      </c>
      <c r="B63" s="199" t="s">
        <v>151</v>
      </c>
      <c r="C63" s="199" t="s">
        <v>152</v>
      </c>
      <c r="D63" s="199" t="s">
        <v>147</v>
      </c>
      <c r="F63" s="51">
        <f>[2]Calib_1011!$AC$36</f>
        <v>0.39784000000000003</v>
      </c>
      <c r="G63" s="65">
        <f t="shared" ref="G63:H72" si="33">F63</f>
        <v>0.39784000000000003</v>
      </c>
      <c r="H63" s="65">
        <f t="shared" si="33"/>
        <v>0.39784000000000003</v>
      </c>
      <c r="I63" s="65">
        <f t="shared" ref="I63:L72" si="34">IF($D$4,U63,O63)</f>
        <v>0.39784000000000003</v>
      </c>
      <c r="J63" s="65">
        <f t="shared" si="34"/>
        <v>0.39784000000000003</v>
      </c>
      <c r="K63" s="65">
        <f t="shared" si="34"/>
        <v>0.39784000000000003</v>
      </c>
      <c r="L63" s="65">
        <f t="shared" si="34"/>
        <v>0.39784000000000003</v>
      </c>
      <c r="M63" s="200"/>
      <c r="N63" s="85">
        <f>$G63</f>
        <v>0.39784000000000003</v>
      </c>
      <c r="O63" s="47">
        <f t="shared" ref="O63:Q72" si="35">N63</f>
        <v>0.39784000000000003</v>
      </c>
      <c r="P63" s="47">
        <f t="shared" si="35"/>
        <v>0.39784000000000003</v>
      </c>
      <c r="Q63" s="47">
        <f t="shared" si="35"/>
        <v>0.39784000000000003</v>
      </c>
      <c r="R63" s="47">
        <f>P63</f>
        <v>0.39784000000000003</v>
      </c>
      <c r="S63" s="250"/>
      <c r="T63" s="85">
        <f>$G63</f>
        <v>0.39784000000000003</v>
      </c>
      <c r="U63" s="47">
        <f t="shared" ref="U63:W72" si="36">T63</f>
        <v>0.39784000000000003</v>
      </c>
      <c r="V63" s="47">
        <f t="shared" si="36"/>
        <v>0.39784000000000003</v>
      </c>
      <c r="W63" s="47">
        <f t="shared" si="36"/>
        <v>0.39784000000000003</v>
      </c>
      <c r="X63" s="47">
        <f>V63</f>
        <v>0.39784000000000003</v>
      </c>
      <c r="Y63" s="250"/>
      <c r="Z63" s="250"/>
      <c r="AA63" s="250"/>
      <c r="AB63" s="250"/>
      <c r="AC63" s="250"/>
      <c r="AD63" s="250"/>
      <c r="AE63" s="250"/>
      <c r="AF63" s="250"/>
      <c r="AG63" s="250"/>
      <c r="AH63" s="250"/>
      <c r="AI63" s="250"/>
      <c r="AJ63" s="250"/>
      <c r="AK63" s="250"/>
      <c r="AL63" s="250"/>
      <c r="AM63" s="250"/>
      <c r="AN63" s="250"/>
      <c r="AO63" s="250"/>
      <c r="AP63" s="250"/>
      <c r="AQ63" s="250"/>
      <c r="AR63" s="250"/>
    </row>
    <row r="64" spans="1:44">
      <c r="A64" s="199" t="s">
        <v>16</v>
      </c>
      <c r="B64" s="199" t="s">
        <v>412</v>
      </c>
      <c r="C64" s="199" t="s">
        <v>421</v>
      </c>
      <c r="D64" s="199" t="s">
        <v>147</v>
      </c>
      <c r="F64" s="51">
        <f>[2]Calib_1011!$AC$35</f>
        <v>1.4841</v>
      </c>
      <c r="G64" s="65">
        <f t="shared" si="33"/>
        <v>1.4841</v>
      </c>
      <c r="H64" s="65">
        <f t="shared" si="33"/>
        <v>1.4841</v>
      </c>
      <c r="I64" s="65">
        <f t="shared" si="34"/>
        <v>1.4841</v>
      </c>
      <c r="J64" s="65">
        <f t="shared" si="34"/>
        <v>1.4841</v>
      </c>
      <c r="K64" s="65">
        <f t="shared" si="34"/>
        <v>1.4841</v>
      </c>
      <c r="L64" s="65">
        <f t="shared" si="34"/>
        <v>1.4841</v>
      </c>
      <c r="M64" s="200"/>
      <c r="N64" s="85">
        <f t="shared" ref="N64:N70" si="37">$G64</f>
        <v>1.4841</v>
      </c>
      <c r="O64" s="47">
        <f t="shared" si="35"/>
        <v>1.4841</v>
      </c>
      <c r="P64" s="47">
        <f t="shared" si="35"/>
        <v>1.4841</v>
      </c>
      <c r="Q64" s="47">
        <f t="shared" si="35"/>
        <v>1.4841</v>
      </c>
      <c r="R64" s="47">
        <f t="shared" ref="R64:R70" si="38">P64</f>
        <v>1.4841</v>
      </c>
      <c r="S64" s="250"/>
      <c r="T64" s="85">
        <f t="shared" ref="T64:T70" si="39">$G64</f>
        <v>1.4841</v>
      </c>
      <c r="U64" s="47">
        <f t="shared" si="36"/>
        <v>1.4841</v>
      </c>
      <c r="V64" s="47">
        <f t="shared" si="36"/>
        <v>1.4841</v>
      </c>
      <c r="W64" s="47">
        <f t="shared" si="36"/>
        <v>1.4841</v>
      </c>
      <c r="X64" s="47">
        <f t="shared" ref="X64:X70" si="40">V64</f>
        <v>1.4841</v>
      </c>
      <c r="Y64" s="250"/>
      <c r="Z64" s="250"/>
      <c r="AA64" s="250"/>
      <c r="AB64" s="250"/>
      <c r="AC64" s="250"/>
      <c r="AD64" s="250"/>
      <c r="AE64" s="250"/>
      <c r="AF64" s="250"/>
      <c r="AG64" s="250"/>
      <c r="AH64" s="250"/>
      <c r="AI64" s="250"/>
      <c r="AJ64" s="250"/>
      <c r="AK64" s="250"/>
      <c r="AL64" s="250"/>
      <c r="AM64" s="250"/>
      <c r="AN64" s="250"/>
      <c r="AO64" s="250"/>
      <c r="AP64" s="250"/>
      <c r="AQ64" s="250"/>
      <c r="AR64" s="250"/>
    </row>
    <row r="65" spans="1:44">
      <c r="A65" s="199" t="s">
        <v>16</v>
      </c>
      <c r="B65" s="199" t="s">
        <v>413</v>
      </c>
      <c r="C65" s="199" t="s">
        <v>422</v>
      </c>
      <c r="D65" s="199" t="s">
        <v>147</v>
      </c>
      <c r="F65" s="51">
        <f>[2]Calib_1011!$AC27</f>
        <v>2.5009999999999999</v>
      </c>
      <c r="G65" s="65">
        <f t="shared" si="33"/>
        <v>2.5009999999999999</v>
      </c>
      <c r="H65" s="65">
        <f t="shared" si="33"/>
        <v>2.5009999999999999</v>
      </c>
      <c r="I65" s="65">
        <f t="shared" si="34"/>
        <v>2.5009999999999999</v>
      </c>
      <c r="J65" s="65">
        <f t="shared" si="34"/>
        <v>2.5009999999999999</v>
      </c>
      <c r="K65" s="65">
        <f t="shared" si="34"/>
        <v>2.5009999999999999</v>
      </c>
      <c r="L65" s="65">
        <f t="shared" si="34"/>
        <v>2.5009999999999999</v>
      </c>
      <c r="M65" s="200"/>
      <c r="N65" s="85">
        <f t="shared" si="37"/>
        <v>2.5009999999999999</v>
      </c>
      <c r="O65" s="47">
        <f t="shared" si="35"/>
        <v>2.5009999999999999</v>
      </c>
      <c r="P65" s="47">
        <f t="shared" si="35"/>
        <v>2.5009999999999999</v>
      </c>
      <c r="Q65" s="47">
        <f t="shared" si="35"/>
        <v>2.5009999999999999</v>
      </c>
      <c r="R65" s="47">
        <f t="shared" si="38"/>
        <v>2.5009999999999999</v>
      </c>
      <c r="S65" s="250"/>
      <c r="T65" s="85">
        <f t="shared" si="39"/>
        <v>2.5009999999999999</v>
      </c>
      <c r="U65" s="47">
        <f t="shared" si="36"/>
        <v>2.5009999999999999</v>
      </c>
      <c r="V65" s="47">
        <f t="shared" si="36"/>
        <v>2.5009999999999999</v>
      </c>
      <c r="W65" s="47">
        <f t="shared" si="36"/>
        <v>2.5009999999999999</v>
      </c>
      <c r="X65" s="47">
        <f t="shared" si="40"/>
        <v>2.5009999999999999</v>
      </c>
      <c r="Y65" s="250"/>
      <c r="Z65" s="250"/>
      <c r="AA65" s="250"/>
      <c r="AB65" s="250"/>
      <c r="AC65" s="250"/>
      <c r="AD65" s="250"/>
      <c r="AE65" s="250"/>
      <c r="AF65" s="250"/>
      <c r="AG65" s="250"/>
      <c r="AH65" s="250"/>
      <c r="AI65" s="250"/>
      <c r="AJ65" s="250"/>
      <c r="AK65" s="250"/>
      <c r="AL65" s="250"/>
      <c r="AM65" s="250"/>
      <c r="AN65" s="250"/>
      <c r="AO65" s="250"/>
      <c r="AP65" s="250"/>
      <c r="AQ65" s="250"/>
      <c r="AR65" s="250"/>
    </row>
    <row r="66" spans="1:44">
      <c r="A66" s="199" t="s">
        <v>16</v>
      </c>
      <c r="B66" s="199" t="s">
        <v>414</v>
      </c>
      <c r="C66" s="199" t="s">
        <v>423</v>
      </c>
      <c r="D66" s="199" t="s">
        <v>147</v>
      </c>
      <c r="F66" s="51">
        <f>[2]Calib_1011!$AC28</f>
        <v>5.0070955734014992</v>
      </c>
      <c r="G66" s="65">
        <f t="shared" si="33"/>
        <v>5.0070955734014992</v>
      </c>
      <c r="H66" s="65">
        <f t="shared" si="33"/>
        <v>5.0070955734014992</v>
      </c>
      <c r="I66" s="65">
        <f t="shared" si="34"/>
        <v>5.0070955734014992</v>
      </c>
      <c r="J66" s="65">
        <f t="shared" si="34"/>
        <v>5.0070955734014992</v>
      </c>
      <c r="K66" s="65">
        <f t="shared" si="34"/>
        <v>5.0070955734014992</v>
      </c>
      <c r="L66" s="65">
        <f t="shared" si="34"/>
        <v>5.0070955734014992</v>
      </c>
      <c r="M66" s="200"/>
      <c r="N66" s="85">
        <f t="shared" si="37"/>
        <v>5.0070955734014992</v>
      </c>
      <c r="O66" s="47">
        <f t="shared" si="35"/>
        <v>5.0070955734014992</v>
      </c>
      <c r="P66" s="47">
        <f t="shared" si="35"/>
        <v>5.0070955734014992</v>
      </c>
      <c r="Q66" s="47">
        <f t="shared" si="35"/>
        <v>5.0070955734014992</v>
      </c>
      <c r="R66" s="47">
        <f t="shared" si="38"/>
        <v>5.0070955734014992</v>
      </c>
      <c r="S66" s="250"/>
      <c r="T66" s="85">
        <f t="shared" si="39"/>
        <v>5.0070955734014992</v>
      </c>
      <c r="U66" s="47">
        <f t="shared" si="36"/>
        <v>5.0070955734014992</v>
      </c>
      <c r="V66" s="47">
        <f t="shared" si="36"/>
        <v>5.0070955734014992</v>
      </c>
      <c r="W66" s="47">
        <f t="shared" si="36"/>
        <v>5.0070955734014992</v>
      </c>
      <c r="X66" s="47">
        <f t="shared" si="40"/>
        <v>5.0070955734014992</v>
      </c>
      <c r="Y66" s="250"/>
      <c r="Z66" s="250"/>
      <c r="AA66" s="250"/>
      <c r="AB66" s="250"/>
      <c r="AC66" s="250"/>
      <c r="AD66" s="250"/>
      <c r="AE66" s="250"/>
      <c r="AF66" s="250"/>
      <c r="AG66" s="250"/>
      <c r="AH66" s="250"/>
      <c r="AI66" s="250"/>
      <c r="AJ66" s="250"/>
      <c r="AK66" s="250"/>
      <c r="AL66" s="250"/>
      <c r="AM66" s="250"/>
      <c r="AN66" s="250"/>
      <c r="AO66" s="250"/>
      <c r="AP66" s="250"/>
      <c r="AQ66" s="250"/>
      <c r="AR66" s="250"/>
    </row>
    <row r="67" spans="1:44">
      <c r="A67" s="199" t="s">
        <v>16</v>
      </c>
      <c r="B67" s="199" t="s">
        <v>415</v>
      </c>
      <c r="C67" s="199" t="s">
        <v>424</v>
      </c>
      <c r="D67" s="199" t="s">
        <v>147</v>
      </c>
      <c r="F67" s="51">
        <f>[2]Calib_1011!$AC29</f>
        <v>7.9193584801965402</v>
      </c>
      <c r="G67" s="65">
        <f t="shared" si="33"/>
        <v>7.9193584801965402</v>
      </c>
      <c r="H67" s="65">
        <f t="shared" si="33"/>
        <v>7.9193584801965402</v>
      </c>
      <c r="I67" s="65">
        <f t="shared" si="34"/>
        <v>7.9193584801965402</v>
      </c>
      <c r="J67" s="65">
        <f t="shared" si="34"/>
        <v>7.9193584801965402</v>
      </c>
      <c r="K67" s="65">
        <f t="shared" si="34"/>
        <v>7.9193584801965402</v>
      </c>
      <c r="L67" s="65">
        <f t="shared" si="34"/>
        <v>7.9193584801965402</v>
      </c>
      <c r="M67" s="200"/>
      <c r="N67" s="85">
        <f t="shared" si="37"/>
        <v>7.9193584801965402</v>
      </c>
      <c r="O67" s="47">
        <f t="shared" si="35"/>
        <v>7.9193584801965402</v>
      </c>
      <c r="P67" s="47">
        <f t="shared" si="35"/>
        <v>7.9193584801965402</v>
      </c>
      <c r="Q67" s="47">
        <f t="shared" si="35"/>
        <v>7.9193584801965402</v>
      </c>
      <c r="R67" s="47">
        <f t="shared" si="38"/>
        <v>7.9193584801965402</v>
      </c>
      <c r="S67" s="250"/>
      <c r="T67" s="85">
        <f t="shared" si="39"/>
        <v>7.9193584801965402</v>
      </c>
      <c r="U67" s="47">
        <f t="shared" si="36"/>
        <v>7.9193584801965402</v>
      </c>
      <c r="V67" s="47">
        <f t="shared" si="36"/>
        <v>7.9193584801965402</v>
      </c>
      <c r="W67" s="47">
        <f t="shared" si="36"/>
        <v>7.9193584801965402</v>
      </c>
      <c r="X67" s="47">
        <f t="shared" si="40"/>
        <v>7.9193584801965402</v>
      </c>
      <c r="Y67" s="250"/>
      <c r="Z67" s="250"/>
      <c r="AA67" s="250"/>
      <c r="AB67" s="250"/>
      <c r="AC67" s="250"/>
      <c r="AD67" s="250"/>
      <c r="AE67" s="250"/>
      <c r="AF67" s="250"/>
      <c r="AG67" s="250"/>
      <c r="AH67" s="250"/>
      <c r="AI67" s="250"/>
      <c r="AJ67" s="250"/>
      <c r="AK67" s="250"/>
      <c r="AL67" s="250"/>
      <c r="AM67" s="250"/>
      <c r="AN67" s="250"/>
      <c r="AO67" s="250"/>
      <c r="AP67" s="250"/>
      <c r="AQ67" s="250"/>
      <c r="AR67" s="250"/>
    </row>
    <row r="68" spans="1:44">
      <c r="A68" s="199" t="s">
        <v>16</v>
      </c>
      <c r="B68" s="199" t="s">
        <v>416</v>
      </c>
      <c r="C68" s="199" t="s">
        <v>425</v>
      </c>
      <c r="D68" s="199" t="s">
        <v>147</v>
      </c>
      <c r="F68" s="51">
        <f>[2]Calib_1011!$AC30</f>
        <v>10.886935146339562</v>
      </c>
      <c r="G68" s="65">
        <f t="shared" si="33"/>
        <v>10.886935146339562</v>
      </c>
      <c r="H68" s="65">
        <f t="shared" si="33"/>
        <v>10.886935146339562</v>
      </c>
      <c r="I68" s="65">
        <f t="shared" si="34"/>
        <v>10.886935146339562</v>
      </c>
      <c r="J68" s="65">
        <f t="shared" si="34"/>
        <v>10.886935146339562</v>
      </c>
      <c r="K68" s="65">
        <f t="shared" si="34"/>
        <v>10.886935146339562</v>
      </c>
      <c r="L68" s="65">
        <f t="shared" si="34"/>
        <v>10.886935146339562</v>
      </c>
      <c r="M68" s="200"/>
      <c r="N68" s="85">
        <f t="shared" si="37"/>
        <v>10.886935146339562</v>
      </c>
      <c r="O68" s="47">
        <f t="shared" si="35"/>
        <v>10.886935146339562</v>
      </c>
      <c r="P68" s="47">
        <f t="shared" si="35"/>
        <v>10.886935146339562</v>
      </c>
      <c r="Q68" s="47">
        <f t="shared" si="35"/>
        <v>10.886935146339562</v>
      </c>
      <c r="R68" s="47">
        <f t="shared" si="38"/>
        <v>10.886935146339562</v>
      </c>
      <c r="S68" s="250"/>
      <c r="T68" s="85">
        <f t="shared" si="39"/>
        <v>10.886935146339562</v>
      </c>
      <c r="U68" s="47">
        <f t="shared" si="36"/>
        <v>10.886935146339562</v>
      </c>
      <c r="V68" s="47">
        <f t="shared" si="36"/>
        <v>10.886935146339562</v>
      </c>
      <c r="W68" s="47">
        <f t="shared" si="36"/>
        <v>10.886935146339562</v>
      </c>
      <c r="X68" s="47">
        <f t="shared" si="40"/>
        <v>10.886935146339562</v>
      </c>
      <c r="Y68" s="250"/>
      <c r="Z68" s="250"/>
      <c r="AA68" s="250"/>
      <c r="AB68" s="250"/>
      <c r="AC68" s="250"/>
      <c r="AD68" s="250"/>
      <c r="AE68" s="250"/>
      <c r="AF68" s="250"/>
      <c r="AG68" s="250"/>
      <c r="AH68" s="250"/>
      <c r="AI68" s="250"/>
      <c r="AJ68" s="250"/>
      <c r="AK68" s="250"/>
      <c r="AL68" s="250"/>
      <c r="AM68" s="250"/>
      <c r="AN68" s="250"/>
      <c r="AO68" s="250"/>
      <c r="AP68" s="250"/>
      <c r="AQ68" s="250"/>
      <c r="AR68" s="250"/>
    </row>
    <row r="69" spans="1:44">
      <c r="A69" s="199" t="s">
        <v>16</v>
      </c>
      <c r="B69" s="199" t="s">
        <v>417</v>
      </c>
      <c r="C69" s="199" t="s">
        <v>426</v>
      </c>
      <c r="D69" s="199" t="s">
        <v>147</v>
      </c>
      <c r="F69" s="51">
        <f>[2]Calib_1011!$AC31</f>
        <v>19.520776457571557</v>
      </c>
      <c r="G69" s="65">
        <f t="shared" si="33"/>
        <v>19.520776457571557</v>
      </c>
      <c r="H69" s="65">
        <f t="shared" si="33"/>
        <v>19.520776457571557</v>
      </c>
      <c r="I69" s="65">
        <f t="shared" si="34"/>
        <v>19.520776457571557</v>
      </c>
      <c r="J69" s="65">
        <f t="shared" si="34"/>
        <v>19.520776457571557</v>
      </c>
      <c r="K69" s="65">
        <f t="shared" si="34"/>
        <v>19.520776457571557</v>
      </c>
      <c r="L69" s="65">
        <f t="shared" si="34"/>
        <v>19.520776457571557</v>
      </c>
      <c r="M69" s="200"/>
      <c r="N69" s="85">
        <f t="shared" si="37"/>
        <v>19.520776457571557</v>
      </c>
      <c r="O69" s="47">
        <f t="shared" si="35"/>
        <v>19.520776457571557</v>
      </c>
      <c r="P69" s="47">
        <f t="shared" si="35"/>
        <v>19.520776457571557</v>
      </c>
      <c r="Q69" s="47">
        <f t="shared" si="35"/>
        <v>19.520776457571557</v>
      </c>
      <c r="R69" s="47">
        <f t="shared" si="38"/>
        <v>19.520776457571557</v>
      </c>
      <c r="S69" s="250"/>
      <c r="T69" s="85">
        <f t="shared" si="39"/>
        <v>19.520776457571557</v>
      </c>
      <c r="U69" s="47">
        <f t="shared" si="36"/>
        <v>19.520776457571557</v>
      </c>
      <c r="V69" s="47">
        <f t="shared" si="36"/>
        <v>19.520776457571557</v>
      </c>
      <c r="W69" s="47">
        <f t="shared" si="36"/>
        <v>19.520776457571557</v>
      </c>
      <c r="X69" s="47">
        <f t="shared" si="40"/>
        <v>19.520776457571557</v>
      </c>
      <c r="Y69" s="250"/>
      <c r="Z69" s="250"/>
      <c r="AA69" s="250"/>
      <c r="AB69" s="250"/>
      <c r="AC69" s="250"/>
      <c r="AD69" s="250"/>
      <c r="AE69" s="250"/>
      <c r="AF69" s="250"/>
      <c r="AG69" s="250"/>
      <c r="AH69" s="250"/>
      <c r="AI69" s="250"/>
      <c r="AJ69" s="250"/>
      <c r="AK69" s="250"/>
      <c r="AL69" s="250"/>
      <c r="AM69" s="250"/>
      <c r="AN69" s="250"/>
      <c r="AO69" s="250"/>
      <c r="AP69" s="250"/>
      <c r="AQ69" s="250"/>
      <c r="AR69" s="250"/>
    </row>
    <row r="70" spans="1:44">
      <c r="A70" s="199" t="s">
        <v>16</v>
      </c>
      <c r="B70" s="199" t="s">
        <v>418</v>
      </c>
      <c r="C70" s="199" t="s">
        <v>427</v>
      </c>
      <c r="D70" s="199" t="s">
        <v>147</v>
      </c>
      <c r="F70" s="51">
        <f>[2]Calib_1011!$AC32</f>
        <v>17.889918497338776</v>
      </c>
      <c r="G70" s="65">
        <f t="shared" si="33"/>
        <v>17.889918497338776</v>
      </c>
      <c r="H70" s="65">
        <f t="shared" si="33"/>
        <v>17.889918497338776</v>
      </c>
      <c r="I70" s="65">
        <f t="shared" si="34"/>
        <v>17.889918497338776</v>
      </c>
      <c r="J70" s="65">
        <f t="shared" si="34"/>
        <v>17.889918497338776</v>
      </c>
      <c r="K70" s="65">
        <f t="shared" si="34"/>
        <v>17.889918497338776</v>
      </c>
      <c r="L70" s="65">
        <f t="shared" si="34"/>
        <v>17.889918497338776</v>
      </c>
      <c r="M70" s="200"/>
      <c r="N70" s="85">
        <f t="shared" si="37"/>
        <v>17.889918497338776</v>
      </c>
      <c r="O70" s="47">
        <f t="shared" si="35"/>
        <v>17.889918497338776</v>
      </c>
      <c r="P70" s="47">
        <f t="shared" si="35"/>
        <v>17.889918497338776</v>
      </c>
      <c r="Q70" s="47">
        <f t="shared" si="35"/>
        <v>17.889918497338776</v>
      </c>
      <c r="R70" s="47">
        <f t="shared" si="38"/>
        <v>17.889918497338776</v>
      </c>
      <c r="S70" s="250"/>
      <c r="T70" s="85">
        <f t="shared" si="39"/>
        <v>17.889918497338776</v>
      </c>
      <c r="U70" s="47">
        <f t="shared" si="36"/>
        <v>17.889918497338776</v>
      </c>
      <c r="V70" s="47">
        <f t="shared" si="36"/>
        <v>17.889918497338776</v>
      </c>
      <c r="W70" s="47">
        <f t="shared" si="36"/>
        <v>17.889918497338776</v>
      </c>
      <c r="X70" s="47">
        <f t="shared" si="40"/>
        <v>17.889918497338776</v>
      </c>
      <c r="Y70" s="250"/>
      <c r="Z70" s="250"/>
      <c r="AA70" s="250"/>
      <c r="AB70" s="250"/>
      <c r="AC70" s="250"/>
      <c r="AD70" s="250"/>
      <c r="AE70" s="250"/>
      <c r="AF70" s="250"/>
      <c r="AG70" s="250"/>
      <c r="AH70" s="250"/>
      <c r="AI70" s="250"/>
      <c r="AJ70" s="250"/>
      <c r="AK70" s="250"/>
      <c r="AL70" s="250"/>
      <c r="AM70" s="250"/>
      <c r="AN70" s="250"/>
      <c r="AO70" s="250"/>
      <c r="AP70" s="250"/>
      <c r="AQ70" s="250"/>
      <c r="AR70" s="250"/>
    </row>
    <row r="71" spans="1:44">
      <c r="A71" s="199" t="s">
        <v>16</v>
      </c>
      <c r="B71" s="199" t="s">
        <v>419</v>
      </c>
      <c r="C71" s="199" t="s">
        <v>428</v>
      </c>
      <c r="D71" s="199" t="s">
        <v>147</v>
      </c>
      <c r="F71" s="51">
        <f>[2]Calib_1011!$AC33</f>
        <v>18.402975262404723</v>
      </c>
      <c r="G71" s="65">
        <f t="shared" si="33"/>
        <v>18.402975262404723</v>
      </c>
      <c r="H71" s="65">
        <f t="shared" si="33"/>
        <v>18.402975262404723</v>
      </c>
      <c r="I71" s="65">
        <f t="shared" si="34"/>
        <v>18.402975262404723</v>
      </c>
      <c r="J71" s="65">
        <f t="shared" si="34"/>
        <v>18.402975262404723</v>
      </c>
      <c r="K71" s="65">
        <f t="shared" si="34"/>
        <v>18.402975262404723</v>
      </c>
      <c r="L71" s="65">
        <f t="shared" si="34"/>
        <v>18.402975262404723</v>
      </c>
      <c r="M71" s="200"/>
      <c r="N71" s="85">
        <f>$G71</f>
        <v>18.402975262404723</v>
      </c>
      <c r="O71" s="47">
        <f t="shared" si="35"/>
        <v>18.402975262404723</v>
      </c>
      <c r="P71" s="47">
        <f t="shared" si="35"/>
        <v>18.402975262404723</v>
      </c>
      <c r="Q71" s="47">
        <f t="shared" si="35"/>
        <v>18.402975262404723</v>
      </c>
      <c r="R71" s="47">
        <f>P71</f>
        <v>18.402975262404723</v>
      </c>
      <c r="S71" s="250"/>
      <c r="T71" s="85">
        <f>$G71</f>
        <v>18.402975262404723</v>
      </c>
      <c r="U71" s="47">
        <f t="shared" si="36"/>
        <v>18.402975262404723</v>
      </c>
      <c r="V71" s="47">
        <f t="shared" si="36"/>
        <v>18.402975262404723</v>
      </c>
      <c r="W71" s="47">
        <f t="shared" si="36"/>
        <v>18.402975262404723</v>
      </c>
      <c r="X71" s="47">
        <f>V71</f>
        <v>18.402975262404723</v>
      </c>
      <c r="Y71" s="250"/>
      <c r="Z71" s="250"/>
      <c r="AA71" s="250"/>
      <c r="AB71" s="250"/>
      <c r="AC71" s="250"/>
      <c r="AD71" s="250"/>
      <c r="AE71" s="250"/>
      <c r="AF71" s="250"/>
      <c r="AG71" s="250"/>
      <c r="AH71" s="250"/>
      <c r="AI71" s="250"/>
      <c r="AJ71" s="250"/>
      <c r="AK71" s="250"/>
      <c r="AL71" s="250"/>
      <c r="AM71" s="250"/>
      <c r="AN71" s="250"/>
      <c r="AO71" s="250"/>
      <c r="AP71" s="250"/>
      <c r="AQ71" s="250"/>
      <c r="AR71" s="250"/>
    </row>
    <row r="72" spans="1:44">
      <c r="A72" s="199" t="s">
        <v>16</v>
      </c>
      <c r="B72" s="199" t="s">
        <v>420</v>
      </c>
      <c r="C72" s="199" t="s">
        <v>429</v>
      </c>
      <c r="D72" s="199" t="s">
        <v>147</v>
      </c>
      <c r="F72" s="51">
        <f>[2]Calib_1011!$AC34</f>
        <v>21.907017031495844</v>
      </c>
      <c r="G72" s="65">
        <f t="shared" si="33"/>
        <v>21.907017031495844</v>
      </c>
      <c r="H72" s="65">
        <f t="shared" si="33"/>
        <v>21.907017031495844</v>
      </c>
      <c r="I72" s="65">
        <f t="shared" si="34"/>
        <v>21.907017031495844</v>
      </c>
      <c r="J72" s="65">
        <f t="shared" si="34"/>
        <v>21.907017031495844</v>
      </c>
      <c r="K72" s="65">
        <f t="shared" si="34"/>
        <v>21.907017031495844</v>
      </c>
      <c r="L72" s="65">
        <f t="shared" si="34"/>
        <v>21.907017031495844</v>
      </c>
      <c r="M72" s="200"/>
      <c r="N72" s="85">
        <f>$G72</f>
        <v>21.907017031495844</v>
      </c>
      <c r="O72" s="47">
        <f t="shared" si="35"/>
        <v>21.907017031495844</v>
      </c>
      <c r="P72" s="47">
        <f t="shared" si="35"/>
        <v>21.907017031495844</v>
      </c>
      <c r="Q72" s="47">
        <f t="shared" si="35"/>
        <v>21.907017031495844</v>
      </c>
      <c r="R72" s="47">
        <f>P72</f>
        <v>21.907017031495844</v>
      </c>
      <c r="S72" s="250"/>
      <c r="T72" s="85">
        <f>$G72</f>
        <v>21.907017031495844</v>
      </c>
      <c r="U72" s="47">
        <f t="shared" si="36"/>
        <v>21.907017031495844</v>
      </c>
      <c r="V72" s="47">
        <f t="shared" si="36"/>
        <v>21.907017031495844</v>
      </c>
      <c r="W72" s="47">
        <f t="shared" si="36"/>
        <v>21.907017031495844</v>
      </c>
      <c r="X72" s="47">
        <f>V72</f>
        <v>21.907017031495844</v>
      </c>
      <c r="Y72" s="250"/>
      <c r="Z72" s="250"/>
      <c r="AA72" s="250"/>
      <c r="AB72" s="250"/>
      <c r="AC72" s="250"/>
      <c r="AD72" s="250"/>
      <c r="AE72" s="250"/>
      <c r="AF72" s="250"/>
      <c r="AG72" s="250"/>
      <c r="AH72" s="250"/>
      <c r="AI72" s="250"/>
      <c r="AJ72" s="250"/>
      <c r="AK72" s="250"/>
      <c r="AL72" s="250"/>
      <c r="AM72" s="250"/>
      <c r="AN72" s="250"/>
      <c r="AO72" s="250"/>
      <c r="AP72" s="250"/>
      <c r="AQ72" s="250"/>
      <c r="AR72" s="250"/>
    </row>
    <row r="73" spans="1:44">
      <c r="A73" s="199" t="s">
        <v>16</v>
      </c>
      <c r="N73" s="204">
        <f>SUM(N86:N88)/N89</f>
        <v>0.41899051383657177</v>
      </c>
      <c r="AA73" s="199" t="s">
        <v>476</v>
      </c>
    </row>
    <row r="74" spans="1:44">
      <c r="A74" s="199" t="s">
        <v>16</v>
      </c>
      <c r="N74" s="5" t="s">
        <v>41</v>
      </c>
      <c r="T74" s="5" t="s">
        <v>197</v>
      </c>
      <c r="AA74" s="7" t="str">
        <f>N74</f>
        <v>Reference</v>
      </c>
      <c r="AG74" s="7" t="s">
        <v>633</v>
      </c>
    </row>
    <row r="75" spans="1:44" ht="15.75" thickBot="1">
      <c r="A75" s="199" t="s">
        <v>16</v>
      </c>
      <c r="B75" s="14" t="s">
        <v>210</v>
      </c>
      <c r="C75" s="14"/>
      <c r="D75" s="14"/>
      <c r="E75" s="279" t="s">
        <v>632</v>
      </c>
      <c r="F75" s="199">
        <f t="shared" ref="F75:L75" si="41">F$4</f>
        <v>2012</v>
      </c>
      <c r="G75" s="199">
        <f t="shared" si="41"/>
        <v>2015</v>
      </c>
      <c r="H75" s="199">
        <f t="shared" si="41"/>
        <v>2017</v>
      </c>
      <c r="I75" s="199">
        <f t="shared" si="41"/>
        <v>2020</v>
      </c>
      <c r="J75" s="199">
        <f t="shared" si="41"/>
        <v>2030</v>
      </c>
      <c r="K75" s="199">
        <f t="shared" si="41"/>
        <v>2040</v>
      </c>
      <c r="L75" s="199">
        <f t="shared" si="41"/>
        <v>2050</v>
      </c>
      <c r="N75" s="7">
        <f t="shared" ref="N75:S75" si="42">N$4</f>
        <v>2015</v>
      </c>
      <c r="O75" s="7">
        <f t="shared" si="42"/>
        <v>2020</v>
      </c>
      <c r="P75" s="7">
        <f t="shared" si="42"/>
        <v>2030</v>
      </c>
      <c r="Q75" s="7">
        <f t="shared" si="42"/>
        <v>2040</v>
      </c>
      <c r="R75" s="7">
        <f t="shared" si="42"/>
        <v>2050</v>
      </c>
      <c r="S75" s="199">
        <f t="shared" si="42"/>
        <v>0</v>
      </c>
      <c r="T75" s="7">
        <f>N75</f>
        <v>2015</v>
      </c>
      <c r="U75" s="7">
        <f>O75</f>
        <v>2020</v>
      </c>
      <c r="V75" s="7">
        <f>P75</f>
        <v>2030</v>
      </c>
      <c r="W75" s="7">
        <f>Q75</f>
        <v>2040</v>
      </c>
      <c r="X75" s="7">
        <f>R75</f>
        <v>2050</v>
      </c>
      <c r="AA75" s="7">
        <f>N75</f>
        <v>2015</v>
      </c>
      <c r="AB75" s="7">
        <f>O75</f>
        <v>2020</v>
      </c>
      <c r="AC75" s="7">
        <f>P75</f>
        <v>2030</v>
      </c>
      <c r="AD75" s="7">
        <f>Q75</f>
        <v>2040</v>
      </c>
      <c r="AE75" s="7">
        <f>R75</f>
        <v>2050</v>
      </c>
      <c r="AF75" s="7"/>
      <c r="AG75" s="7">
        <f>T75</f>
        <v>2015</v>
      </c>
      <c r="AH75" s="7">
        <f>U75</f>
        <v>2020</v>
      </c>
      <c r="AI75" s="7">
        <f>V75</f>
        <v>2030</v>
      </c>
      <c r="AJ75" s="7">
        <f>W75</f>
        <v>2040</v>
      </c>
      <c r="AK75" s="7">
        <f>X75</f>
        <v>2050</v>
      </c>
      <c r="AL75" s="7"/>
    </row>
    <row r="76" spans="1:44">
      <c r="A76" s="199" t="s">
        <v>16</v>
      </c>
      <c r="B76" s="200" t="str">
        <f>B92</f>
        <v>TFLCV</v>
      </c>
      <c r="C76" s="200" t="str">
        <f>C92</f>
        <v>Transport Freight - LCV</v>
      </c>
      <c r="D76" s="199" t="s">
        <v>149</v>
      </c>
      <c r="E76" s="280">
        <v>21.7</v>
      </c>
      <c r="F76" s="251">
        <f>F63*F92</f>
        <v>17.151878492126293</v>
      </c>
      <c r="G76" s="251">
        <f t="shared" ref="G76:L76" si="43">G63*G92</f>
        <v>17.664096000000001</v>
      </c>
      <c r="H76" s="251">
        <f t="shared" si="43"/>
        <v>18.039187972530819</v>
      </c>
      <c r="I76" s="251">
        <f t="shared" si="43"/>
        <v>17.844036324411295</v>
      </c>
      <c r="J76" s="251">
        <f t="shared" si="43"/>
        <v>24.604989710445018</v>
      </c>
      <c r="K76" s="251">
        <f t="shared" si="43"/>
        <v>35.469886384244894</v>
      </c>
      <c r="L76" s="251">
        <f t="shared" si="43"/>
        <v>53.050743659701297</v>
      </c>
      <c r="M76" s="8"/>
      <c r="N76" s="251">
        <f>N43</f>
        <v>18.105321144065741</v>
      </c>
      <c r="O76" s="251">
        <f>O43</f>
        <v>17.844036324411295</v>
      </c>
      <c r="P76" s="251">
        <f>P43</f>
        <v>24.604989710445018</v>
      </c>
      <c r="Q76" s="251">
        <f>Q43</f>
        <v>35.469886384244894</v>
      </c>
      <c r="R76" s="251">
        <f>R43</f>
        <v>53.05074365970129</v>
      </c>
      <c r="S76" s="8"/>
      <c r="T76" s="251">
        <f>T43</f>
        <v>18.105321144065741</v>
      </c>
      <c r="U76" s="251">
        <f>U43</f>
        <v>17.844036324411295</v>
      </c>
      <c r="V76" s="251">
        <f>V43</f>
        <v>24.604989710445018</v>
      </c>
      <c r="W76" s="251">
        <f>W43</f>
        <v>35.469886384244894</v>
      </c>
      <c r="X76" s="251">
        <f>X43</f>
        <v>53.05074365970129</v>
      </c>
      <c r="Y76" s="200"/>
      <c r="Z76" s="199" t="s">
        <v>596</v>
      </c>
      <c r="AA76" s="200">
        <f>SUM(N78:N85)</f>
        <v>159.36140912983507</v>
      </c>
      <c r="AB76" s="200">
        <f>SUM(O78:O85)</f>
        <v>157.06160363546999</v>
      </c>
      <c r="AC76" s="200">
        <f>SUM(P78:P85)</f>
        <v>216.57090756254266</v>
      </c>
      <c r="AD76" s="200">
        <f>SUM(Q78:Q85)</f>
        <v>312.20275138401001</v>
      </c>
      <c r="AE76" s="200">
        <f>SUM(R78:R85)</f>
        <v>466.9478766890943</v>
      </c>
      <c r="AF76" s="200"/>
      <c r="AG76" s="200">
        <f>SUM(G78:G85)</f>
        <v>173.33384904646832</v>
      </c>
      <c r="AH76" s="200">
        <f>SUM(I78:I85)</f>
        <v>157.06160363546999</v>
      </c>
      <c r="AI76" s="200">
        <f t="shared" ref="AI76:AK76" si="44">SUM(J78:J85)</f>
        <v>199.24523495753925</v>
      </c>
      <c r="AJ76" s="200">
        <f t="shared" si="44"/>
        <v>267.12067408415902</v>
      </c>
      <c r="AK76" s="200">
        <f t="shared" si="44"/>
        <v>371.55416106452589</v>
      </c>
      <c r="AL76" s="200"/>
      <c r="AM76" s="200"/>
      <c r="AN76" s="200"/>
      <c r="AO76" s="200"/>
      <c r="AP76" s="200"/>
      <c r="AQ76" s="200"/>
      <c r="AR76" s="200"/>
    </row>
    <row r="77" spans="1:44">
      <c r="A77" s="199" t="s">
        <v>16</v>
      </c>
      <c r="B77" s="200" t="str">
        <f t="shared" ref="B77:C88" si="45">B93</f>
        <v>TFHCV1</v>
      </c>
      <c r="C77" s="200" t="str">
        <f t="shared" si="45"/>
        <v>Transport Freight - HCV1</v>
      </c>
      <c r="D77" s="199" t="s">
        <v>149</v>
      </c>
      <c r="E77" s="280">
        <v>7</v>
      </c>
      <c r="F77" s="251">
        <f t="shared" ref="F77:L77" si="46">F64*F93</f>
        <v>4.9123710000000003</v>
      </c>
      <c r="G77" s="251">
        <f t="shared" si="46"/>
        <v>5.0459399999999999</v>
      </c>
      <c r="H77" s="251">
        <f t="shared" si="46"/>
        <v>5.1201449999999999</v>
      </c>
      <c r="I77" s="251">
        <f t="shared" si="46"/>
        <v>4.8550775515966293</v>
      </c>
      <c r="J77" s="251">
        <f t="shared" si="46"/>
        <v>6.3598938310370956</v>
      </c>
      <c r="K77" s="251">
        <f t="shared" si="46"/>
        <v>8.7098380671800921</v>
      </c>
      <c r="L77" s="251">
        <f t="shared" si="46"/>
        <v>12.375574382541121</v>
      </c>
      <c r="M77" s="8"/>
      <c r="N77" s="251">
        <f>N46</f>
        <v>5.1854410334485532</v>
      </c>
      <c r="O77" s="251">
        <f>O46</f>
        <v>5.1106079490490837</v>
      </c>
      <c r="P77" s="251">
        <f>P46</f>
        <v>7.0469737740023231</v>
      </c>
      <c r="Q77" s="251">
        <f>Q46</f>
        <v>10.158726423303797</v>
      </c>
      <c r="R77" s="251">
        <f>R46</f>
        <v>15.19395877261976</v>
      </c>
      <c r="S77" s="8"/>
      <c r="T77" s="251">
        <f>T46</f>
        <v>5.1854410334485532</v>
      </c>
      <c r="U77" s="251">
        <f>U46</f>
        <v>4.8550775515966293</v>
      </c>
      <c r="V77" s="251">
        <f>V46</f>
        <v>6.3598938310370956</v>
      </c>
      <c r="W77" s="251">
        <f>W46</f>
        <v>8.7098380671800921</v>
      </c>
      <c r="X77" s="251">
        <f>X46</f>
        <v>12.375574382541121</v>
      </c>
      <c r="Y77" s="200"/>
      <c r="Z77" s="199" t="s">
        <v>631</v>
      </c>
      <c r="AA77" s="200">
        <f>N86</f>
        <v>23.222941169522429</v>
      </c>
      <c r="AB77" s="200">
        <f>O86</f>
        <v>22.887802016394883</v>
      </c>
      <c r="AC77" s="200">
        <f>P86</f>
        <v>31.559795265473838</v>
      </c>
      <c r="AD77" s="200">
        <f>Q86</f>
        <v>45.49574560078694</v>
      </c>
      <c r="AE77" s="200">
        <f>R86</f>
        <v>68.045978815043583</v>
      </c>
      <c r="AF77" s="200"/>
      <c r="AG77" s="200">
        <f>H86</f>
        <v>23.686030209030392</v>
      </c>
      <c r="AH77" s="200">
        <f>I86</f>
        <v>22.887802016394883</v>
      </c>
      <c r="AI77" s="200">
        <f t="shared" ref="AI77:AK77" si="47">J86</f>
        <v>48.88546787047725</v>
      </c>
      <c r="AJ77" s="200">
        <f t="shared" si="47"/>
        <v>90.577822900637926</v>
      </c>
      <c r="AK77" s="200">
        <f t="shared" si="47"/>
        <v>163.43969443961191</v>
      </c>
      <c r="AL77" s="200"/>
      <c r="AM77" s="200"/>
      <c r="AN77" s="200"/>
      <c r="AO77" s="200"/>
      <c r="AP77" s="200"/>
      <c r="AQ77" s="200"/>
      <c r="AR77" s="200"/>
    </row>
    <row r="78" spans="1:44">
      <c r="A78" s="199" t="s">
        <v>16</v>
      </c>
      <c r="B78" s="200" t="str">
        <f t="shared" si="45"/>
        <v>TFHCV2</v>
      </c>
      <c r="C78" s="200" t="str">
        <f t="shared" si="45"/>
        <v>Transport Freight - HCV2</v>
      </c>
      <c r="D78" s="199" t="s">
        <v>149</v>
      </c>
      <c r="E78" s="280">
        <v>2.011130021669262</v>
      </c>
      <c r="F78" s="251">
        <f t="shared" ref="F78:L78" si="48">F65*F94</f>
        <v>1.637614669131271</v>
      </c>
      <c r="G78" s="251">
        <f t="shared" si="48"/>
        <v>1.7610152149444733</v>
      </c>
      <c r="H78" s="251">
        <f t="shared" si="48"/>
        <v>1.8407596050545592</v>
      </c>
      <c r="I78" s="251">
        <f t="shared" si="48"/>
        <v>1.7037000148282078</v>
      </c>
      <c r="J78" s="251">
        <f t="shared" si="48"/>
        <v>2.1612800448635485</v>
      </c>
      <c r="K78" s="251">
        <f t="shared" si="48"/>
        <v>2.8975477510999172</v>
      </c>
      <c r="L78" s="251">
        <f t="shared" si="48"/>
        <v>4.0303728923098676</v>
      </c>
      <c r="M78" s="8"/>
      <c r="N78" s="251">
        <f>N51</f>
        <v>1.7286467781628396</v>
      </c>
      <c r="O78" s="251">
        <f>O51</f>
        <v>1.7037000148282078</v>
      </c>
      <c r="P78" s="251">
        <f>P51</f>
        <v>2.349217440069074</v>
      </c>
      <c r="Q78" s="251">
        <f>Q51</f>
        <v>3.3865681990415109</v>
      </c>
      <c r="R78" s="251">
        <f>R51</f>
        <v>5.0651405946777794</v>
      </c>
      <c r="S78" s="8"/>
      <c r="T78" s="251">
        <f>T51</f>
        <v>1.7286467781628396</v>
      </c>
      <c r="U78" s="251">
        <f>U51</f>
        <v>1.7037000148282078</v>
      </c>
      <c r="V78" s="251">
        <f>V51</f>
        <v>2.1612800448635485</v>
      </c>
      <c r="W78" s="251">
        <f>W51</f>
        <v>2.8975477510999172</v>
      </c>
      <c r="X78" s="251">
        <f>X51</f>
        <v>4.0303728923098676</v>
      </c>
      <c r="Y78" s="200"/>
      <c r="Z78" s="200"/>
      <c r="AL78" s="200"/>
      <c r="AM78" s="200"/>
      <c r="AN78" s="200"/>
      <c r="AO78" s="200"/>
      <c r="AP78" s="200"/>
      <c r="AQ78" s="200"/>
      <c r="AR78" s="200"/>
    </row>
    <row r="79" spans="1:44">
      <c r="A79" s="199" t="s">
        <v>16</v>
      </c>
      <c r="B79" s="200" t="str">
        <f t="shared" si="45"/>
        <v>TFHCV3</v>
      </c>
      <c r="C79" s="200" t="str">
        <f t="shared" si="45"/>
        <v>Transport Freight - HCV3</v>
      </c>
      <c r="D79" s="199" t="s">
        <v>149</v>
      </c>
      <c r="E79" s="280">
        <v>16.207267472028231</v>
      </c>
      <c r="F79" s="251">
        <f t="shared" ref="F79:L79" si="49">F66*F95</f>
        <v>13.576270721867905</v>
      </c>
      <c r="G79" s="251">
        <f t="shared" si="49"/>
        <v>14.520577162864347</v>
      </c>
      <c r="H79" s="251">
        <f t="shared" si="49"/>
        <v>15.174488450030418</v>
      </c>
      <c r="I79" s="251">
        <f t="shared" si="49"/>
        <v>14.124136200140514</v>
      </c>
      <c r="J79" s="251">
        <f t="shared" si="49"/>
        <v>17.91759902248792</v>
      </c>
      <c r="K79" s="251">
        <f t="shared" si="49"/>
        <v>24.021458429741671</v>
      </c>
      <c r="L79" s="251">
        <f t="shared" si="49"/>
        <v>33.412886759925797</v>
      </c>
      <c r="M79" s="8"/>
      <c r="N79" s="251">
        <f t="shared" ref="N79:R85" si="50">N52</f>
        <v>14.330951648884017</v>
      </c>
      <c r="O79" s="251">
        <f t="shared" si="50"/>
        <v>14.124136200140512</v>
      </c>
      <c r="P79" s="251">
        <f t="shared" si="50"/>
        <v>19.475651111399912</v>
      </c>
      <c r="Q79" s="251">
        <f t="shared" si="50"/>
        <v>28.075570862250668</v>
      </c>
      <c r="R79" s="251">
        <f t="shared" si="50"/>
        <v>41.991392269432751</v>
      </c>
      <c r="S79" s="8"/>
      <c r="T79" s="251">
        <f t="shared" ref="T79:X85" si="51">T52</f>
        <v>14.330951648884017</v>
      </c>
      <c r="U79" s="251">
        <f>U52</f>
        <v>14.124136200140512</v>
      </c>
      <c r="V79" s="251">
        <f t="shared" si="51"/>
        <v>17.91759902248792</v>
      </c>
      <c r="W79" s="251">
        <f t="shared" si="51"/>
        <v>24.021458429741671</v>
      </c>
      <c r="X79" s="251">
        <f t="shared" si="51"/>
        <v>33.412886759925797</v>
      </c>
      <c r="Y79" s="200"/>
      <c r="Z79" s="200" t="s">
        <v>475</v>
      </c>
      <c r="AA79" s="200">
        <f>SUM(AA76:AA77)</f>
        <v>182.58435029935748</v>
      </c>
      <c r="AB79" s="200">
        <f>SUM(AB76:AB77)</f>
        <v>179.94940565186488</v>
      </c>
      <c r="AC79" s="200">
        <f>SUM(AC76:AC77)</f>
        <v>248.1307028280165</v>
      </c>
      <c r="AD79" s="200">
        <f>SUM(AD76:AD77)</f>
        <v>357.69849698479698</v>
      </c>
      <c r="AE79" s="200">
        <f>SUM(AE76:AE77)</f>
        <v>534.99385550413785</v>
      </c>
      <c r="AF79" s="200"/>
      <c r="AG79" s="200">
        <f>SUM(AG76:AG77)</f>
        <v>197.01987925549872</v>
      </c>
      <c r="AH79" s="200">
        <f>SUM(AH76:AH77)</f>
        <v>179.94940565186488</v>
      </c>
      <c r="AI79" s="200">
        <f>SUM(AI76:AI77)</f>
        <v>248.1307028280165</v>
      </c>
      <c r="AJ79" s="200">
        <f>SUM(AJ76:AJ77)</f>
        <v>357.69849698479698</v>
      </c>
      <c r="AK79" s="200">
        <f>SUM(AK76:AK77)</f>
        <v>534.99385550413785</v>
      </c>
      <c r="AL79" s="200"/>
      <c r="AM79" s="200"/>
      <c r="AN79" s="200"/>
      <c r="AO79" s="200"/>
      <c r="AP79" s="200"/>
      <c r="AQ79" s="200"/>
      <c r="AR79" s="200"/>
    </row>
    <row r="80" spans="1:44">
      <c r="A80" s="199" t="s">
        <v>16</v>
      </c>
      <c r="B80" s="200" t="str">
        <f t="shared" si="45"/>
        <v>TFHCV4</v>
      </c>
      <c r="C80" s="200" t="str">
        <f t="shared" si="45"/>
        <v>Transport Freight - HCV4</v>
      </c>
      <c r="D80" s="199" t="s">
        <v>149</v>
      </c>
      <c r="E80" s="280">
        <v>5.3871747310586002</v>
      </c>
      <c r="F80" s="251">
        <f t="shared" ref="F80:L80" si="52">F67*F96</f>
        <v>4.515932780515814</v>
      </c>
      <c r="G80" s="251">
        <f t="shared" si="52"/>
        <v>4.2489873256924318</v>
      </c>
      <c r="H80" s="251">
        <f t="shared" si="52"/>
        <v>4.3066025770402403</v>
      </c>
      <c r="I80" s="251">
        <f t="shared" si="52"/>
        <v>4.6981716090815304</v>
      </c>
      <c r="J80" s="251">
        <f t="shared" si="52"/>
        <v>5.96000731213016</v>
      </c>
      <c r="K80" s="251">
        <f t="shared" si="52"/>
        <v>7.9903600761242872</v>
      </c>
      <c r="L80" s="251">
        <f t="shared" si="52"/>
        <v>11.114270899722554</v>
      </c>
      <c r="M80" s="8"/>
      <c r="N80" s="251">
        <f t="shared" si="50"/>
        <v>4.766965513065303</v>
      </c>
      <c r="O80" s="251">
        <f t="shared" si="50"/>
        <v>4.6981716090815304</v>
      </c>
      <c r="P80" s="251">
        <f t="shared" si="50"/>
        <v>6.4782688175327818</v>
      </c>
      <c r="Q80" s="251">
        <f t="shared" si="50"/>
        <v>9.3388967696637284</v>
      </c>
      <c r="R80" s="251">
        <f t="shared" si="50"/>
        <v>13.967775741506371</v>
      </c>
      <c r="S80" s="8"/>
      <c r="T80" s="251">
        <f t="shared" si="51"/>
        <v>4.766965513065303</v>
      </c>
      <c r="U80" s="251">
        <f t="shared" si="51"/>
        <v>4.6981716090815304</v>
      </c>
      <c r="V80" s="251">
        <f t="shared" si="51"/>
        <v>5.96000731213016</v>
      </c>
      <c r="W80" s="251">
        <f t="shared" si="51"/>
        <v>7.9903600761242881</v>
      </c>
      <c r="X80" s="251">
        <f t="shared" si="51"/>
        <v>11.114270899722554</v>
      </c>
      <c r="Y80" s="200"/>
      <c r="Z80" s="199" t="s">
        <v>474</v>
      </c>
      <c r="AA80" s="204">
        <f>AA77/AA79</f>
        <v>0.12719020623315794</v>
      </c>
      <c r="AB80" s="204">
        <f>AB77/AB79</f>
        <v>0.12719020623315788</v>
      </c>
      <c r="AC80" s="204">
        <f>AC77/AC79</f>
        <v>0.12719020623315791</v>
      </c>
      <c r="AD80" s="204">
        <f>AD77/AD79</f>
        <v>0.12719020623315791</v>
      </c>
      <c r="AE80" s="204">
        <f>AE77/AE79</f>
        <v>0.12719020623315791</v>
      </c>
      <c r="AF80" s="204"/>
      <c r="AG80" s="204">
        <f>AG77/AG79</f>
        <v>0.12022152433823161</v>
      </c>
      <c r="AH80" s="204">
        <f>AH77/AH79</f>
        <v>0.12719020623315788</v>
      </c>
      <c r="AI80" s="204">
        <f>AI77/AI79</f>
        <v>0.19701498973450529</v>
      </c>
      <c r="AJ80" s="204">
        <f>AJ77/AJ79</f>
        <v>0.25322394045308971</v>
      </c>
      <c r="AK80" s="204">
        <f>AK77/AK79</f>
        <v>0.30549826462137342</v>
      </c>
      <c r="AL80" s="200"/>
      <c r="AM80" s="200"/>
      <c r="AN80" s="200"/>
      <c r="AO80" s="200"/>
      <c r="AP80" s="200"/>
      <c r="AQ80" s="200"/>
      <c r="AR80" s="200"/>
    </row>
    <row r="81" spans="1:44">
      <c r="A81" s="199" t="s">
        <v>16</v>
      </c>
      <c r="B81" s="200" t="str">
        <f t="shared" si="45"/>
        <v>TFHCV5</v>
      </c>
      <c r="C81" s="200" t="str">
        <f t="shared" si="45"/>
        <v>Transport Freight - HCV5</v>
      </c>
      <c r="D81" s="199" t="s">
        <v>149</v>
      </c>
      <c r="E81" s="280">
        <v>3.9725286670479121</v>
      </c>
      <c r="F81" s="251">
        <f t="shared" ref="F81:L81" si="53">F68*F97</f>
        <v>2.9750185434856067</v>
      </c>
      <c r="G81" s="251">
        <f t="shared" si="53"/>
        <v>3.1102185642863693</v>
      </c>
      <c r="H81" s="251">
        <f t="shared" si="53"/>
        <v>3.1523923845431949</v>
      </c>
      <c r="I81" s="251">
        <f t="shared" si="53"/>
        <v>3.0950743372000948</v>
      </c>
      <c r="J81" s="251">
        <f t="shared" si="53"/>
        <v>3.9263499114510223</v>
      </c>
      <c r="K81" s="251">
        <f t="shared" si="53"/>
        <v>5.2639112561993491</v>
      </c>
      <c r="L81" s="251">
        <f t="shared" si="53"/>
        <v>7.321889769187468</v>
      </c>
      <c r="M81" s="8"/>
      <c r="N81" s="251">
        <f t="shared" si="50"/>
        <v>3.140394573345664</v>
      </c>
      <c r="O81" s="251">
        <f t="shared" si="50"/>
        <v>3.0950743372000948</v>
      </c>
      <c r="P81" s="251">
        <f t="shared" si="50"/>
        <v>4.2677716428815451</v>
      </c>
      <c r="Q81" s="251">
        <f t="shared" si="50"/>
        <v>6.1523039460020437</v>
      </c>
      <c r="R81" s="251">
        <f t="shared" si="50"/>
        <v>9.2017294901992521</v>
      </c>
      <c r="S81" s="8"/>
      <c r="T81" s="251">
        <f t="shared" si="51"/>
        <v>3.140394573345664</v>
      </c>
      <c r="U81" s="251">
        <f t="shared" si="51"/>
        <v>3.0950743372000948</v>
      </c>
      <c r="V81" s="251">
        <f t="shared" si="51"/>
        <v>3.9263499114510219</v>
      </c>
      <c r="W81" s="251">
        <f t="shared" si="51"/>
        <v>5.2639112561993491</v>
      </c>
      <c r="X81" s="251">
        <f t="shared" si="51"/>
        <v>7.321889769187468</v>
      </c>
      <c r="Y81" s="200"/>
      <c r="Z81" s="200"/>
      <c r="AA81" s="200"/>
      <c r="AB81" s="200"/>
      <c r="AC81" s="200"/>
      <c r="AD81" s="200"/>
      <c r="AE81" s="200"/>
      <c r="AF81" s="200"/>
      <c r="AG81" s="200"/>
      <c r="AH81" s="200"/>
      <c r="AI81" s="200"/>
      <c r="AJ81" s="200"/>
      <c r="AK81" s="200"/>
      <c r="AL81" s="200"/>
      <c r="AM81" s="200"/>
      <c r="AN81" s="200"/>
      <c r="AO81" s="200"/>
      <c r="AP81" s="200"/>
      <c r="AQ81" s="200"/>
      <c r="AR81" s="200"/>
    </row>
    <row r="82" spans="1:44">
      <c r="A82" s="199" t="s">
        <v>16</v>
      </c>
      <c r="B82" s="200" t="str">
        <f t="shared" si="45"/>
        <v>TFHCV6</v>
      </c>
      <c r="C82" s="200" t="str">
        <f t="shared" si="45"/>
        <v>Transport Freight - HCV6</v>
      </c>
      <c r="D82" s="199" t="s">
        <v>149</v>
      </c>
      <c r="E82" s="280">
        <v>140.25526500597067</v>
      </c>
      <c r="F82" s="251">
        <f>F69*F98</f>
        <v>98.309314568087203</v>
      </c>
      <c r="G82" s="251">
        <f t="shared" ref="G82:L82" si="54">G69*G98</f>
        <v>117.31986651000506</v>
      </c>
      <c r="H82" s="251">
        <f t="shared" si="54"/>
        <v>129.63325694576622</v>
      </c>
      <c r="I82" s="251">
        <f t="shared" si="54"/>
        <v>102.27655128190302</v>
      </c>
      <c r="J82" s="251">
        <f t="shared" si="54"/>
        <v>129.74600423733031</v>
      </c>
      <c r="K82" s="251">
        <f t="shared" si="54"/>
        <v>173.94564100359884</v>
      </c>
      <c r="L82" s="251">
        <f t="shared" si="54"/>
        <v>241.95142115267711</v>
      </c>
      <c r="M82" s="8"/>
      <c r="N82" s="251">
        <f t="shared" si="50"/>
        <v>103.77415584685295</v>
      </c>
      <c r="O82" s="251">
        <f t="shared" si="50"/>
        <v>102.27655128190302</v>
      </c>
      <c r="P82" s="251">
        <f t="shared" si="50"/>
        <v>141.02826547535904</v>
      </c>
      <c r="Q82" s="251">
        <f t="shared" si="50"/>
        <v>203.30252571715619</v>
      </c>
      <c r="R82" s="251">
        <f t="shared" si="50"/>
        <v>304.07061529188735</v>
      </c>
      <c r="S82" s="8"/>
      <c r="T82" s="251">
        <f t="shared" si="51"/>
        <v>103.77415584685295</v>
      </c>
      <c r="U82" s="251">
        <f t="shared" si="51"/>
        <v>102.27655128190302</v>
      </c>
      <c r="V82" s="251">
        <f t="shared" si="51"/>
        <v>129.74600423733031</v>
      </c>
      <c r="W82" s="251">
        <f t="shared" si="51"/>
        <v>173.94564100359884</v>
      </c>
      <c r="X82" s="251">
        <f t="shared" si="51"/>
        <v>241.95142115267711</v>
      </c>
      <c r="Y82" s="200"/>
      <c r="Z82" s="200"/>
      <c r="AA82" s="200"/>
      <c r="AB82" s="200"/>
      <c r="AC82" s="200"/>
      <c r="AD82" s="200"/>
      <c r="AE82" s="200"/>
      <c r="AF82" s="200"/>
      <c r="AG82" s="200"/>
      <c r="AH82" s="200"/>
      <c r="AI82" s="200"/>
      <c r="AJ82" s="200"/>
      <c r="AK82" s="200"/>
      <c r="AL82" s="200"/>
      <c r="AM82" s="200"/>
      <c r="AN82" s="200"/>
      <c r="AO82" s="200"/>
      <c r="AP82" s="200"/>
      <c r="AQ82" s="200"/>
      <c r="AR82" s="200"/>
    </row>
    <row r="83" spans="1:44">
      <c r="A83" s="199" t="s">
        <v>16</v>
      </c>
      <c r="B83" s="200" t="str">
        <f t="shared" si="45"/>
        <v>TFHCV7</v>
      </c>
      <c r="C83" s="200" t="str">
        <f t="shared" si="45"/>
        <v>Transport Freight - HCV7</v>
      </c>
      <c r="D83" s="199" t="s">
        <v>149</v>
      </c>
      <c r="E83" s="280">
        <v>32.638769732712682</v>
      </c>
      <c r="F83" s="251">
        <f t="shared" ref="F83:L83" si="55">F70*F99</f>
        <v>28.003212301240232</v>
      </c>
      <c r="G83" s="251">
        <f t="shared" si="55"/>
        <v>30.412861445475919</v>
      </c>
      <c r="H83" s="251">
        <f t="shared" si="55"/>
        <v>31.844054925263023</v>
      </c>
      <c r="I83" s="251">
        <f t="shared" si="55"/>
        <v>29.133271771539118</v>
      </c>
      <c r="J83" s="251">
        <f t="shared" si="55"/>
        <v>36.957890692841893</v>
      </c>
      <c r="K83" s="251">
        <f t="shared" si="55"/>
        <v>49.548069125489704</v>
      </c>
      <c r="L83" s="251">
        <f t="shared" si="55"/>
        <v>68.919380049513791</v>
      </c>
      <c r="M83" s="8"/>
      <c r="N83" s="251">
        <f t="shared" si="50"/>
        <v>29.559861446788599</v>
      </c>
      <c r="O83" s="251">
        <f t="shared" si="50"/>
        <v>29.133271771539118</v>
      </c>
      <c r="P83" s="251">
        <f t="shared" si="50"/>
        <v>40.171620318306402</v>
      </c>
      <c r="Q83" s="251">
        <f t="shared" si="50"/>
        <v>57.910319221002453</v>
      </c>
      <c r="R83" s="251">
        <f t="shared" si="50"/>
        <v>86.613908681970997</v>
      </c>
      <c r="S83" s="8"/>
      <c r="T83" s="251">
        <f t="shared" si="51"/>
        <v>29.559861446788599</v>
      </c>
      <c r="U83" s="251">
        <f t="shared" si="51"/>
        <v>29.133271771539118</v>
      </c>
      <c r="V83" s="251">
        <f t="shared" si="51"/>
        <v>36.957890692841893</v>
      </c>
      <c r="W83" s="251">
        <f t="shared" si="51"/>
        <v>49.548069125489704</v>
      </c>
      <c r="X83" s="251">
        <f t="shared" si="51"/>
        <v>68.919380049513791</v>
      </c>
      <c r="Y83" s="200"/>
      <c r="Z83" s="200"/>
      <c r="AA83" s="200"/>
      <c r="AB83" s="200"/>
      <c r="AC83" s="200"/>
      <c r="AD83" s="200"/>
      <c r="AE83" s="200"/>
      <c r="AF83" s="200"/>
      <c r="AG83" s="200"/>
      <c r="AH83" s="200"/>
      <c r="AI83" s="200"/>
      <c r="AJ83" s="200"/>
      <c r="AK83" s="200"/>
      <c r="AL83" s="200"/>
      <c r="AM83" s="200"/>
      <c r="AN83" s="200"/>
      <c r="AO83" s="200"/>
      <c r="AP83" s="200"/>
      <c r="AQ83" s="200"/>
      <c r="AR83" s="200"/>
    </row>
    <row r="84" spans="1:44">
      <c r="A84" s="199" t="s">
        <v>16</v>
      </c>
      <c r="B84" s="200" t="str">
        <f>B100</f>
        <v>TFHCV8</v>
      </c>
      <c r="C84" s="200" t="str">
        <f>C100</f>
        <v>Transport Freight - HCV8</v>
      </c>
      <c r="D84" s="199" t="s">
        <v>149</v>
      </c>
      <c r="E84" s="280">
        <v>1.371120760523014</v>
      </c>
      <c r="F84" s="251">
        <f t="shared" ref="F84:L84" si="56">F71*F100</f>
        <v>1.0763192990282064</v>
      </c>
      <c r="G84" s="251">
        <f t="shared" si="56"/>
        <v>1.4702862493909399</v>
      </c>
      <c r="H84" s="251">
        <f t="shared" si="56"/>
        <v>1.8779533896770146</v>
      </c>
      <c r="I84" s="251">
        <f t="shared" si="56"/>
        <v>1.1197537737537513</v>
      </c>
      <c r="J84" s="251">
        <f t="shared" si="56"/>
        <v>1.4204974263727206</v>
      </c>
      <c r="K84" s="251">
        <f t="shared" si="56"/>
        <v>1.9044080534641481</v>
      </c>
      <c r="L84" s="251">
        <f t="shared" si="56"/>
        <v>2.6489553422078624</v>
      </c>
      <c r="M84" s="8"/>
      <c r="N84" s="251">
        <f t="shared" si="50"/>
        <v>1.1361499891342581</v>
      </c>
      <c r="O84" s="251">
        <f t="shared" si="50"/>
        <v>1.1197537737537513</v>
      </c>
      <c r="P84" s="251">
        <f t="shared" si="50"/>
        <v>1.544018941709479</v>
      </c>
      <c r="Q84" s="251">
        <f t="shared" si="50"/>
        <v>2.2258158642638475</v>
      </c>
      <c r="R84" s="251">
        <f t="shared" si="50"/>
        <v>3.3290545554498157</v>
      </c>
      <c r="S84" s="8"/>
      <c r="T84" s="251">
        <f t="shared" si="51"/>
        <v>1.1361499891342581</v>
      </c>
      <c r="U84" s="251">
        <f t="shared" si="51"/>
        <v>1.1197537737537513</v>
      </c>
      <c r="V84" s="251">
        <f t="shared" si="51"/>
        <v>1.4204974263727206</v>
      </c>
      <c r="W84" s="251">
        <f t="shared" si="51"/>
        <v>1.9044080534641481</v>
      </c>
      <c r="X84" s="251">
        <f t="shared" si="51"/>
        <v>2.6489553422078624</v>
      </c>
      <c r="Y84" s="200"/>
      <c r="Z84" s="200"/>
      <c r="AA84" s="200"/>
      <c r="AB84" s="200"/>
      <c r="AC84" s="200"/>
      <c r="AD84" s="200"/>
      <c r="AE84" s="200"/>
      <c r="AF84" s="200"/>
      <c r="AG84" s="200"/>
      <c r="AH84" s="200"/>
      <c r="AI84" s="200"/>
      <c r="AJ84" s="200"/>
      <c r="AK84" s="200"/>
      <c r="AL84" s="200"/>
      <c r="AM84" s="200"/>
      <c r="AN84" s="200"/>
      <c r="AO84" s="200"/>
      <c r="AP84" s="200"/>
      <c r="AQ84" s="200"/>
      <c r="AR84" s="200"/>
    </row>
    <row r="85" spans="1:44">
      <c r="A85" s="199" t="s">
        <v>16</v>
      </c>
      <c r="B85" s="200" t="str">
        <f t="shared" si="45"/>
        <v>TFHCV9</v>
      </c>
      <c r="C85" s="200" t="str">
        <f t="shared" si="45"/>
        <v>Transport Freight - HCV9</v>
      </c>
      <c r="D85" s="199" t="s">
        <v>149</v>
      </c>
      <c r="E85" s="280">
        <v>0.85603927035432403</v>
      </c>
      <c r="F85" s="251">
        <f t="shared" ref="F85:L85" si="57">F72*F101</f>
        <v>0.87560973396075781</v>
      </c>
      <c r="G85" s="251">
        <f t="shared" si="57"/>
        <v>0.49003657380877025</v>
      </c>
      <c r="H85" s="251">
        <f t="shared" si="57"/>
        <v>0.4966539831210422</v>
      </c>
      <c r="I85" s="251">
        <f t="shared" si="57"/>
        <v>0.9109446470237289</v>
      </c>
      <c r="J85" s="251">
        <f t="shared" si="57"/>
        <v>1.1556063100616794</v>
      </c>
      <c r="K85" s="251">
        <f t="shared" si="57"/>
        <v>1.5492783884410937</v>
      </c>
      <c r="L85" s="251">
        <f t="shared" si="57"/>
        <v>2.1549841989814307</v>
      </c>
      <c r="M85" s="8"/>
      <c r="N85" s="251">
        <f t="shared" si="50"/>
        <v>0.9242833336014491</v>
      </c>
      <c r="O85" s="251">
        <f t="shared" si="50"/>
        <v>0.9109446470237289</v>
      </c>
      <c r="P85" s="251">
        <f t="shared" si="50"/>
        <v>1.2560938152844343</v>
      </c>
      <c r="Q85" s="251">
        <f t="shared" si="50"/>
        <v>1.8107508046296092</v>
      </c>
      <c r="R85" s="251">
        <f t="shared" si="50"/>
        <v>2.7082600639699872</v>
      </c>
      <c r="S85" s="8"/>
      <c r="T85" s="251">
        <f t="shared" si="51"/>
        <v>0.9242833336014491</v>
      </c>
      <c r="U85" s="251">
        <f t="shared" si="51"/>
        <v>0.9109446470237289</v>
      </c>
      <c r="V85" s="251">
        <f t="shared" si="51"/>
        <v>1.1556063100616794</v>
      </c>
      <c r="W85" s="251">
        <f t="shared" si="51"/>
        <v>1.5492783884410937</v>
      </c>
      <c r="X85" s="251">
        <f t="shared" si="51"/>
        <v>2.1549841989814307</v>
      </c>
      <c r="Y85" s="200"/>
      <c r="Z85" s="200"/>
      <c r="AA85" s="200"/>
      <c r="AB85" s="200"/>
      <c r="AC85" s="200"/>
      <c r="AD85" s="200"/>
      <c r="AE85" s="200"/>
      <c r="AF85" s="200"/>
      <c r="AG85" s="200"/>
      <c r="AH85" s="200"/>
      <c r="AI85" s="200"/>
      <c r="AJ85" s="200"/>
      <c r="AK85" s="200"/>
      <c r="AL85" s="200"/>
      <c r="AM85" s="200"/>
      <c r="AN85" s="200"/>
      <c r="AO85" s="200"/>
      <c r="AP85" s="200"/>
      <c r="AQ85" s="200"/>
      <c r="AR85" s="200"/>
    </row>
    <row r="86" spans="1:44">
      <c r="A86" s="199" t="s">
        <v>16</v>
      </c>
      <c r="B86" s="200" t="str">
        <f t="shared" si="45"/>
        <v>TFRCO</v>
      </c>
      <c r="C86" s="200" t="str">
        <f t="shared" si="45"/>
        <v>Transport Freight - Rail Corridor</v>
      </c>
      <c r="D86" s="199" t="s">
        <v>149</v>
      </c>
      <c r="E86" s="49"/>
      <c r="F86" s="251">
        <f t="shared" ref="F86:L86" si="58">F59</f>
        <v>22</v>
      </c>
      <c r="G86" s="251">
        <f t="shared" si="58"/>
        <v>23.222941169522429</v>
      </c>
      <c r="H86" s="251">
        <f t="shared" si="58"/>
        <v>23.686030209030392</v>
      </c>
      <c r="I86" s="251">
        <f t="shared" si="58"/>
        <v>22.887802016394883</v>
      </c>
      <c r="J86" s="251">
        <f t="shared" si="58"/>
        <v>48.88546787047725</v>
      </c>
      <c r="K86" s="251">
        <f t="shared" si="58"/>
        <v>90.577822900637926</v>
      </c>
      <c r="L86" s="251">
        <f t="shared" si="58"/>
        <v>163.43969443961191</v>
      </c>
      <c r="M86" s="8"/>
      <c r="N86" s="251">
        <f>N59</f>
        <v>23.222941169522429</v>
      </c>
      <c r="O86" s="251">
        <f>O59</f>
        <v>22.887802016394883</v>
      </c>
      <c r="P86" s="251">
        <f>P59</f>
        <v>31.559795265473838</v>
      </c>
      <c r="Q86" s="251">
        <f>Q59</f>
        <v>45.49574560078694</v>
      </c>
      <c r="R86" s="251">
        <f>R59</f>
        <v>68.045978815043583</v>
      </c>
      <c r="S86" s="8"/>
      <c r="T86" s="251">
        <f>T59</f>
        <v>23.222941169522429</v>
      </c>
      <c r="U86" s="251">
        <f>U59</f>
        <v>22.887802016394883</v>
      </c>
      <c r="V86" s="251">
        <f>V59</f>
        <v>48.88546787047725</v>
      </c>
      <c r="W86" s="251">
        <f>W59</f>
        <v>90.577822900637926</v>
      </c>
      <c r="X86" s="251">
        <f>X59</f>
        <v>163.43969443961191</v>
      </c>
      <c r="Y86" s="200"/>
      <c r="Z86" s="200"/>
      <c r="AA86" s="200"/>
      <c r="AB86" s="200"/>
      <c r="AC86" s="200"/>
      <c r="AD86" s="200"/>
      <c r="AE86" s="200"/>
      <c r="AF86" s="200"/>
      <c r="AG86" s="200"/>
      <c r="AH86" s="200"/>
      <c r="AI86" s="200"/>
      <c r="AJ86" s="200"/>
      <c r="AK86" s="200"/>
      <c r="AL86" s="200"/>
      <c r="AM86" s="200"/>
      <c r="AN86" s="200"/>
      <c r="AO86" s="200"/>
      <c r="AP86" s="200"/>
      <c r="AQ86" s="200"/>
      <c r="AR86" s="200"/>
    </row>
    <row r="87" spans="1:44">
      <c r="A87" s="199" t="s">
        <v>16</v>
      </c>
      <c r="B87" s="200" t="str">
        <f t="shared" si="45"/>
        <v>TFROT</v>
      </c>
      <c r="C87" s="200" t="str">
        <f t="shared" si="45"/>
        <v>Transport Freight - Rail Other</v>
      </c>
      <c r="D87" s="199" t="s">
        <v>149</v>
      </c>
      <c r="E87" s="49"/>
      <c r="F87" s="251">
        <f t="shared" ref="F87:L87" si="59">F47</f>
        <v>25.1</v>
      </c>
      <c r="G87" s="251">
        <f t="shared" si="59"/>
        <v>26.495264697955154</v>
      </c>
      <c r="H87" s="251">
        <f t="shared" si="59"/>
        <v>27.288049392811885</v>
      </c>
      <c r="I87" s="251">
        <f t="shared" si="59"/>
        <v>26.368431788884816</v>
      </c>
      <c r="J87" s="251">
        <f t="shared" si="59"/>
        <v>36.693937268574047</v>
      </c>
      <c r="K87" s="251">
        <f t="shared" si="59"/>
        <v>53.355398109748847</v>
      </c>
      <c r="L87" s="251">
        <f t="shared" si="59"/>
        <v>80.452660219969331</v>
      </c>
      <c r="M87" s="8"/>
      <c r="N87" s="251">
        <f>N47</f>
        <v>26.495264697955154</v>
      </c>
      <c r="O87" s="251">
        <f>O47</f>
        <v>26.112901391432359</v>
      </c>
      <c r="P87" s="251">
        <f>P47</f>
        <v>36.006857325608813</v>
      </c>
      <c r="Q87" s="251">
        <f>Q47</f>
        <v>51.906509753625137</v>
      </c>
      <c r="R87" s="251">
        <f>R47</f>
        <v>77.634275829890683</v>
      </c>
      <c r="S87" s="8"/>
      <c r="T87" s="251">
        <f>T47</f>
        <v>26.495264697955154</v>
      </c>
      <c r="U87" s="251">
        <f>U47</f>
        <v>26.368431788884816</v>
      </c>
      <c r="V87" s="251">
        <f>V47</f>
        <v>36.693937268574047</v>
      </c>
      <c r="W87" s="251">
        <f>W47</f>
        <v>53.355398109748847</v>
      </c>
      <c r="X87" s="251">
        <f>X47</f>
        <v>80.452660219969331</v>
      </c>
      <c r="Y87" s="200"/>
      <c r="Z87" s="200"/>
      <c r="AA87" s="200"/>
      <c r="AB87" s="200"/>
      <c r="AC87" s="200"/>
      <c r="AD87" s="200"/>
      <c r="AE87" s="200"/>
      <c r="AF87" s="200"/>
      <c r="AG87" s="200"/>
      <c r="AH87" s="200"/>
      <c r="AI87" s="200"/>
      <c r="AJ87" s="200"/>
      <c r="AK87" s="200"/>
      <c r="AL87" s="200"/>
      <c r="AM87" s="200"/>
      <c r="AN87" s="200"/>
      <c r="AO87" s="200"/>
      <c r="AP87" s="200"/>
      <c r="AQ87" s="200"/>
      <c r="AR87" s="200"/>
    </row>
    <row r="88" spans="1:44">
      <c r="A88" s="199" t="s">
        <v>16</v>
      </c>
      <c r="B88" s="200" t="str">
        <f t="shared" si="45"/>
        <v>TFREX</v>
      </c>
      <c r="C88" s="200" t="str">
        <f t="shared" si="45"/>
        <v>Transport Freight - Rail Export (bulk mining)</v>
      </c>
      <c r="D88" s="199" t="s">
        <v>149</v>
      </c>
      <c r="F88" s="251">
        <f t="shared" ref="F88:J88" si="60">F104</f>
        <v>82</v>
      </c>
      <c r="G88" s="251">
        <f t="shared" si="60"/>
        <v>82</v>
      </c>
      <c r="H88" s="251">
        <f t="shared" si="60"/>
        <v>82</v>
      </c>
      <c r="I88" s="251">
        <f t="shared" si="60"/>
        <v>76.999270969216482</v>
      </c>
      <c r="J88" s="251">
        <f t="shared" si="60"/>
        <v>98.360314094933585</v>
      </c>
      <c r="K88" s="251">
        <f>K104</f>
        <v>131.72532183616377</v>
      </c>
      <c r="L88" s="251">
        <f>L104</f>
        <v>191.19083656096981</v>
      </c>
      <c r="M88" s="8"/>
      <c r="N88" s="251">
        <f>F104</f>
        <v>82</v>
      </c>
      <c r="O88" s="251">
        <f>I104</f>
        <v>76.999270969216482</v>
      </c>
      <c r="P88" s="251">
        <f>J104</f>
        <v>98.360314094933585</v>
      </c>
      <c r="Q88" s="251">
        <f>K104</f>
        <v>131.72532183616377</v>
      </c>
      <c r="R88" s="251">
        <f>L104</f>
        <v>191.19083656096981</v>
      </c>
      <c r="S88" s="8"/>
      <c r="T88" s="251">
        <f t="shared" ref="T88:W88" si="61">N88</f>
        <v>82</v>
      </c>
      <c r="U88" s="251">
        <f t="shared" si="61"/>
        <v>76.999270969216482</v>
      </c>
      <c r="V88" s="251">
        <f t="shared" si="61"/>
        <v>98.360314094933585</v>
      </c>
      <c r="W88" s="251">
        <f t="shared" si="61"/>
        <v>131.72532183616377</v>
      </c>
      <c r="X88" s="251">
        <f>R88</f>
        <v>191.19083656096981</v>
      </c>
      <c r="Y88" s="200"/>
      <c r="Z88" s="200"/>
      <c r="AA88" s="200"/>
      <c r="AB88" s="200"/>
      <c r="AC88" s="200"/>
      <c r="AD88" s="200"/>
      <c r="AE88" s="200"/>
      <c r="AF88" s="200"/>
      <c r="AG88" s="200"/>
      <c r="AH88" s="200"/>
      <c r="AI88" s="200"/>
      <c r="AJ88" s="200"/>
      <c r="AK88" s="200"/>
      <c r="AL88" s="200"/>
      <c r="AM88" s="200"/>
      <c r="AN88" s="200"/>
      <c r="AO88" s="200"/>
      <c r="AP88" s="200"/>
      <c r="AQ88" s="200"/>
      <c r="AR88" s="200"/>
    </row>
    <row r="89" spans="1:44">
      <c r="A89" s="199" t="s">
        <v>16</v>
      </c>
      <c r="C89" s="5" t="s">
        <v>211</v>
      </c>
      <c r="E89" s="281">
        <f>SUM(E76:E85)-SUM(G76:G85)</f>
        <v>35.355410614896385</v>
      </c>
      <c r="F89" s="86">
        <f>SUM(F76:F88)</f>
        <v>302.13354210944328</v>
      </c>
      <c r="G89" s="86">
        <f>SUM(G76:G88)</f>
        <v>327.76209091394594</v>
      </c>
      <c r="H89" s="86">
        <f>SUM(H76:H88)</f>
        <v>344.45957483486882</v>
      </c>
      <c r="I89" s="86">
        <f>SUM(I76:I88)</f>
        <v>306.0162222859741</v>
      </c>
      <c r="J89" s="86">
        <f t="shared" ref="J89:L89" si="62">SUM(J76:J88)</f>
        <v>414.14983773300622</v>
      </c>
      <c r="K89" s="86">
        <f t="shared" si="62"/>
        <v>586.95894138213453</v>
      </c>
      <c r="L89" s="86">
        <f t="shared" si="62"/>
        <v>872.0636703273193</v>
      </c>
      <c r="M89" s="86"/>
      <c r="N89" s="86">
        <f>SUM(N76:N88)</f>
        <v>314.3703771748269</v>
      </c>
      <c r="O89" s="86">
        <f>SUM(O76:O88)</f>
        <v>306.0162222859741</v>
      </c>
      <c r="P89" s="86">
        <f>SUM(P76:P88)</f>
        <v>414.14983773300617</v>
      </c>
      <c r="Q89" s="86">
        <f>SUM(Q76:Q88)</f>
        <v>586.95894138213464</v>
      </c>
      <c r="R89" s="86">
        <f>SUM(R76:R88)</f>
        <v>872.06367032731953</v>
      </c>
      <c r="S89" s="86"/>
      <c r="T89" s="86">
        <f>SUM(T76:T88)</f>
        <v>314.3703771748269</v>
      </c>
      <c r="U89" s="86">
        <f>SUM(U76:U88)</f>
        <v>306.0162222859741</v>
      </c>
      <c r="V89" s="86">
        <f>SUM(V76:V88)</f>
        <v>414.14983773300622</v>
      </c>
      <c r="W89" s="86">
        <f>SUM(W76:W88)</f>
        <v>586.95894138213453</v>
      </c>
      <c r="X89" s="86">
        <f>SUM(X76:X88)</f>
        <v>872.0636703273193</v>
      </c>
    </row>
    <row r="90" spans="1:44">
      <c r="A90" s="199" t="s">
        <v>16</v>
      </c>
      <c r="L90" s="199">
        <f>L89/F89</f>
        <v>2.8863517246007313</v>
      </c>
      <c r="N90" s="5" t="s">
        <v>41</v>
      </c>
      <c r="T90" s="5" t="s">
        <v>197</v>
      </c>
    </row>
    <row r="91" spans="1:44" ht="15.75" thickBot="1">
      <c r="A91" s="199" t="s">
        <v>16</v>
      </c>
      <c r="B91" s="14" t="s">
        <v>209</v>
      </c>
      <c r="C91" s="14"/>
      <c r="D91" s="14"/>
      <c r="F91" s="199">
        <f t="shared" ref="F91:L91" si="63">F$4</f>
        <v>2012</v>
      </c>
      <c r="G91" s="199">
        <f t="shared" si="63"/>
        <v>2015</v>
      </c>
      <c r="H91" s="199">
        <f t="shared" si="63"/>
        <v>2017</v>
      </c>
      <c r="I91" s="199">
        <f t="shared" si="63"/>
        <v>2020</v>
      </c>
      <c r="J91" s="199">
        <f t="shared" si="63"/>
        <v>2030</v>
      </c>
      <c r="K91" s="199">
        <f t="shared" si="63"/>
        <v>2040</v>
      </c>
      <c r="L91" s="199">
        <f t="shared" si="63"/>
        <v>2050</v>
      </c>
      <c r="N91" s="7">
        <v>2012</v>
      </c>
      <c r="O91" s="7">
        <v>2020</v>
      </c>
      <c r="P91" s="7">
        <v>2030</v>
      </c>
      <c r="Q91" s="7">
        <v>2040</v>
      </c>
      <c r="R91" s="7">
        <v>2050</v>
      </c>
      <c r="T91" s="7">
        <f>N91</f>
        <v>2012</v>
      </c>
      <c r="U91" s="7">
        <f>O91</f>
        <v>2020</v>
      </c>
      <c r="V91" s="7">
        <f>P91</f>
        <v>2030</v>
      </c>
      <c r="W91" s="7">
        <f>Q91</f>
        <v>2040</v>
      </c>
      <c r="X91" s="7">
        <f>R91</f>
        <v>2050</v>
      </c>
    </row>
    <row r="92" spans="1:44">
      <c r="A92" s="199" t="s">
        <v>16</v>
      </c>
      <c r="B92" s="200" t="str">
        <f>'[2]TS BYDem'!D19</f>
        <v>TFLCV</v>
      </c>
      <c r="C92" s="200" t="str">
        <f>C13</f>
        <v>Transport Freight - LCV</v>
      </c>
      <c r="D92" s="199" t="s">
        <v>150</v>
      </c>
      <c r="F92" s="252">
        <v>43.112503750568798</v>
      </c>
      <c r="G92" s="253">
        <v>44.4</v>
      </c>
      <c r="H92" s="200">
        <v>45.342821165621402</v>
      </c>
      <c r="I92" s="200">
        <f>I43/I63</f>
        <v>44.85229319427733</v>
      </c>
      <c r="J92" s="10">
        <f>J43/J63</f>
        <v>61.846445079542072</v>
      </c>
      <c r="K92" s="10">
        <f>K43/K63</f>
        <v>89.156159220402401</v>
      </c>
      <c r="L92" s="10">
        <f>L43/L63</f>
        <v>133.34693258521338</v>
      </c>
      <c r="N92" s="10">
        <f>N43/N63</f>
        <v>45.509051739557961</v>
      </c>
      <c r="O92" s="10">
        <f>O43/O63</f>
        <v>44.85229319427733</v>
      </c>
      <c r="P92" s="10">
        <f>P43/P63</f>
        <v>61.846445079542072</v>
      </c>
      <c r="Q92" s="10">
        <f>Q43/Q63</f>
        <v>89.156159220402401</v>
      </c>
      <c r="R92" s="10">
        <f>R43/R63</f>
        <v>133.34693258521338</v>
      </c>
      <c r="T92" s="10">
        <f>T43/T63</f>
        <v>45.509051739557961</v>
      </c>
      <c r="U92" s="10">
        <f>U43/U63</f>
        <v>44.85229319427733</v>
      </c>
      <c r="V92" s="10">
        <f>V43/V63</f>
        <v>61.846445079542072</v>
      </c>
      <c r="W92" s="10">
        <f>W43/W63</f>
        <v>89.156159220402401</v>
      </c>
      <c r="X92" s="10">
        <f>X43/X63</f>
        <v>133.34693258521338</v>
      </c>
    </row>
    <row r="93" spans="1:44">
      <c r="A93" s="199" t="s">
        <v>16</v>
      </c>
      <c r="B93" s="200" t="str">
        <f>'[2]TS BYDem'!D20</f>
        <v>TFHCV1</v>
      </c>
      <c r="C93" s="200" t="str">
        <f t="shared" ref="C93:C99" si="64">C14</f>
        <v>Transport Freight - HCV1</v>
      </c>
      <c r="D93" s="199" t="s">
        <v>150</v>
      </c>
      <c r="F93" s="252">
        <v>3.31</v>
      </c>
      <c r="G93" s="10">
        <v>3.4</v>
      </c>
      <c r="H93" s="10">
        <v>3.45</v>
      </c>
      <c r="I93" s="10">
        <f>I46/I64</f>
        <v>3.2713951563888077</v>
      </c>
      <c r="J93" s="10">
        <f>J46/J64</f>
        <v>4.2853539728031098</v>
      </c>
      <c r="K93" s="10">
        <f>K46/K64</f>
        <v>5.8687676485277898</v>
      </c>
      <c r="L93" s="10">
        <f>L46/L64</f>
        <v>8.3387739253022843</v>
      </c>
      <c r="N93" s="10">
        <f>N46/N64</f>
        <v>3.4939970577781505</v>
      </c>
      <c r="O93" s="10">
        <f>O46/O64</f>
        <v>3.443573848830324</v>
      </c>
      <c r="P93" s="10">
        <f>P46/P64</f>
        <v>4.7483146513053862</v>
      </c>
      <c r="Q93" s="10">
        <f>Q46/Q64</f>
        <v>6.8450417244820407</v>
      </c>
      <c r="R93" s="10">
        <f>R46/R64</f>
        <v>10.23782681262702</v>
      </c>
      <c r="T93" s="10">
        <f>T46/T64</f>
        <v>3.4939970577781505</v>
      </c>
      <c r="U93" s="10">
        <f>U46/U64</f>
        <v>3.2713951563888077</v>
      </c>
      <c r="V93" s="10">
        <f>V46/V64</f>
        <v>4.2853539728031098</v>
      </c>
      <c r="W93" s="10">
        <f>W46/W64</f>
        <v>5.8687676485277898</v>
      </c>
      <c r="X93" s="10">
        <f>X46/X64</f>
        <v>8.3387739253022843</v>
      </c>
    </row>
    <row r="94" spans="1:44">
      <c r="A94" s="199" t="s">
        <v>16</v>
      </c>
      <c r="B94" s="200" t="str">
        <f>'[2]TS BYDem'!D21</f>
        <v>TFHCV2</v>
      </c>
      <c r="C94" s="200" t="str">
        <f t="shared" si="64"/>
        <v>Transport Freight - HCV2</v>
      </c>
      <c r="D94" s="199" t="s">
        <v>150</v>
      </c>
      <c r="F94" s="252">
        <v>0.65478395407088008</v>
      </c>
      <c r="G94" s="10">
        <v>0.704124436203308</v>
      </c>
      <c r="H94" s="10">
        <v>0.73600943824652509</v>
      </c>
      <c r="I94" s="10">
        <f>I51/I65</f>
        <v>0.68120752292211428</v>
      </c>
      <c r="J94" s="10">
        <f>J51/J65</f>
        <v>0.86416635140485754</v>
      </c>
      <c r="K94" s="10">
        <f>K51/K65</f>
        <v>1.1585556781686994</v>
      </c>
      <c r="L94" s="10">
        <f>L51/L65</f>
        <v>1.6115045551019063</v>
      </c>
      <c r="N94" s="10">
        <f t="shared" ref="N94:R101" si="65">N51/N65</f>
        <v>0.69118223836978798</v>
      </c>
      <c r="O94" s="10">
        <f t="shared" si="65"/>
        <v>0.68120752292211428</v>
      </c>
      <c r="P94" s="10">
        <f t="shared" si="65"/>
        <v>0.93931125152701878</v>
      </c>
      <c r="Q94" s="10">
        <f t="shared" si="65"/>
        <v>1.3540856453584611</v>
      </c>
      <c r="R94" s="10">
        <f t="shared" si="65"/>
        <v>2.0252461394153456</v>
      </c>
      <c r="T94" s="10">
        <f t="shared" ref="T94:X101" si="66">T51/T65</f>
        <v>0.69118223836978798</v>
      </c>
      <c r="U94" s="10">
        <f t="shared" si="66"/>
        <v>0.68120752292211428</v>
      </c>
      <c r="V94" s="10">
        <f t="shared" si="66"/>
        <v>0.86416635140485754</v>
      </c>
      <c r="W94" s="10">
        <f t="shared" si="66"/>
        <v>1.1585556781686994</v>
      </c>
      <c r="X94" s="10">
        <f t="shared" si="66"/>
        <v>1.6115045551019063</v>
      </c>
    </row>
    <row r="95" spans="1:44">
      <c r="A95" s="199" t="s">
        <v>16</v>
      </c>
      <c r="B95" s="200" t="str">
        <f>'[2]TS BYDem'!D22</f>
        <v>TFHCV3</v>
      </c>
      <c r="C95" s="200" t="str">
        <f t="shared" si="64"/>
        <v>Transport Freight - HCV3</v>
      </c>
      <c r="D95" s="199" t="s">
        <v>150</v>
      </c>
      <c r="F95" s="252">
        <v>2.7114063478211299</v>
      </c>
      <c r="G95" s="10">
        <v>2.9</v>
      </c>
      <c r="H95" s="10">
        <v>3.0305969254191498</v>
      </c>
      <c r="I95" s="10">
        <f t="shared" ref="I95:L101" si="67">I52/I66</f>
        <v>2.8208241670421086</v>
      </c>
      <c r="J95" s="10">
        <f t="shared" si="67"/>
        <v>3.5784415855109897</v>
      </c>
      <c r="K95" s="10">
        <f t="shared" si="67"/>
        <v>4.7974835066755146</v>
      </c>
      <c r="L95" s="10">
        <f t="shared" si="67"/>
        <v>6.6731074472435576</v>
      </c>
      <c r="N95" s="10">
        <f t="shared" si="65"/>
        <v>2.8621286410054458</v>
      </c>
      <c r="O95" s="10">
        <f t="shared" si="65"/>
        <v>2.8208241670421086</v>
      </c>
      <c r="P95" s="10">
        <f t="shared" si="65"/>
        <v>3.8896104190336844</v>
      </c>
      <c r="Q95" s="10">
        <f t="shared" si="65"/>
        <v>5.607156973674047</v>
      </c>
      <c r="R95" s="10">
        <f t="shared" si="65"/>
        <v>8.3863772228550637</v>
      </c>
      <c r="T95" s="10">
        <f t="shared" si="66"/>
        <v>2.8621286410054458</v>
      </c>
      <c r="U95" s="10">
        <f t="shared" si="66"/>
        <v>2.8208241670421086</v>
      </c>
      <c r="V95" s="10">
        <f t="shared" si="66"/>
        <v>3.5784415855109897</v>
      </c>
      <c r="W95" s="10">
        <f t="shared" si="66"/>
        <v>4.7974835066755146</v>
      </c>
      <c r="X95" s="10">
        <f t="shared" si="66"/>
        <v>6.6731074472435576</v>
      </c>
    </row>
    <row r="96" spans="1:44">
      <c r="A96" s="199" t="s">
        <v>16</v>
      </c>
      <c r="B96" s="200" t="str">
        <f>'[2]TS BYDem'!D23</f>
        <v>TFHCV4</v>
      </c>
      <c r="C96" s="200" t="str">
        <f t="shared" si="64"/>
        <v>Transport Freight - HCV4</v>
      </c>
      <c r="D96" s="199" t="s">
        <v>150</v>
      </c>
      <c r="F96" s="252">
        <v>0.57023972229676601</v>
      </c>
      <c r="G96" s="200">
        <v>0.53653175775760331</v>
      </c>
      <c r="H96" s="200">
        <v>0.54380700000000004</v>
      </c>
      <c r="I96" s="10">
        <f t="shared" si="67"/>
        <v>0.59325153935510855</v>
      </c>
      <c r="J96" s="10">
        <f t="shared" si="67"/>
        <v>0.75258713531329446</v>
      </c>
      <c r="K96" s="10">
        <f t="shared" si="67"/>
        <v>1.0089655741819614</v>
      </c>
      <c r="L96" s="10">
        <f t="shared" si="67"/>
        <v>1.4034307106459869</v>
      </c>
      <c r="N96" s="10">
        <f t="shared" si="65"/>
        <v>0.60193834197375518</v>
      </c>
      <c r="O96" s="10">
        <f t="shared" si="65"/>
        <v>0.59325153935510855</v>
      </c>
      <c r="P96" s="10">
        <f t="shared" si="65"/>
        <v>0.81802949490575483</v>
      </c>
      <c r="Q96" s="10">
        <f t="shared" si="65"/>
        <v>1.1792491516853216</v>
      </c>
      <c r="R96" s="10">
        <f t="shared" si="65"/>
        <v>1.7637509119500956</v>
      </c>
      <c r="T96" s="10">
        <f t="shared" si="66"/>
        <v>0.60193834197375518</v>
      </c>
      <c r="U96" s="10">
        <f t="shared" si="66"/>
        <v>0.59325153935510855</v>
      </c>
      <c r="V96" s="10">
        <f t="shared" si="66"/>
        <v>0.75258713531329446</v>
      </c>
      <c r="W96" s="10">
        <f t="shared" si="66"/>
        <v>1.0089655741819614</v>
      </c>
      <c r="X96" s="10">
        <f t="shared" si="66"/>
        <v>1.4034307106459869</v>
      </c>
    </row>
    <row r="97" spans="1:78">
      <c r="A97" s="199" t="s">
        <v>16</v>
      </c>
      <c r="B97" s="200" t="str">
        <f>'[2]TS BYDem'!D24</f>
        <v>TFHCV5</v>
      </c>
      <c r="C97" s="200" t="str">
        <f t="shared" si="64"/>
        <v>Transport Freight - HCV5</v>
      </c>
      <c r="D97" s="199" t="s">
        <v>150</v>
      </c>
      <c r="F97" s="252">
        <v>0.27326501935541303</v>
      </c>
      <c r="G97" s="10">
        <v>0.28568357599999999</v>
      </c>
      <c r="H97" s="10">
        <v>0.289557377</v>
      </c>
      <c r="I97" s="10">
        <f t="shared" si="67"/>
        <v>0.28429253004604604</v>
      </c>
      <c r="J97" s="10">
        <f t="shared" si="67"/>
        <v>0.36064786449758096</v>
      </c>
      <c r="K97" s="10">
        <f t="shared" si="67"/>
        <v>0.48350717492509332</v>
      </c>
      <c r="L97" s="10">
        <f t="shared" si="67"/>
        <v>0.67253911874814976</v>
      </c>
      <c r="N97" s="10">
        <f t="shared" si="65"/>
        <v>0.28845533946268953</v>
      </c>
      <c r="O97" s="10">
        <f t="shared" si="65"/>
        <v>0.28429253004604604</v>
      </c>
      <c r="P97" s="10">
        <f t="shared" si="65"/>
        <v>0.39200854836693577</v>
      </c>
      <c r="Q97" s="10">
        <f t="shared" si="65"/>
        <v>0.56510890009945447</v>
      </c>
      <c r="R97" s="10">
        <f t="shared" si="65"/>
        <v>0.84520844172504184</v>
      </c>
      <c r="T97" s="10">
        <f t="shared" si="66"/>
        <v>0.28845533946268953</v>
      </c>
      <c r="U97" s="10">
        <f t="shared" si="66"/>
        <v>0.28429253004604604</v>
      </c>
      <c r="V97" s="10">
        <f t="shared" si="66"/>
        <v>0.36064786449758096</v>
      </c>
      <c r="W97" s="10">
        <f t="shared" si="66"/>
        <v>0.48350717492509332</v>
      </c>
      <c r="X97" s="10">
        <f t="shared" si="66"/>
        <v>0.67253911874814976</v>
      </c>
    </row>
    <row r="98" spans="1:78">
      <c r="A98" s="199" t="s">
        <v>16</v>
      </c>
      <c r="B98" s="200" t="str">
        <f>'[2]TS BYDem'!D25</f>
        <v>TFHCV6</v>
      </c>
      <c r="C98" s="200" t="str">
        <f t="shared" si="64"/>
        <v>Transport Freight - HCV6</v>
      </c>
      <c r="D98" s="199" t="s">
        <v>150</v>
      </c>
      <c r="F98" s="252">
        <v>5.0361375113209599</v>
      </c>
      <c r="G98" s="10">
        <v>6.01</v>
      </c>
      <c r="H98" s="10">
        <v>6.6407838452289196</v>
      </c>
      <c r="I98" s="10">
        <f>I55/I69</f>
        <v>5.239369013020629</v>
      </c>
      <c r="J98" s="10">
        <f>J55/J69</f>
        <v>6.6465596037807968</v>
      </c>
      <c r="K98" s="10">
        <f t="shared" si="67"/>
        <v>8.9107951920698447</v>
      </c>
      <c r="L98" s="10">
        <f t="shared" si="67"/>
        <v>12.394559288077447</v>
      </c>
      <c r="N98" s="10">
        <f t="shared" si="65"/>
        <v>5.3160875066832647</v>
      </c>
      <c r="O98" s="10">
        <f t="shared" si="65"/>
        <v>5.239369013020629</v>
      </c>
      <c r="P98" s="10">
        <f t="shared" si="65"/>
        <v>7.2245213084573878</v>
      </c>
      <c r="Q98" s="10">
        <f t="shared" si="65"/>
        <v>10.414674137529037</v>
      </c>
      <c r="R98" s="10">
        <f t="shared" si="65"/>
        <v>15.576768472954207</v>
      </c>
      <c r="T98" s="10">
        <f t="shared" si="66"/>
        <v>5.3160875066832647</v>
      </c>
      <c r="U98" s="10">
        <f t="shared" si="66"/>
        <v>5.239369013020629</v>
      </c>
      <c r="V98" s="10">
        <f t="shared" si="66"/>
        <v>6.6465596037807968</v>
      </c>
      <c r="W98" s="10">
        <f t="shared" si="66"/>
        <v>8.9107951920698447</v>
      </c>
      <c r="X98" s="10">
        <f t="shared" si="66"/>
        <v>12.394559288077447</v>
      </c>
    </row>
    <row r="99" spans="1:78">
      <c r="A99" s="199" t="s">
        <v>16</v>
      </c>
      <c r="B99" s="200" t="str">
        <f>'[2]TS BYDem'!D26</f>
        <v>TFHCV7</v>
      </c>
      <c r="C99" s="200" t="str">
        <f t="shared" si="64"/>
        <v>Transport Freight - HCV7</v>
      </c>
      <c r="D99" s="199" t="s">
        <v>150</v>
      </c>
      <c r="F99" s="252">
        <v>1.5653068685251901</v>
      </c>
      <c r="G99" s="10">
        <v>1.7</v>
      </c>
      <c r="H99" s="10">
        <v>1.78</v>
      </c>
      <c r="I99" s="10">
        <f t="shared" si="67"/>
        <v>1.6284742591685284</v>
      </c>
      <c r="J99" s="10">
        <f t="shared" si="67"/>
        <v>2.0658501433832459</v>
      </c>
      <c r="K99" s="10">
        <f t="shared" si="67"/>
        <v>2.7696084324174115</v>
      </c>
      <c r="L99" s="10">
        <f t="shared" si="67"/>
        <v>3.852414423227581</v>
      </c>
      <c r="N99" s="10">
        <f t="shared" si="65"/>
        <v>1.6523195145459042</v>
      </c>
      <c r="O99" s="10">
        <f t="shared" si="65"/>
        <v>1.6284742591685284</v>
      </c>
      <c r="P99" s="10">
        <f t="shared" si="65"/>
        <v>2.2454892862861366</v>
      </c>
      <c r="Q99" s="10">
        <f t="shared" si="65"/>
        <v>3.2370365035266611</v>
      </c>
      <c r="R99" s="10">
        <f t="shared" si="65"/>
        <v>4.8414926370321529</v>
      </c>
      <c r="T99" s="10">
        <f t="shared" si="66"/>
        <v>1.6523195145459042</v>
      </c>
      <c r="U99" s="10">
        <f t="shared" si="66"/>
        <v>1.6284742591685284</v>
      </c>
      <c r="V99" s="10">
        <f t="shared" si="66"/>
        <v>2.0658501433832459</v>
      </c>
      <c r="W99" s="10">
        <f t="shared" si="66"/>
        <v>2.7696084324174115</v>
      </c>
      <c r="X99" s="10">
        <f t="shared" si="66"/>
        <v>3.852414423227581</v>
      </c>
    </row>
    <row r="100" spans="1:78">
      <c r="A100" s="199" t="s">
        <v>16</v>
      </c>
      <c r="B100" s="200" t="str">
        <f>'[2]TS BYDem'!D27</f>
        <v>TFHCV8</v>
      </c>
      <c r="C100" s="200" t="str">
        <f>C21</f>
        <v>Transport Freight - HCV8</v>
      </c>
      <c r="D100" s="199" t="s">
        <v>150</v>
      </c>
      <c r="F100" s="252">
        <v>5.8486156921973897E-2</v>
      </c>
      <c r="G100" s="10">
        <v>7.9893942605822804E-2</v>
      </c>
      <c r="H100" s="10">
        <v>0.102046183451296</v>
      </c>
      <c r="I100" s="10">
        <f>I57/I71</f>
        <v>6.0846344560451945E-2</v>
      </c>
      <c r="J100" s="10">
        <f>J57/J71</f>
        <v>7.7188465784369248E-2</v>
      </c>
      <c r="K100" s="10">
        <f>K57/K71</f>
        <v>0.10348370447221361</v>
      </c>
      <c r="L100" s="10">
        <f>L57/L71</f>
        <v>0.14394168901695967</v>
      </c>
      <c r="N100" s="10">
        <f t="shared" si="65"/>
        <v>6.173729915592991E-2</v>
      </c>
      <c r="O100" s="10">
        <f t="shared" si="65"/>
        <v>6.0846344560451945E-2</v>
      </c>
      <c r="P100" s="10">
        <f t="shared" si="65"/>
        <v>8.3900506287357873E-2</v>
      </c>
      <c r="Q100" s="10">
        <f t="shared" si="65"/>
        <v>0.12094869620408322</v>
      </c>
      <c r="R100" s="10">
        <f t="shared" si="65"/>
        <v>0.1808976270402706</v>
      </c>
      <c r="T100" s="10">
        <f t="shared" si="66"/>
        <v>6.173729915592991E-2</v>
      </c>
      <c r="U100" s="10">
        <f t="shared" si="66"/>
        <v>6.0846344560451945E-2</v>
      </c>
      <c r="V100" s="10">
        <f t="shared" si="66"/>
        <v>7.7188465784369248E-2</v>
      </c>
      <c r="W100" s="10">
        <f t="shared" si="66"/>
        <v>0.10348370447221361</v>
      </c>
      <c r="X100" s="10">
        <f t="shared" si="66"/>
        <v>0.14394168901695967</v>
      </c>
    </row>
    <row r="101" spans="1:78">
      <c r="A101" s="199" t="s">
        <v>16</v>
      </c>
      <c r="B101" s="200" t="str">
        <f>'[2]TS BYDem'!D28</f>
        <v>TFHCV9</v>
      </c>
      <c r="C101" s="200" t="str">
        <f>C22</f>
        <v>Transport Freight - HCV9</v>
      </c>
      <c r="D101" s="199" t="s">
        <v>150</v>
      </c>
      <c r="F101" s="252">
        <v>3.9969372950314899E-2</v>
      </c>
      <c r="G101" s="24">
        <v>2.2368931977559604E-2</v>
      </c>
      <c r="H101" s="200">
        <v>2.2670999999999997E-2</v>
      </c>
      <c r="I101" s="200">
        <f t="shared" si="67"/>
        <v>4.1582322491193507E-2</v>
      </c>
      <c r="J101" s="200">
        <f t="shared" si="67"/>
        <v>5.275050950114557E-2</v>
      </c>
      <c r="K101" s="10">
        <f t="shared" si="67"/>
        <v>7.0720645636678292E-2</v>
      </c>
      <c r="L101" s="10">
        <f t="shared" si="67"/>
        <v>9.8369586141426629E-2</v>
      </c>
      <c r="N101" s="10">
        <f t="shared" si="65"/>
        <v>4.2191199845812037E-2</v>
      </c>
      <c r="O101" s="10">
        <f t="shared" si="65"/>
        <v>4.1582322491193507E-2</v>
      </c>
      <c r="P101" s="10">
        <f t="shared" si="65"/>
        <v>5.7337510327332156E-2</v>
      </c>
      <c r="Q101" s="10">
        <f t="shared" si="65"/>
        <v>8.2656201071386506E-2</v>
      </c>
      <c r="R101" s="10">
        <f t="shared" si="65"/>
        <v>0.1236252320467139</v>
      </c>
      <c r="T101" s="10">
        <f t="shared" si="66"/>
        <v>4.2191199845812037E-2</v>
      </c>
      <c r="U101" s="10">
        <f t="shared" si="66"/>
        <v>4.1582322491193507E-2</v>
      </c>
      <c r="V101" s="10">
        <f t="shared" si="66"/>
        <v>5.275050950114557E-2</v>
      </c>
      <c r="W101" s="10">
        <f t="shared" si="66"/>
        <v>7.0720645636678292E-2</v>
      </c>
      <c r="X101" s="10">
        <f t="shared" si="66"/>
        <v>9.8369586141426629E-2</v>
      </c>
    </row>
    <row r="102" spans="1:78">
      <c r="A102" s="199" t="s">
        <v>16</v>
      </c>
      <c r="B102" s="200" t="str">
        <f>'[2]TS BYDem'!D29</f>
        <v>TFRCO</v>
      </c>
      <c r="C102" s="200" t="str">
        <f>C23</f>
        <v>Transport Freight - Rail Corridor</v>
      </c>
      <c r="D102" s="199" t="s">
        <v>149</v>
      </c>
      <c r="F102" s="252">
        <f>'[2]TS BYDem'!J29</f>
        <v>22</v>
      </c>
      <c r="G102" s="10">
        <f t="shared" ref="G102:L102" si="68">G59</f>
        <v>23.222941169522429</v>
      </c>
      <c r="H102" s="10">
        <f t="shared" si="68"/>
        <v>23.686030209030392</v>
      </c>
      <c r="I102" s="10">
        <f t="shared" si="68"/>
        <v>22.887802016394883</v>
      </c>
      <c r="J102" s="10">
        <f t="shared" si="68"/>
        <v>48.88546787047725</v>
      </c>
      <c r="K102" s="10">
        <f t="shared" si="68"/>
        <v>90.577822900637926</v>
      </c>
      <c r="L102" s="10">
        <f t="shared" si="68"/>
        <v>163.43969443961191</v>
      </c>
      <c r="N102" s="10"/>
    </row>
    <row r="103" spans="1:78">
      <c r="A103" s="199" t="s">
        <v>16</v>
      </c>
      <c r="B103" s="200" t="str">
        <f>'[2]TS BYDem'!D30</f>
        <v>TFROT</v>
      </c>
      <c r="C103" s="200" t="str">
        <f>C24</f>
        <v>Transport Freight - Rail Other</v>
      </c>
      <c r="D103" s="199" t="s">
        <v>149</v>
      </c>
      <c r="F103" s="252">
        <f>'[2]TS BYDem'!J30</f>
        <v>25.1</v>
      </c>
      <c r="G103" s="10">
        <f t="shared" ref="G103:L103" si="69">G47</f>
        <v>26.495264697955154</v>
      </c>
      <c r="H103" s="10">
        <f t="shared" si="69"/>
        <v>27.288049392811885</v>
      </c>
      <c r="I103" s="10">
        <f t="shared" si="69"/>
        <v>26.368431788884816</v>
      </c>
      <c r="J103" s="10">
        <f t="shared" si="69"/>
        <v>36.693937268574047</v>
      </c>
      <c r="K103" s="10">
        <f t="shared" si="69"/>
        <v>53.355398109748847</v>
      </c>
      <c r="L103" s="10">
        <f t="shared" si="69"/>
        <v>80.452660219969331</v>
      </c>
      <c r="N103" s="10"/>
    </row>
    <row r="104" spans="1:78">
      <c r="A104" s="199" t="s">
        <v>16</v>
      </c>
      <c r="B104" s="200" t="str">
        <f>'[2]TS BYDem'!D31</f>
        <v>TFREX</v>
      </c>
      <c r="C104" s="200" t="str">
        <f>C25</f>
        <v>Transport Freight - Rail Export (bulk mining)</v>
      </c>
      <c r="D104" s="199" t="s">
        <v>149</v>
      </c>
      <c r="F104" s="252">
        <f>'[2]TS BYDem'!J31</f>
        <v>82</v>
      </c>
      <c r="G104" s="10">
        <f>F104</f>
        <v>82</v>
      </c>
      <c r="H104" s="10">
        <f>G104</f>
        <v>82</v>
      </c>
      <c r="I104" s="10">
        <f>G104*(1+(G25+I25)/2*((I8/G8)^(1/(I$4-G$4))-1))^(I$4-G$4)</f>
        <v>76.999270969216482</v>
      </c>
      <c r="J104" s="10">
        <f>I104*(1+(I25+J25)/2*((J8/I8)^(1/(J$4-I$4))-1))^(J$4-I$4)</f>
        <v>98.360314094933585</v>
      </c>
      <c r="K104" s="10">
        <f>J104*(1+(J25+K25)/2*((K8/J8)^(1/(K$4-J$4))-1))^(K$4-J$4)</f>
        <v>131.72532183616377</v>
      </c>
      <c r="L104" s="10">
        <f>K104*(1+(K25+L25)/2*((L8/K8)^(1/(L$4-K$4))-1))^(L$4-K$4)</f>
        <v>191.19083656096981</v>
      </c>
      <c r="N104" s="10"/>
    </row>
    <row r="105" spans="1:78">
      <c r="B105" s="200"/>
      <c r="C105" s="200"/>
      <c r="F105" s="252"/>
      <c r="G105" s="10"/>
      <c r="H105" s="10"/>
      <c r="I105" s="10"/>
      <c r="J105" s="10"/>
      <c r="K105" s="10"/>
      <c r="L105" s="10"/>
      <c r="N105" s="10"/>
    </row>
    <row r="106" spans="1:78" ht="23.25">
      <c r="A106" s="124" t="s">
        <v>16</v>
      </c>
      <c r="B106" s="128" t="s">
        <v>18</v>
      </c>
      <c r="C106" s="128" t="s">
        <v>19</v>
      </c>
      <c r="D106" s="128" t="s">
        <v>20</v>
      </c>
      <c r="E106" s="128" t="s">
        <v>21</v>
      </c>
      <c r="F106" s="128" t="s">
        <v>22</v>
      </c>
      <c r="G106" s="128" t="s">
        <v>23</v>
      </c>
      <c r="H106" s="128" t="s">
        <v>24</v>
      </c>
      <c r="I106" s="128" t="s">
        <v>618</v>
      </c>
      <c r="J106" s="129" t="s">
        <v>25</v>
      </c>
      <c r="K106" s="199">
        <v>2012</v>
      </c>
      <c r="L106" s="199">
        <f>1+K106</f>
        <v>2013</v>
      </c>
      <c r="M106" s="199">
        <f t="shared" ref="M106:AW106" si="70">1+L106</f>
        <v>2014</v>
      </c>
      <c r="N106" s="199">
        <f t="shared" si="70"/>
        <v>2015</v>
      </c>
      <c r="O106" s="199">
        <f t="shared" si="70"/>
        <v>2016</v>
      </c>
      <c r="P106" s="199">
        <f t="shared" si="70"/>
        <v>2017</v>
      </c>
      <c r="Q106" s="199">
        <f t="shared" si="70"/>
        <v>2018</v>
      </c>
      <c r="R106" s="199">
        <f t="shared" si="70"/>
        <v>2019</v>
      </c>
      <c r="S106" s="199">
        <f t="shared" si="70"/>
        <v>2020</v>
      </c>
      <c r="T106" s="199">
        <f t="shared" si="70"/>
        <v>2021</v>
      </c>
      <c r="U106" s="199">
        <f t="shared" si="70"/>
        <v>2022</v>
      </c>
      <c r="V106" s="199">
        <f t="shared" si="70"/>
        <v>2023</v>
      </c>
      <c r="W106" s="199">
        <f t="shared" si="70"/>
        <v>2024</v>
      </c>
      <c r="X106" s="199">
        <f t="shared" si="70"/>
        <v>2025</v>
      </c>
      <c r="Y106" s="199">
        <f t="shared" si="70"/>
        <v>2026</v>
      </c>
      <c r="Z106" s="199">
        <f>1+Y106</f>
        <v>2027</v>
      </c>
      <c r="AA106" s="199">
        <f>1+Z106</f>
        <v>2028</v>
      </c>
      <c r="AB106" s="199">
        <f t="shared" si="70"/>
        <v>2029</v>
      </c>
      <c r="AC106" s="199">
        <f t="shared" si="70"/>
        <v>2030</v>
      </c>
      <c r="AD106" s="199">
        <f t="shared" si="70"/>
        <v>2031</v>
      </c>
      <c r="AE106" s="199">
        <f t="shared" si="70"/>
        <v>2032</v>
      </c>
      <c r="AF106" s="199">
        <f t="shared" si="70"/>
        <v>2033</v>
      </c>
      <c r="AG106" s="199">
        <f t="shared" si="70"/>
        <v>2034</v>
      </c>
      <c r="AH106" s="199">
        <f t="shared" si="70"/>
        <v>2035</v>
      </c>
      <c r="AI106" s="199">
        <f t="shared" si="70"/>
        <v>2036</v>
      </c>
      <c r="AJ106" s="199">
        <f t="shared" si="70"/>
        <v>2037</v>
      </c>
      <c r="AK106" s="199">
        <f t="shared" si="70"/>
        <v>2038</v>
      </c>
      <c r="AL106" s="199">
        <f t="shared" si="70"/>
        <v>2039</v>
      </c>
      <c r="AM106" s="199">
        <f t="shared" si="70"/>
        <v>2040</v>
      </c>
      <c r="AN106" s="199">
        <f t="shared" si="70"/>
        <v>2041</v>
      </c>
      <c r="AO106" s="199">
        <f t="shared" si="70"/>
        <v>2042</v>
      </c>
      <c r="AP106" s="199">
        <f t="shared" si="70"/>
        <v>2043</v>
      </c>
      <c r="AQ106" s="199">
        <f t="shared" si="70"/>
        <v>2044</v>
      </c>
      <c r="AR106" s="199">
        <f t="shared" si="70"/>
        <v>2045</v>
      </c>
      <c r="AS106" s="199">
        <f t="shared" si="70"/>
        <v>2046</v>
      </c>
      <c r="AT106" s="199">
        <f t="shared" si="70"/>
        <v>2047</v>
      </c>
      <c r="AU106" s="199">
        <f t="shared" si="70"/>
        <v>2048</v>
      </c>
      <c r="AV106" s="199">
        <f t="shared" si="70"/>
        <v>2049</v>
      </c>
      <c r="AW106" s="199">
        <f t="shared" si="70"/>
        <v>2050</v>
      </c>
      <c r="AX106" s="199">
        <v>2060</v>
      </c>
      <c r="AY106" s="199">
        <v>2070</v>
      </c>
    </row>
    <row r="107" spans="1:78" s="205" customFormat="1">
      <c r="A107" s="124" t="s">
        <v>16</v>
      </c>
      <c r="B107" s="205" t="s">
        <v>392</v>
      </c>
      <c r="C107" s="205">
        <v>1</v>
      </c>
      <c r="D107" s="205">
        <v>2012</v>
      </c>
      <c r="E107" s="205">
        <v>2015</v>
      </c>
      <c r="F107" s="205">
        <v>2017</v>
      </c>
      <c r="G107" s="205">
        <v>2020</v>
      </c>
      <c r="H107" s="205">
        <v>2030</v>
      </c>
      <c r="I107" s="205">
        <v>2040</v>
      </c>
      <c r="J107" s="254">
        <v>2050</v>
      </c>
      <c r="K107" s="205">
        <f t="shared" ref="K107:T108" si="71">MATCH(K$106,$D$107:$J$107,$C107)</f>
        <v>1</v>
      </c>
      <c r="L107" s="205">
        <f t="shared" si="71"/>
        <v>1</v>
      </c>
      <c r="M107" s="205">
        <f t="shared" si="71"/>
        <v>1</v>
      </c>
      <c r="N107" s="205">
        <f t="shared" si="71"/>
        <v>2</v>
      </c>
      <c r="O107" s="205">
        <f t="shared" si="71"/>
        <v>2</v>
      </c>
      <c r="P107" s="205">
        <f t="shared" si="71"/>
        <v>3</v>
      </c>
      <c r="Q107" s="205">
        <f t="shared" si="71"/>
        <v>3</v>
      </c>
      <c r="R107" s="205">
        <f t="shared" si="71"/>
        <v>3</v>
      </c>
      <c r="S107" s="205">
        <f t="shared" si="71"/>
        <v>4</v>
      </c>
      <c r="T107" s="205">
        <f t="shared" si="71"/>
        <v>4</v>
      </c>
      <c r="U107" s="205">
        <f t="shared" ref="U107:AD108" si="72">MATCH(U$106,$D$107:$J$107,$C107)</f>
        <v>4</v>
      </c>
      <c r="V107" s="205">
        <f t="shared" si="72"/>
        <v>4</v>
      </c>
      <c r="W107" s="205">
        <f t="shared" si="72"/>
        <v>4</v>
      </c>
      <c r="X107" s="205">
        <f t="shared" si="72"/>
        <v>4</v>
      </c>
      <c r="Y107" s="205">
        <f t="shared" si="72"/>
        <v>4</v>
      </c>
      <c r="Z107" s="205">
        <f>MATCH(Z$106,$D$107:$J$107,$C107)</f>
        <v>4</v>
      </c>
      <c r="AA107" s="205">
        <f t="shared" si="72"/>
        <v>4</v>
      </c>
      <c r="AB107" s="205">
        <f t="shared" si="72"/>
        <v>4</v>
      </c>
      <c r="AC107" s="205">
        <f t="shared" si="72"/>
        <v>5</v>
      </c>
      <c r="AD107" s="205">
        <f t="shared" si="72"/>
        <v>5</v>
      </c>
      <c r="AE107" s="205">
        <f t="shared" ref="AE107:AN108" si="73">MATCH(AE$106,$D$107:$J$107,$C107)</f>
        <v>5</v>
      </c>
      <c r="AF107" s="205">
        <f t="shared" si="73"/>
        <v>5</v>
      </c>
      <c r="AG107" s="205">
        <f t="shared" si="73"/>
        <v>5</v>
      </c>
      <c r="AH107" s="205">
        <f t="shared" si="73"/>
        <v>5</v>
      </c>
      <c r="AI107" s="205">
        <f t="shared" si="73"/>
        <v>5</v>
      </c>
      <c r="AJ107" s="205">
        <f t="shared" si="73"/>
        <v>5</v>
      </c>
      <c r="AK107" s="205">
        <f t="shared" si="73"/>
        <v>5</v>
      </c>
      <c r="AL107" s="205">
        <f t="shared" si="73"/>
        <v>5</v>
      </c>
      <c r="AM107" s="205">
        <f t="shared" si="73"/>
        <v>6</v>
      </c>
      <c r="AN107" s="205">
        <f t="shared" si="73"/>
        <v>6</v>
      </c>
      <c r="AO107" s="205">
        <f t="shared" ref="AO107:AY108" si="74">MATCH(AO$106,$D$107:$J$107,$C107)</f>
        <v>6</v>
      </c>
      <c r="AP107" s="205">
        <f t="shared" si="74"/>
        <v>6</v>
      </c>
      <c r="AQ107" s="205">
        <f t="shared" si="74"/>
        <v>6</v>
      </c>
      <c r="AR107" s="205">
        <f t="shared" si="74"/>
        <v>6</v>
      </c>
      <c r="AS107" s="205">
        <f t="shared" si="74"/>
        <v>6</v>
      </c>
      <c r="AT107" s="205">
        <f t="shared" si="74"/>
        <v>6</v>
      </c>
      <c r="AU107" s="205">
        <f t="shared" si="74"/>
        <v>6</v>
      </c>
      <c r="AV107" s="205">
        <f t="shared" si="74"/>
        <v>6</v>
      </c>
      <c r="AW107" s="205">
        <f t="shared" si="74"/>
        <v>7</v>
      </c>
      <c r="AX107" s="205">
        <f t="shared" si="74"/>
        <v>7</v>
      </c>
      <c r="AY107" s="205">
        <f t="shared" si="74"/>
        <v>7</v>
      </c>
      <c r="AZ107" s="199"/>
      <c r="BA107" s="199"/>
      <c r="BB107" s="199"/>
      <c r="BC107" s="199"/>
      <c r="BD107" s="199"/>
      <c r="BE107" s="199"/>
      <c r="BF107" s="199"/>
      <c r="BG107" s="199"/>
      <c r="BH107" s="199"/>
      <c r="BI107" s="199"/>
      <c r="BJ107" s="199"/>
      <c r="BK107" s="199"/>
      <c r="BL107" s="199"/>
      <c r="BM107" s="199"/>
      <c r="BN107" s="199"/>
      <c r="BO107" s="199"/>
      <c r="BP107" s="199"/>
      <c r="BQ107" s="199"/>
      <c r="BR107" s="199"/>
      <c r="BS107" s="199"/>
      <c r="BT107" s="199"/>
      <c r="BU107" s="199"/>
      <c r="BV107" s="199"/>
      <c r="BW107" s="199"/>
      <c r="BX107" s="199"/>
      <c r="BY107" s="199"/>
      <c r="BZ107" s="199"/>
    </row>
    <row r="108" spans="1:78">
      <c r="A108" s="41" t="s">
        <v>16</v>
      </c>
      <c r="B108" s="199" t="s">
        <v>393</v>
      </c>
      <c r="C108" s="199">
        <v>0</v>
      </c>
      <c r="D108" s="199">
        <f t="shared" ref="D108:I108" si="75">INDEX($D107:$J107,0,COUNT($D107:$J107)-D109)</f>
        <v>2050</v>
      </c>
      <c r="E108" s="199">
        <f t="shared" si="75"/>
        <v>2040</v>
      </c>
      <c r="F108" s="199">
        <f t="shared" si="75"/>
        <v>2030</v>
      </c>
      <c r="G108" s="199">
        <f t="shared" si="75"/>
        <v>2020</v>
      </c>
      <c r="H108" s="199">
        <f t="shared" si="75"/>
        <v>2017</v>
      </c>
      <c r="I108" s="199">
        <f t="shared" si="75"/>
        <v>2015</v>
      </c>
      <c r="J108" s="131">
        <v>2012</v>
      </c>
      <c r="K108" s="41">
        <f t="shared" si="71"/>
        <v>1</v>
      </c>
      <c r="L108" s="41" t="e">
        <f t="shared" si="71"/>
        <v>#N/A</v>
      </c>
      <c r="M108" s="41" t="e">
        <f t="shared" si="71"/>
        <v>#N/A</v>
      </c>
      <c r="N108" s="41">
        <f t="shared" si="71"/>
        <v>2</v>
      </c>
      <c r="O108" s="41" t="e">
        <f t="shared" si="71"/>
        <v>#N/A</v>
      </c>
      <c r="P108" s="41">
        <f t="shared" si="71"/>
        <v>3</v>
      </c>
      <c r="Q108" s="41" t="e">
        <f t="shared" si="71"/>
        <v>#N/A</v>
      </c>
      <c r="R108" s="41" t="e">
        <f t="shared" si="71"/>
        <v>#N/A</v>
      </c>
      <c r="S108" s="41">
        <f t="shared" si="71"/>
        <v>4</v>
      </c>
      <c r="T108" s="41" t="e">
        <f t="shared" si="71"/>
        <v>#N/A</v>
      </c>
      <c r="U108" s="41" t="e">
        <f t="shared" si="72"/>
        <v>#N/A</v>
      </c>
      <c r="V108" s="41" t="e">
        <f t="shared" si="72"/>
        <v>#N/A</v>
      </c>
      <c r="W108" s="41" t="e">
        <f t="shared" si="72"/>
        <v>#N/A</v>
      </c>
      <c r="X108" s="41" t="e">
        <f t="shared" si="72"/>
        <v>#N/A</v>
      </c>
      <c r="Y108" s="41" t="e">
        <f t="shared" si="72"/>
        <v>#N/A</v>
      </c>
      <c r="Z108" s="41" t="e">
        <f>MATCH(Z$106,$D$107:$J$107,$C108)</f>
        <v>#N/A</v>
      </c>
      <c r="AA108" s="41" t="e">
        <f t="shared" si="72"/>
        <v>#N/A</v>
      </c>
      <c r="AB108" s="41" t="e">
        <f t="shared" si="72"/>
        <v>#N/A</v>
      </c>
      <c r="AC108" s="41">
        <f t="shared" si="72"/>
        <v>5</v>
      </c>
      <c r="AD108" s="41" t="e">
        <f t="shared" si="72"/>
        <v>#N/A</v>
      </c>
      <c r="AE108" s="41" t="e">
        <f t="shared" si="73"/>
        <v>#N/A</v>
      </c>
      <c r="AF108" s="41" t="e">
        <f t="shared" si="73"/>
        <v>#N/A</v>
      </c>
      <c r="AG108" s="41" t="e">
        <f t="shared" si="73"/>
        <v>#N/A</v>
      </c>
      <c r="AH108" s="41" t="e">
        <f t="shared" si="73"/>
        <v>#N/A</v>
      </c>
      <c r="AI108" s="41" t="e">
        <f t="shared" si="73"/>
        <v>#N/A</v>
      </c>
      <c r="AJ108" s="41" t="e">
        <f t="shared" si="73"/>
        <v>#N/A</v>
      </c>
      <c r="AK108" s="41" t="e">
        <f t="shared" si="73"/>
        <v>#N/A</v>
      </c>
      <c r="AL108" s="41" t="e">
        <f t="shared" si="73"/>
        <v>#N/A</v>
      </c>
      <c r="AM108" s="41">
        <f t="shared" si="73"/>
        <v>6</v>
      </c>
      <c r="AN108" s="41" t="e">
        <f t="shared" si="73"/>
        <v>#N/A</v>
      </c>
      <c r="AO108" s="41" t="e">
        <f t="shared" si="74"/>
        <v>#N/A</v>
      </c>
      <c r="AP108" s="41" t="e">
        <f t="shared" si="74"/>
        <v>#N/A</v>
      </c>
      <c r="AQ108" s="41" t="e">
        <f t="shared" si="74"/>
        <v>#N/A</v>
      </c>
      <c r="AR108" s="41" t="e">
        <f t="shared" si="74"/>
        <v>#N/A</v>
      </c>
      <c r="AS108" s="41" t="e">
        <f t="shared" si="74"/>
        <v>#N/A</v>
      </c>
      <c r="AT108" s="41" t="e">
        <f t="shared" si="74"/>
        <v>#N/A</v>
      </c>
      <c r="AU108" s="41" t="e">
        <f t="shared" si="74"/>
        <v>#N/A</v>
      </c>
      <c r="AV108" s="41" t="e">
        <f t="shared" si="74"/>
        <v>#N/A</v>
      </c>
      <c r="AW108" s="41">
        <f t="shared" si="74"/>
        <v>7</v>
      </c>
      <c r="AX108" s="41" t="e">
        <f t="shared" si="74"/>
        <v>#N/A</v>
      </c>
      <c r="AY108" s="41" t="e">
        <f t="shared" si="74"/>
        <v>#N/A</v>
      </c>
    </row>
    <row r="109" spans="1:78">
      <c r="A109" s="41" t="s">
        <v>16</v>
      </c>
      <c r="B109" s="199" t="s">
        <v>391</v>
      </c>
      <c r="C109" s="199">
        <v>-1</v>
      </c>
      <c r="D109" s="199">
        <v>0</v>
      </c>
      <c r="E109" s="199">
        <v>1</v>
      </c>
      <c r="F109" s="202">
        <v>2</v>
      </c>
      <c r="G109" s="199">
        <v>3</v>
      </c>
      <c r="H109" s="199">
        <v>4</v>
      </c>
      <c r="I109" s="199">
        <v>5</v>
      </c>
      <c r="J109" s="199">
        <v>6</v>
      </c>
      <c r="K109" s="41">
        <f t="shared" ref="K109:AY109" si="76">MATCH(K$106,$D$108:$J$108,$C109)</f>
        <v>7</v>
      </c>
      <c r="L109" s="41">
        <f t="shared" si="76"/>
        <v>6</v>
      </c>
      <c r="M109" s="41">
        <f t="shared" si="76"/>
        <v>6</v>
      </c>
      <c r="N109" s="41">
        <f t="shared" si="76"/>
        <v>6</v>
      </c>
      <c r="O109" s="41">
        <f t="shared" si="76"/>
        <v>5</v>
      </c>
      <c r="P109" s="41">
        <f t="shared" si="76"/>
        <v>5</v>
      </c>
      <c r="Q109" s="41">
        <f t="shared" si="76"/>
        <v>4</v>
      </c>
      <c r="R109" s="41">
        <f t="shared" si="76"/>
        <v>4</v>
      </c>
      <c r="S109" s="41">
        <f t="shared" si="76"/>
        <v>4</v>
      </c>
      <c r="T109" s="41">
        <f t="shared" si="76"/>
        <v>3</v>
      </c>
      <c r="U109" s="41">
        <f t="shared" si="76"/>
        <v>3</v>
      </c>
      <c r="V109" s="41">
        <f t="shared" si="76"/>
        <v>3</v>
      </c>
      <c r="W109" s="41">
        <f t="shared" si="76"/>
        <v>3</v>
      </c>
      <c r="X109" s="41">
        <f t="shared" si="76"/>
        <v>3</v>
      </c>
      <c r="Y109" s="41">
        <f t="shared" si="76"/>
        <v>3</v>
      </c>
      <c r="Z109" s="41">
        <f>MATCH(Z$106,$D$108:$J$108,$C109)</f>
        <v>3</v>
      </c>
      <c r="AA109" s="41">
        <f t="shared" si="76"/>
        <v>3</v>
      </c>
      <c r="AB109" s="41">
        <f t="shared" si="76"/>
        <v>3</v>
      </c>
      <c r="AC109" s="41">
        <f t="shared" si="76"/>
        <v>3</v>
      </c>
      <c r="AD109" s="41">
        <f t="shared" si="76"/>
        <v>2</v>
      </c>
      <c r="AE109" s="41">
        <f t="shared" si="76"/>
        <v>2</v>
      </c>
      <c r="AF109" s="41">
        <f t="shared" si="76"/>
        <v>2</v>
      </c>
      <c r="AG109" s="41">
        <f t="shared" si="76"/>
        <v>2</v>
      </c>
      <c r="AH109" s="41">
        <f t="shared" si="76"/>
        <v>2</v>
      </c>
      <c r="AI109" s="41">
        <f t="shared" si="76"/>
        <v>2</v>
      </c>
      <c r="AJ109" s="41">
        <f t="shared" si="76"/>
        <v>2</v>
      </c>
      <c r="AK109" s="41">
        <f t="shared" si="76"/>
        <v>2</v>
      </c>
      <c r="AL109" s="41">
        <f t="shared" si="76"/>
        <v>2</v>
      </c>
      <c r="AM109" s="41">
        <f t="shared" si="76"/>
        <v>2</v>
      </c>
      <c r="AN109" s="41">
        <f t="shared" si="76"/>
        <v>1</v>
      </c>
      <c r="AO109" s="41">
        <f t="shared" si="76"/>
        <v>1</v>
      </c>
      <c r="AP109" s="41">
        <f t="shared" si="76"/>
        <v>1</v>
      </c>
      <c r="AQ109" s="41">
        <f t="shared" si="76"/>
        <v>1</v>
      </c>
      <c r="AR109" s="41">
        <f t="shared" si="76"/>
        <v>1</v>
      </c>
      <c r="AS109" s="41">
        <f t="shared" si="76"/>
        <v>1</v>
      </c>
      <c r="AT109" s="41">
        <f t="shared" si="76"/>
        <v>1</v>
      </c>
      <c r="AU109" s="41">
        <f t="shared" si="76"/>
        <v>1</v>
      </c>
      <c r="AV109" s="41">
        <f t="shared" si="76"/>
        <v>1</v>
      </c>
      <c r="AW109" s="41">
        <f t="shared" si="76"/>
        <v>1</v>
      </c>
      <c r="AX109" s="41" t="e">
        <f t="shared" si="76"/>
        <v>#N/A</v>
      </c>
      <c r="AY109" s="41" t="e">
        <f t="shared" si="76"/>
        <v>#N/A</v>
      </c>
    </row>
    <row r="110" spans="1:78" s="127" customFormat="1">
      <c r="A110" s="126" t="s">
        <v>16</v>
      </c>
      <c r="B110" s="127" t="s">
        <v>394</v>
      </c>
      <c r="J110" s="132"/>
      <c r="K110" s="203">
        <f>IF(ISNA(K107),-1,IF(ISNA(K109),99,IF(ISNA(K108),K107,0)))</f>
        <v>0</v>
      </c>
      <c r="L110" s="203">
        <f t="shared" ref="L110:AY110" si="77">IF(ISNA(L107),-1,IF(ISNA(L109),99,IF(ISNA(L108),L107,0)))</f>
        <v>1</v>
      </c>
      <c r="M110" s="203">
        <f t="shared" si="77"/>
        <v>1</v>
      </c>
      <c r="N110" s="203">
        <f t="shared" si="77"/>
        <v>0</v>
      </c>
      <c r="O110" s="203">
        <f t="shared" si="77"/>
        <v>2</v>
      </c>
      <c r="P110" s="203">
        <f t="shared" si="77"/>
        <v>0</v>
      </c>
      <c r="Q110" s="203">
        <f t="shared" si="77"/>
        <v>3</v>
      </c>
      <c r="R110" s="203">
        <f t="shared" si="77"/>
        <v>3</v>
      </c>
      <c r="S110" s="203">
        <f t="shared" si="77"/>
        <v>0</v>
      </c>
      <c r="T110" s="203">
        <f t="shared" si="77"/>
        <v>4</v>
      </c>
      <c r="U110" s="203">
        <f t="shared" si="77"/>
        <v>4</v>
      </c>
      <c r="V110" s="203">
        <f t="shared" si="77"/>
        <v>4</v>
      </c>
      <c r="W110" s="203">
        <f t="shared" si="77"/>
        <v>4</v>
      </c>
      <c r="X110" s="203">
        <f t="shared" si="77"/>
        <v>4</v>
      </c>
      <c r="Y110" s="203">
        <f t="shared" si="77"/>
        <v>4</v>
      </c>
      <c r="Z110" s="203">
        <f t="shared" si="77"/>
        <v>4</v>
      </c>
      <c r="AA110" s="203">
        <f t="shared" si="77"/>
        <v>4</v>
      </c>
      <c r="AB110" s="203">
        <f t="shared" si="77"/>
        <v>4</v>
      </c>
      <c r="AC110" s="203">
        <f t="shared" si="77"/>
        <v>0</v>
      </c>
      <c r="AD110" s="203">
        <f t="shared" si="77"/>
        <v>5</v>
      </c>
      <c r="AE110" s="203">
        <f t="shared" si="77"/>
        <v>5</v>
      </c>
      <c r="AF110" s="203">
        <f t="shared" si="77"/>
        <v>5</v>
      </c>
      <c r="AG110" s="203">
        <f t="shared" si="77"/>
        <v>5</v>
      </c>
      <c r="AH110" s="203">
        <f t="shared" si="77"/>
        <v>5</v>
      </c>
      <c r="AI110" s="203">
        <f t="shared" si="77"/>
        <v>5</v>
      </c>
      <c r="AJ110" s="203">
        <f t="shared" si="77"/>
        <v>5</v>
      </c>
      <c r="AK110" s="203">
        <f t="shared" si="77"/>
        <v>5</v>
      </c>
      <c r="AL110" s="203">
        <f t="shared" si="77"/>
        <v>5</v>
      </c>
      <c r="AM110" s="203">
        <f t="shared" si="77"/>
        <v>0</v>
      </c>
      <c r="AN110" s="203">
        <f t="shared" si="77"/>
        <v>6</v>
      </c>
      <c r="AO110" s="203">
        <f t="shared" si="77"/>
        <v>6</v>
      </c>
      <c r="AP110" s="203">
        <f t="shared" si="77"/>
        <v>6</v>
      </c>
      <c r="AQ110" s="203">
        <f t="shared" si="77"/>
        <v>6</v>
      </c>
      <c r="AR110" s="203">
        <f t="shared" si="77"/>
        <v>6</v>
      </c>
      <c r="AS110" s="203">
        <f t="shared" si="77"/>
        <v>6</v>
      </c>
      <c r="AT110" s="203">
        <f t="shared" si="77"/>
        <v>6</v>
      </c>
      <c r="AU110" s="203">
        <f t="shared" si="77"/>
        <v>6</v>
      </c>
      <c r="AV110" s="203">
        <f t="shared" si="77"/>
        <v>6</v>
      </c>
      <c r="AW110" s="203">
        <f t="shared" si="77"/>
        <v>0</v>
      </c>
      <c r="AX110" s="203">
        <f t="shared" si="77"/>
        <v>99</v>
      </c>
      <c r="AY110" s="203">
        <f t="shared" si="77"/>
        <v>99</v>
      </c>
      <c r="AZ110" s="199"/>
      <c r="BA110" s="199"/>
      <c r="BB110" s="199"/>
      <c r="BC110" s="199"/>
      <c r="BD110" s="199"/>
      <c r="BE110" s="199"/>
      <c r="BF110" s="199"/>
      <c r="BG110" s="199"/>
      <c r="BH110" s="199"/>
      <c r="BI110" s="199"/>
      <c r="BJ110" s="199"/>
      <c r="BK110" s="199"/>
      <c r="BL110" s="199"/>
      <c r="BM110" s="199"/>
      <c r="BN110" s="199"/>
      <c r="BO110" s="199"/>
      <c r="BP110" s="199"/>
      <c r="BQ110" s="199"/>
      <c r="BR110" s="199"/>
      <c r="BS110" s="199"/>
      <c r="BT110" s="199"/>
      <c r="BU110" s="199"/>
      <c r="BV110" s="199"/>
      <c r="BW110" s="199"/>
      <c r="BX110" s="199"/>
      <c r="BY110" s="199"/>
      <c r="BZ110" s="199"/>
    </row>
    <row r="111" spans="1:78">
      <c r="A111" s="126" t="s">
        <v>16</v>
      </c>
      <c r="B111" s="22" t="str">
        <f t="shared" ref="B111:B123" si="78">IF(A111="*","","COM_PROJ")</f>
        <v/>
      </c>
      <c r="C111" s="23" t="str">
        <f t="shared" ref="C111:C123" si="79">IF($A111="*","","-")</f>
        <v/>
      </c>
      <c r="D111" s="61" t="str">
        <f>ITEMS_TRA!C15</f>
        <v>TFLCV</v>
      </c>
      <c r="E111" s="23" t="str">
        <f t="shared" ref="E111:I123" si="80">IF($A111="*","","-")</f>
        <v/>
      </c>
      <c r="G111" s="23" t="str">
        <f t="shared" si="80"/>
        <v/>
      </c>
      <c r="H111" s="23" t="str">
        <f t="shared" si="80"/>
        <v/>
      </c>
      <c r="I111" s="23" t="str">
        <f t="shared" si="80"/>
        <v/>
      </c>
      <c r="J111" s="135" t="str">
        <f t="shared" ref="J111:J123" si="81">IF(A111="*","",0)</f>
        <v/>
      </c>
      <c r="K111" s="200">
        <f>INDEX('[2]TS BYDem'!J$10:J$59,MATCH($D111,'[2]TS BYDem'!D$10:D$59,0))</f>
        <v>43.11250375056882</v>
      </c>
      <c r="L111" s="200">
        <f t="shared" ref="L111:AY117" si="82">IF(L$110=-1,M111,IF(L$110=99,K111,IF(L$110=0,INDEX($F92:$L92,0,L$108),(INDEX($F92:$L92,0,L$110+1)-INDEX($F92:$L92,0,L$110))/(INDEX($F$4:$L$4,0,L$110+1)-INDEX($F$4:$L$4,0,L$110))+K111)))</f>
        <v>43.541669167045889</v>
      </c>
      <c r="M111" s="200">
        <f t="shared" si="82"/>
        <v>43.970834583522958</v>
      </c>
      <c r="N111" s="200">
        <f t="shared" si="82"/>
        <v>44.4</v>
      </c>
      <c r="O111" s="200">
        <f t="shared" si="82"/>
        <v>44.871410582810697</v>
      </c>
      <c r="P111" s="200">
        <f t="shared" si="82"/>
        <v>45.342821165621402</v>
      </c>
      <c r="Q111" s="200">
        <f t="shared" si="82"/>
        <v>45.179311841840047</v>
      </c>
      <c r="R111" s="200">
        <f t="shared" si="82"/>
        <v>45.015802518058692</v>
      </c>
      <c r="S111" s="200">
        <f t="shared" si="82"/>
        <v>44.85229319427733</v>
      </c>
      <c r="T111" s="200">
        <f t="shared" si="82"/>
        <v>46.551708382803803</v>
      </c>
      <c r="U111" s="200">
        <f t="shared" si="82"/>
        <v>48.251123571330275</v>
      </c>
      <c r="V111" s="200">
        <f t="shared" si="82"/>
        <v>49.950538759856748</v>
      </c>
      <c r="W111" s="200">
        <f t="shared" si="82"/>
        <v>51.649953948383221</v>
      </c>
      <c r="X111" s="200">
        <f t="shared" si="82"/>
        <v>53.349369136909694</v>
      </c>
      <c r="Y111" s="200">
        <f t="shared" ref="Y111:AA123" si="83">IF(Y$110=-1,Z111,IF(Y$110=99,X111,IF(Y$110=0,INDEX($F92:$L92,0,Y$108),(INDEX($F92:$L92,0,Y$110+1)-INDEX($F92:$L92,0,Y$110))/(INDEX($F$4:$L$4,0,Y$110+1)-INDEX($F$4:$L$4,0,Y$110))+X111)))</f>
        <v>55.048784325436166</v>
      </c>
      <c r="Z111" s="200">
        <f t="shared" si="83"/>
        <v>56.748199513962639</v>
      </c>
      <c r="AA111" s="200">
        <f t="shared" si="83"/>
        <v>58.447614702489112</v>
      </c>
      <c r="AB111" s="200">
        <f t="shared" si="82"/>
        <v>60.147029891015585</v>
      </c>
      <c r="AC111" s="200">
        <f t="shared" si="82"/>
        <v>61.846445079542072</v>
      </c>
      <c r="AD111" s="200">
        <f t="shared" si="82"/>
        <v>64.577416493628107</v>
      </c>
      <c r="AE111" s="200">
        <f t="shared" si="82"/>
        <v>67.308387907714135</v>
      </c>
      <c r="AF111" s="200">
        <f t="shared" si="82"/>
        <v>70.039359321800163</v>
      </c>
      <c r="AG111" s="200">
        <f t="shared" si="82"/>
        <v>72.770330735886191</v>
      </c>
      <c r="AH111" s="200">
        <f t="shared" si="82"/>
        <v>75.501302149972219</v>
      </c>
      <c r="AI111" s="200">
        <f t="shared" si="82"/>
        <v>78.232273564058247</v>
      </c>
      <c r="AJ111" s="200">
        <f t="shared" si="82"/>
        <v>80.963244978144274</v>
      </c>
      <c r="AK111" s="200">
        <f t="shared" si="82"/>
        <v>83.694216392230302</v>
      </c>
      <c r="AL111" s="200">
        <f t="shared" si="82"/>
        <v>86.42518780631633</v>
      </c>
      <c r="AM111" s="200">
        <f t="shared" si="82"/>
        <v>89.156159220402401</v>
      </c>
      <c r="AN111" s="200">
        <f t="shared" si="82"/>
        <v>93.575236556883496</v>
      </c>
      <c r="AO111" s="200">
        <f t="shared" si="82"/>
        <v>97.994313893364591</v>
      </c>
      <c r="AP111" s="200">
        <f t="shared" si="82"/>
        <v>102.41339122984569</v>
      </c>
      <c r="AQ111" s="200">
        <f t="shared" si="82"/>
        <v>106.83246856632678</v>
      </c>
      <c r="AR111" s="200">
        <f t="shared" si="82"/>
        <v>111.25154590280788</v>
      </c>
      <c r="AS111" s="200">
        <f t="shared" si="82"/>
        <v>115.67062323928897</v>
      </c>
      <c r="AT111" s="200">
        <f t="shared" si="82"/>
        <v>120.08970057577007</v>
      </c>
      <c r="AU111" s="200">
        <f t="shared" si="82"/>
        <v>124.50877791225116</v>
      </c>
      <c r="AV111" s="200">
        <f t="shared" si="82"/>
        <v>128.92785524873227</v>
      </c>
      <c r="AW111" s="200">
        <f t="shared" si="82"/>
        <v>133.34693258521338</v>
      </c>
      <c r="AX111" s="200">
        <f t="shared" si="82"/>
        <v>133.34693258521338</v>
      </c>
      <c r="AY111" s="200">
        <f t="shared" si="82"/>
        <v>133.34693258521338</v>
      </c>
    </row>
    <row r="112" spans="1:78">
      <c r="A112" s="126" t="s">
        <v>16</v>
      </c>
      <c r="B112" s="22" t="str">
        <f t="shared" si="78"/>
        <v/>
      </c>
      <c r="C112" s="23" t="str">
        <f t="shared" si="79"/>
        <v/>
      </c>
      <c r="D112" s="61" t="str">
        <f>ITEMS_TRA!C16</f>
        <v>TFHCV1</v>
      </c>
      <c r="E112" s="23" t="str">
        <f t="shared" si="80"/>
        <v/>
      </c>
      <c r="G112" s="23" t="str">
        <f t="shared" si="80"/>
        <v/>
      </c>
      <c r="H112" s="23" t="str">
        <f t="shared" si="80"/>
        <v/>
      </c>
      <c r="I112" s="23" t="str">
        <f t="shared" si="80"/>
        <v/>
      </c>
      <c r="J112" s="135" t="str">
        <f t="shared" si="81"/>
        <v/>
      </c>
      <c r="K112" s="200">
        <f>INDEX('[2]TS BYDem'!J$10:J$59,MATCH($D112,'[2]TS BYDem'!D$10:D$59,0))</f>
        <v>3.310563752317667</v>
      </c>
      <c r="L112" s="200">
        <f t="shared" si="82"/>
        <v>3.3405637523176668</v>
      </c>
      <c r="M112" s="200">
        <f t="shared" si="82"/>
        <v>3.3705637523176666</v>
      </c>
      <c r="N112" s="200">
        <f>IF(N$110=-1,O112,IF(N$110=99,M112,IF(N$110=0,INDEX($F93:$L93,0,N$108),(INDEX($F93:$L93,0,N$110+1)-INDEX($F93:$L93,0,N$110))/(INDEX($F$4:$L$4,0,N$110+1)-INDEX($F$4:$L$4,0,N$110))+M112)))</f>
        <v>3.4</v>
      </c>
      <c r="O112" s="200">
        <f t="shared" si="82"/>
        <v>3.4249999999999998</v>
      </c>
      <c r="P112" s="200">
        <f t="shared" si="82"/>
        <v>3.45</v>
      </c>
      <c r="Q112" s="200">
        <f t="shared" si="82"/>
        <v>3.3904650521296027</v>
      </c>
      <c r="R112" s="200">
        <f t="shared" si="82"/>
        <v>3.3309301042592052</v>
      </c>
      <c r="S112" s="200">
        <f t="shared" si="82"/>
        <v>3.2713951563888077</v>
      </c>
      <c r="T112" s="200">
        <f t="shared" si="82"/>
        <v>3.3727910380302379</v>
      </c>
      <c r="U112" s="200">
        <f t="shared" si="82"/>
        <v>3.4741869196716682</v>
      </c>
      <c r="V112" s="200">
        <f t="shared" si="82"/>
        <v>3.5755828013130984</v>
      </c>
      <c r="W112" s="200">
        <f t="shared" si="82"/>
        <v>3.6769786829545286</v>
      </c>
      <c r="X112" s="200">
        <f t="shared" si="82"/>
        <v>3.7783745645959588</v>
      </c>
      <c r="Y112" s="200">
        <f t="shared" si="83"/>
        <v>3.879770446237389</v>
      </c>
      <c r="Z112" s="200">
        <f t="shared" si="83"/>
        <v>3.9811663278788192</v>
      </c>
      <c r="AA112" s="200">
        <f t="shared" si="83"/>
        <v>4.0825622095202494</v>
      </c>
      <c r="AB112" s="200">
        <f t="shared" si="82"/>
        <v>4.1839580911616796</v>
      </c>
      <c r="AC112" s="200">
        <f t="shared" si="82"/>
        <v>4.2853539728031098</v>
      </c>
      <c r="AD112" s="200">
        <f t="shared" si="82"/>
        <v>4.4436953403755775</v>
      </c>
      <c r="AE112" s="200">
        <f t="shared" si="82"/>
        <v>4.6020367079480451</v>
      </c>
      <c r="AF112" s="200">
        <f t="shared" si="82"/>
        <v>4.7603780755205127</v>
      </c>
      <c r="AG112" s="200">
        <f t="shared" si="82"/>
        <v>4.9187194430929804</v>
      </c>
      <c r="AH112" s="200">
        <f t="shared" si="82"/>
        <v>5.077060810665448</v>
      </c>
      <c r="AI112" s="200">
        <f t="shared" si="82"/>
        <v>5.2354021782379156</v>
      </c>
      <c r="AJ112" s="200">
        <f t="shared" si="82"/>
        <v>5.3937435458103833</v>
      </c>
      <c r="AK112" s="200">
        <f t="shared" si="82"/>
        <v>5.5520849133828509</v>
      </c>
      <c r="AL112" s="200">
        <f t="shared" si="82"/>
        <v>5.7104262809553186</v>
      </c>
      <c r="AM112" s="200">
        <f t="shared" si="82"/>
        <v>5.8687676485277898</v>
      </c>
      <c r="AN112" s="200">
        <f t="shared" si="82"/>
        <v>6.1157682762052392</v>
      </c>
      <c r="AO112" s="200">
        <f t="shared" si="82"/>
        <v>6.3627689038826887</v>
      </c>
      <c r="AP112" s="200">
        <f t="shared" si="82"/>
        <v>6.6097695315601381</v>
      </c>
      <c r="AQ112" s="200">
        <f t="shared" si="82"/>
        <v>6.8567701592375876</v>
      </c>
      <c r="AR112" s="200">
        <f t="shared" si="82"/>
        <v>7.103770786915037</v>
      </c>
      <c r="AS112" s="200">
        <f t="shared" si="82"/>
        <v>7.3507714145924865</v>
      </c>
      <c r="AT112" s="200">
        <f t="shared" si="82"/>
        <v>7.597772042269936</v>
      </c>
      <c r="AU112" s="200">
        <f t="shared" si="82"/>
        <v>7.8447726699473854</v>
      </c>
      <c r="AV112" s="200">
        <f t="shared" si="82"/>
        <v>8.0917732976248349</v>
      </c>
      <c r="AW112" s="200">
        <f t="shared" si="82"/>
        <v>8.3387739253022843</v>
      </c>
      <c r="AX112" s="200">
        <f t="shared" si="82"/>
        <v>8.3387739253022843</v>
      </c>
      <c r="AY112" s="200">
        <f t="shared" si="82"/>
        <v>8.3387739253022843</v>
      </c>
    </row>
    <row r="113" spans="1:78">
      <c r="A113" s="126" t="s">
        <v>16</v>
      </c>
      <c r="B113" s="22" t="str">
        <f t="shared" si="78"/>
        <v/>
      </c>
      <c r="C113" s="23" t="str">
        <f t="shared" si="79"/>
        <v/>
      </c>
      <c r="D113" s="61" t="str">
        <f>ITEMS_TRA!C17</f>
        <v>TFHCV2</v>
      </c>
      <c r="E113" s="23" t="str">
        <f t="shared" si="80"/>
        <v/>
      </c>
      <c r="G113" s="23" t="str">
        <f t="shared" si="80"/>
        <v/>
      </c>
      <c r="H113" s="23" t="str">
        <f t="shared" si="80"/>
        <v/>
      </c>
      <c r="I113" s="23" t="str">
        <f t="shared" si="80"/>
        <v/>
      </c>
      <c r="J113" s="135" t="str">
        <f t="shared" si="81"/>
        <v/>
      </c>
      <c r="K113" s="200">
        <f>INDEX('[2]TS BYDem'!J$10:J$59,MATCH($D113,'[2]TS BYDem'!D$10:D$59,0))</f>
        <v>0.6547839540708813</v>
      </c>
      <c r="L113" s="200">
        <f t="shared" si="82"/>
        <v>0.67123078144835724</v>
      </c>
      <c r="M113" s="200">
        <f t="shared" si="82"/>
        <v>0.68767760882583318</v>
      </c>
      <c r="N113" s="200">
        <f t="shared" si="82"/>
        <v>0.704124436203308</v>
      </c>
      <c r="O113" s="200">
        <f t="shared" si="82"/>
        <v>0.72006693722491655</v>
      </c>
      <c r="P113" s="200">
        <f t="shared" si="82"/>
        <v>0.73600943824652509</v>
      </c>
      <c r="Q113" s="200">
        <f t="shared" si="82"/>
        <v>0.71774213313838819</v>
      </c>
      <c r="R113" s="200">
        <f t="shared" si="82"/>
        <v>0.69947482803025129</v>
      </c>
      <c r="S113" s="200">
        <f t="shared" si="82"/>
        <v>0.68120752292211428</v>
      </c>
      <c r="T113" s="200">
        <f t="shared" si="82"/>
        <v>0.69950340577038861</v>
      </c>
      <c r="U113" s="200">
        <f t="shared" si="82"/>
        <v>0.71779928861866293</v>
      </c>
      <c r="V113" s="200">
        <f t="shared" si="82"/>
        <v>0.73609517146693726</v>
      </c>
      <c r="W113" s="200">
        <f t="shared" si="82"/>
        <v>0.75439105431521158</v>
      </c>
      <c r="X113" s="200">
        <f t="shared" si="82"/>
        <v>0.77268693716348591</v>
      </c>
      <c r="Y113" s="200">
        <f t="shared" si="83"/>
        <v>0.79098282001176023</v>
      </c>
      <c r="Z113" s="200">
        <f t="shared" si="83"/>
        <v>0.80927870286003456</v>
      </c>
      <c r="AA113" s="200">
        <f t="shared" si="83"/>
        <v>0.82757458570830889</v>
      </c>
      <c r="AB113" s="200">
        <f t="shared" si="82"/>
        <v>0.84587046855658321</v>
      </c>
      <c r="AC113" s="200">
        <f t="shared" si="82"/>
        <v>0.86416635140485754</v>
      </c>
      <c r="AD113" s="200">
        <f t="shared" si="82"/>
        <v>0.89360528408124174</v>
      </c>
      <c r="AE113" s="200">
        <f t="shared" si="82"/>
        <v>0.92304421675762593</v>
      </c>
      <c r="AF113" s="200">
        <f t="shared" si="82"/>
        <v>0.95248314943401013</v>
      </c>
      <c r="AG113" s="200">
        <f t="shared" si="82"/>
        <v>0.98192208211039433</v>
      </c>
      <c r="AH113" s="200">
        <f t="shared" si="82"/>
        <v>1.0113610147867784</v>
      </c>
      <c r="AI113" s="200">
        <f t="shared" si="82"/>
        <v>1.0407999474631626</v>
      </c>
      <c r="AJ113" s="200">
        <f t="shared" si="82"/>
        <v>1.0702388801395468</v>
      </c>
      <c r="AK113" s="200">
        <f t="shared" si="82"/>
        <v>1.099677812815931</v>
      </c>
      <c r="AL113" s="200">
        <f t="shared" si="82"/>
        <v>1.1291167454923152</v>
      </c>
      <c r="AM113" s="200">
        <f t="shared" si="82"/>
        <v>1.1585556781686994</v>
      </c>
      <c r="AN113" s="200">
        <f t="shared" si="82"/>
        <v>1.20385056586202</v>
      </c>
      <c r="AO113" s="200">
        <f t="shared" si="82"/>
        <v>1.2491454535553408</v>
      </c>
      <c r="AP113" s="200">
        <f t="shared" si="82"/>
        <v>1.2944403412486616</v>
      </c>
      <c r="AQ113" s="200">
        <f t="shared" si="82"/>
        <v>1.3397352289419824</v>
      </c>
      <c r="AR113" s="200">
        <f t="shared" si="82"/>
        <v>1.3850301166353032</v>
      </c>
      <c r="AS113" s="200">
        <f t="shared" si="82"/>
        <v>1.430325004328624</v>
      </c>
      <c r="AT113" s="200">
        <f t="shared" si="82"/>
        <v>1.4756198920219448</v>
      </c>
      <c r="AU113" s="200">
        <f t="shared" si="82"/>
        <v>1.5209147797152656</v>
      </c>
      <c r="AV113" s="200">
        <f t="shared" si="82"/>
        <v>1.5662096674085864</v>
      </c>
      <c r="AW113" s="200">
        <f t="shared" si="82"/>
        <v>1.6115045551019063</v>
      </c>
      <c r="AX113" s="200">
        <f t="shared" si="82"/>
        <v>1.6115045551019063</v>
      </c>
      <c r="AY113" s="200">
        <f t="shared" si="82"/>
        <v>1.6115045551019063</v>
      </c>
    </row>
    <row r="114" spans="1:78">
      <c r="A114" s="126" t="s">
        <v>16</v>
      </c>
      <c r="B114" s="22" t="str">
        <f t="shared" si="78"/>
        <v/>
      </c>
      <c r="C114" s="23" t="str">
        <f t="shared" si="79"/>
        <v/>
      </c>
      <c r="D114" s="61" t="str">
        <f>ITEMS_TRA!C18</f>
        <v>TFHCV3</v>
      </c>
      <c r="E114" s="23" t="str">
        <f t="shared" si="80"/>
        <v/>
      </c>
      <c r="G114" s="23" t="str">
        <f t="shared" si="80"/>
        <v/>
      </c>
      <c r="H114" s="23" t="str">
        <f t="shared" si="80"/>
        <v/>
      </c>
      <c r="I114" s="23" t="str">
        <f t="shared" si="80"/>
        <v/>
      </c>
      <c r="J114" s="135" t="str">
        <f t="shared" si="81"/>
        <v/>
      </c>
      <c r="K114" s="200">
        <f>INDEX('[2]TS BYDem'!J$10:J$59,MATCH($D114,'[2]TS BYDem'!D$10:D$59,0))</f>
        <v>2.7114063478211388</v>
      </c>
      <c r="L114" s="200">
        <f t="shared" si="82"/>
        <v>2.7742708985474289</v>
      </c>
      <c r="M114" s="200">
        <f t="shared" si="82"/>
        <v>2.8371354492737191</v>
      </c>
      <c r="N114" s="200">
        <f t="shared" si="82"/>
        <v>2.9</v>
      </c>
      <c r="O114" s="200">
        <f t="shared" si="82"/>
        <v>2.9652984627095749</v>
      </c>
      <c r="P114" s="200">
        <f t="shared" si="82"/>
        <v>3.0305969254191498</v>
      </c>
      <c r="Q114" s="200">
        <f t="shared" si="82"/>
        <v>2.9606726726268029</v>
      </c>
      <c r="R114" s="200">
        <f t="shared" si="82"/>
        <v>2.890748419834456</v>
      </c>
      <c r="S114" s="200">
        <f t="shared" si="82"/>
        <v>2.8208241670421086</v>
      </c>
      <c r="T114" s="200">
        <f t="shared" si="82"/>
        <v>2.8965859088889969</v>
      </c>
      <c r="U114" s="200">
        <f t="shared" si="82"/>
        <v>2.9723476507358848</v>
      </c>
      <c r="V114" s="200">
        <f t="shared" si="82"/>
        <v>3.0481093925827727</v>
      </c>
      <c r="W114" s="200">
        <f t="shared" si="82"/>
        <v>3.1238711344296606</v>
      </c>
      <c r="X114" s="200">
        <f t="shared" si="82"/>
        <v>3.1996328762765485</v>
      </c>
      <c r="Y114" s="200">
        <f t="shared" si="83"/>
        <v>3.2753946181234364</v>
      </c>
      <c r="Z114" s="200">
        <f t="shared" si="83"/>
        <v>3.3511563599703242</v>
      </c>
      <c r="AA114" s="200">
        <f t="shared" si="83"/>
        <v>3.4269181018172121</v>
      </c>
      <c r="AB114" s="200">
        <f t="shared" si="82"/>
        <v>3.5026798436641</v>
      </c>
      <c r="AC114" s="200">
        <f t="shared" si="82"/>
        <v>3.5784415855109897</v>
      </c>
      <c r="AD114" s="200">
        <f t="shared" si="82"/>
        <v>3.700345777627442</v>
      </c>
      <c r="AE114" s="200">
        <f t="shared" si="82"/>
        <v>3.8222499697438943</v>
      </c>
      <c r="AF114" s="200">
        <f t="shared" si="82"/>
        <v>3.9441541618603466</v>
      </c>
      <c r="AG114" s="200">
        <f t="shared" si="82"/>
        <v>4.0660583539767989</v>
      </c>
      <c r="AH114" s="200">
        <f t="shared" si="82"/>
        <v>4.1879625460932512</v>
      </c>
      <c r="AI114" s="200">
        <f t="shared" si="82"/>
        <v>4.3098667382097036</v>
      </c>
      <c r="AJ114" s="200">
        <f t="shared" si="82"/>
        <v>4.4317709303261559</v>
      </c>
      <c r="AK114" s="200">
        <f t="shared" si="82"/>
        <v>4.5536751224426082</v>
      </c>
      <c r="AL114" s="200">
        <f t="shared" si="82"/>
        <v>4.6755793145590605</v>
      </c>
      <c r="AM114" s="200">
        <f t="shared" si="82"/>
        <v>4.7974835066755146</v>
      </c>
      <c r="AN114" s="200">
        <f t="shared" si="82"/>
        <v>4.9850459007323185</v>
      </c>
      <c r="AO114" s="200">
        <f t="shared" si="82"/>
        <v>5.1726082947891232</v>
      </c>
      <c r="AP114" s="200">
        <f t="shared" si="82"/>
        <v>5.360170688845928</v>
      </c>
      <c r="AQ114" s="200">
        <f t="shared" si="82"/>
        <v>5.5477330829027327</v>
      </c>
      <c r="AR114" s="200">
        <f t="shared" si="82"/>
        <v>5.7352954769595375</v>
      </c>
      <c r="AS114" s="200">
        <f t="shared" si="82"/>
        <v>5.9228578710163422</v>
      </c>
      <c r="AT114" s="200">
        <f t="shared" si="82"/>
        <v>6.110420265073147</v>
      </c>
      <c r="AU114" s="200">
        <f t="shared" si="82"/>
        <v>6.2979826591299517</v>
      </c>
      <c r="AV114" s="200">
        <f t="shared" si="82"/>
        <v>6.4855450531867564</v>
      </c>
      <c r="AW114" s="200">
        <f t="shared" si="82"/>
        <v>6.6731074472435576</v>
      </c>
      <c r="AX114" s="200">
        <f t="shared" si="82"/>
        <v>6.6731074472435576</v>
      </c>
      <c r="AY114" s="200">
        <f t="shared" si="82"/>
        <v>6.6731074472435576</v>
      </c>
    </row>
    <row r="115" spans="1:78">
      <c r="A115" s="126" t="s">
        <v>16</v>
      </c>
      <c r="B115" s="22" t="str">
        <f t="shared" si="78"/>
        <v/>
      </c>
      <c r="C115" s="23" t="str">
        <f t="shared" si="79"/>
        <v/>
      </c>
      <c r="D115" s="61" t="str">
        <f>ITEMS_TRA!C19</f>
        <v>TFHCV4</v>
      </c>
      <c r="E115" s="23" t="str">
        <f t="shared" si="80"/>
        <v/>
      </c>
      <c r="G115" s="23" t="str">
        <f t="shared" si="80"/>
        <v/>
      </c>
      <c r="H115" s="23" t="str">
        <f t="shared" si="80"/>
        <v/>
      </c>
      <c r="I115" s="23" t="str">
        <f t="shared" si="80"/>
        <v/>
      </c>
      <c r="J115" s="135" t="str">
        <f t="shared" si="81"/>
        <v/>
      </c>
      <c r="K115" s="200">
        <f>INDEX('[2]TS BYDem'!J$10:J$59,MATCH($D115,'[2]TS BYDem'!D$10:D$59,0))</f>
        <v>0.57023972229676956</v>
      </c>
      <c r="L115" s="200">
        <f t="shared" si="82"/>
        <v>0.55900373411704862</v>
      </c>
      <c r="M115" s="200">
        <f t="shared" si="82"/>
        <v>0.54776774593732769</v>
      </c>
      <c r="N115" s="200">
        <f t="shared" si="82"/>
        <v>0.53653175775760331</v>
      </c>
      <c r="O115" s="200">
        <f t="shared" si="82"/>
        <v>0.54016937887880168</v>
      </c>
      <c r="P115" s="200">
        <f t="shared" si="82"/>
        <v>0.54380700000000004</v>
      </c>
      <c r="Q115" s="200">
        <f t="shared" si="82"/>
        <v>0.56028851311836958</v>
      </c>
      <c r="R115" s="200">
        <f t="shared" si="82"/>
        <v>0.57677002623673912</v>
      </c>
      <c r="S115" s="200">
        <f t="shared" si="82"/>
        <v>0.59325153935510855</v>
      </c>
      <c r="T115" s="200">
        <f t="shared" si="82"/>
        <v>0.6091850989509271</v>
      </c>
      <c r="U115" s="200">
        <f t="shared" si="82"/>
        <v>0.62511865854674564</v>
      </c>
      <c r="V115" s="200">
        <f t="shared" si="82"/>
        <v>0.64105221814256419</v>
      </c>
      <c r="W115" s="200">
        <f t="shared" si="82"/>
        <v>0.65698577773838274</v>
      </c>
      <c r="X115" s="200">
        <f t="shared" si="82"/>
        <v>0.67291933733420128</v>
      </c>
      <c r="Y115" s="200">
        <f t="shared" si="83"/>
        <v>0.68885289693001983</v>
      </c>
      <c r="Z115" s="200">
        <f t="shared" si="83"/>
        <v>0.70478645652583838</v>
      </c>
      <c r="AA115" s="200">
        <f t="shared" si="83"/>
        <v>0.72072001612165693</v>
      </c>
      <c r="AB115" s="200">
        <f t="shared" si="82"/>
        <v>0.73665357571747547</v>
      </c>
      <c r="AC115" s="200">
        <f t="shared" si="82"/>
        <v>0.75258713531329446</v>
      </c>
      <c r="AD115" s="200">
        <f t="shared" si="82"/>
        <v>0.7782249792001612</v>
      </c>
      <c r="AE115" s="200">
        <f t="shared" si="82"/>
        <v>0.80386282308702794</v>
      </c>
      <c r="AF115" s="200">
        <f t="shared" si="82"/>
        <v>0.82950066697389468</v>
      </c>
      <c r="AG115" s="200">
        <f t="shared" si="82"/>
        <v>0.85513851086076142</v>
      </c>
      <c r="AH115" s="200">
        <f t="shared" si="82"/>
        <v>0.88077635474762817</v>
      </c>
      <c r="AI115" s="200">
        <f t="shared" si="82"/>
        <v>0.90641419863449491</v>
      </c>
      <c r="AJ115" s="200">
        <f t="shared" si="82"/>
        <v>0.93205204252136165</v>
      </c>
      <c r="AK115" s="200">
        <f t="shared" si="82"/>
        <v>0.95768988640822839</v>
      </c>
      <c r="AL115" s="200">
        <f t="shared" si="82"/>
        <v>0.98332773029509513</v>
      </c>
      <c r="AM115" s="200">
        <f t="shared" si="82"/>
        <v>1.0089655741819614</v>
      </c>
      <c r="AN115" s="200">
        <f t="shared" si="82"/>
        <v>1.048412087828364</v>
      </c>
      <c r="AO115" s="200">
        <f t="shared" si="82"/>
        <v>1.0878586014747667</v>
      </c>
      <c r="AP115" s="200">
        <f t="shared" si="82"/>
        <v>1.1273051151211693</v>
      </c>
      <c r="AQ115" s="200">
        <f t="shared" si="82"/>
        <v>1.1667516287675719</v>
      </c>
      <c r="AR115" s="200">
        <f t="shared" si="82"/>
        <v>1.2061981424139745</v>
      </c>
      <c r="AS115" s="200">
        <f t="shared" si="82"/>
        <v>1.2456446560603771</v>
      </c>
      <c r="AT115" s="200">
        <f t="shared" si="82"/>
        <v>1.2850911697067797</v>
      </c>
      <c r="AU115" s="200">
        <f t="shared" si="82"/>
        <v>1.3245376833531823</v>
      </c>
      <c r="AV115" s="200">
        <f t="shared" si="82"/>
        <v>1.363984196999585</v>
      </c>
      <c r="AW115" s="200">
        <f t="shared" si="82"/>
        <v>1.4034307106459869</v>
      </c>
      <c r="AX115" s="200">
        <f t="shared" si="82"/>
        <v>1.4034307106459869</v>
      </c>
      <c r="AY115" s="200">
        <f t="shared" si="82"/>
        <v>1.4034307106459869</v>
      </c>
    </row>
    <row r="116" spans="1:78">
      <c r="A116" s="126" t="s">
        <v>16</v>
      </c>
      <c r="B116" s="22" t="str">
        <f t="shared" si="78"/>
        <v/>
      </c>
      <c r="C116" s="23" t="str">
        <f t="shared" si="79"/>
        <v/>
      </c>
      <c r="D116" s="61" t="str">
        <f>ITEMS_TRA!C20</f>
        <v>TFHCV5</v>
      </c>
      <c r="E116" s="23" t="str">
        <f t="shared" si="80"/>
        <v/>
      </c>
      <c r="G116" s="23" t="str">
        <f t="shared" si="80"/>
        <v/>
      </c>
      <c r="H116" s="23" t="str">
        <f t="shared" si="80"/>
        <v/>
      </c>
      <c r="I116" s="23" t="str">
        <f t="shared" si="80"/>
        <v/>
      </c>
      <c r="J116" s="135" t="str">
        <f t="shared" si="81"/>
        <v/>
      </c>
      <c r="K116" s="200">
        <f>INDEX('[2]TS BYDem'!J$10:J$59,MATCH($D116,'[2]TS BYDem'!D$10:D$59,0))</f>
        <v>0.27326501935541331</v>
      </c>
      <c r="L116" s="200">
        <f t="shared" si="82"/>
        <v>0.27740453823694228</v>
      </c>
      <c r="M116" s="200">
        <f t="shared" si="82"/>
        <v>0.28154405711847125</v>
      </c>
      <c r="N116" s="200">
        <f t="shared" si="82"/>
        <v>0.28568357599999999</v>
      </c>
      <c r="O116" s="200">
        <f t="shared" si="82"/>
        <v>0.2876204765</v>
      </c>
      <c r="P116" s="200">
        <f t="shared" si="82"/>
        <v>0.289557377</v>
      </c>
      <c r="Q116" s="200">
        <f t="shared" si="82"/>
        <v>0.28780242801534867</v>
      </c>
      <c r="R116" s="200">
        <f t="shared" si="82"/>
        <v>0.28604747903069733</v>
      </c>
      <c r="S116" s="200">
        <f t="shared" si="82"/>
        <v>0.28429253004604604</v>
      </c>
      <c r="T116" s="200">
        <f t="shared" si="82"/>
        <v>0.29192806349119954</v>
      </c>
      <c r="U116" s="200">
        <f t="shared" si="82"/>
        <v>0.29956359693635304</v>
      </c>
      <c r="V116" s="200">
        <f t="shared" si="82"/>
        <v>0.30719913038150654</v>
      </c>
      <c r="W116" s="200">
        <f t="shared" si="82"/>
        <v>0.31483466382666003</v>
      </c>
      <c r="X116" s="200">
        <f t="shared" si="82"/>
        <v>0.32247019727181353</v>
      </c>
      <c r="Y116" s="200">
        <f t="shared" si="83"/>
        <v>0.33010573071696703</v>
      </c>
      <c r="Z116" s="200">
        <f t="shared" si="83"/>
        <v>0.33774126416212052</v>
      </c>
      <c r="AA116" s="200">
        <f t="shared" si="83"/>
        <v>0.34537679760727402</v>
      </c>
      <c r="AB116" s="200">
        <f t="shared" si="82"/>
        <v>0.35301233105242752</v>
      </c>
      <c r="AC116" s="200">
        <f t="shared" si="82"/>
        <v>0.36064786449758096</v>
      </c>
      <c r="AD116" s="200">
        <f t="shared" si="82"/>
        <v>0.37293379554033218</v>
      </c>
      <c r="AE116" s="200">
        <f t="shared" si="82"/>
        <v>0.3852197265830834</v>
      </c>
      <c r="AF116" s="200">
        <f t="shared" si="82"/>
        <v>0.39750565762583462</v>
      </c>
      <c r="AG116" s="200">
        <f t="shared" si="82"/>
        <v>0.40979158866858584</v>
      </c>
      <c r="AH116" s="200">
        <f t="shared" si="82"/>
        <v>0.42207751971133706</v>
      </c>
      <c r="AI116" s="200">
        <f t="shared" si="82"/>
        <v>0.43436345075408828</v>
      </c>
      <c r="AJ116" s="200">
        <f t="shared" si="82"/>
        <v>0.4466493817968395</v>
      </c>
      <c r="AK116" s="200">
        <f t="shared" si="82"/>
        <v>0.45893531283959071</v>
      </c>
      <c r="AL116" s="200">
        <f t="shared" si="82"/>
        <v>0.47122124388234193</v>
      </c>
      <c r="AM116" s="200">
        <f t="shared" si="82"/>
        <v>0.48350717492509332</v>
      </c>
      <c r="AN116" s="200">
        <f t="shared" si="82"/>
        <v>0.50241036930739891</v>
      </c>
      <c r="AO116" s="200">
        <f t="shared" si="82"/>
        <v>0.52131356368970461</v>
      </c>
      <c r="AP116" s="200">
        <f t="shared" si="82"/>
        <v>0.54021675807201031</v>
      </c>
      <c r="AQ116" s="200">
        <f t="shared" si="82"/>
        <v>0.559119952454316</v>
      </c>
      <c r="AR116" s="200">
        <f t="shared" si="82"/>
        <v>0.5780231468366217</v>
      </c>
      <c r="AS116" s="200">
        <f t="shared" si="82"/>
        <v>0.5969263412189274</v>
      </c>
      <c r="AT116" s="200">
        <f t="shared" si="82"/>
        <v>0.6158295356012331</v>
      </c>
      <c r="AU116" s="200">
        <f t="shared" si="82"/>
        <v>0.6347327299835388</v>
      </c>
      <c r="AV116" s="200">
        <f t="shared" si="82"/>
        <v>0.6536359243658445</v>
      </c>
      <c r="AW116" s="200">
        <f t="shared" si="82"/>
        <v>0.67253911874814976</v>
      </c>
      <c r="AX116" s="200">
        <f t="shared" si="82"/>
        <v>0.67253911874814976</v>
      </c>
      <c r="AY116" s="200">
        <f t="shared" si="82"/>
        <v>0.67253911874814976</v>
      </c>
    </row>
    <row r="117" spans="1:78">
      <c r="A117" s="126" t="s">
        <v>16</v>
      </c>
      <c r="B117" s="22" t="str">
        <f t="shared" si="78"/>
        <v/>
      </c>
      <c r="C117" s="23" t="str">
        <f t="shared" si="79"/>
        <v/>
      </c>
      <c r="D117" s="61" t="str">
        <f>ITEMS_TRA!C21</f>
        <v>TFHCV6</v>
      </c>
      <c r="E117" s="23" t="str">
        <f t="shared" si="80"/>
        <v/>
      </c>
      <c r="G117" s="23" t="str">
        <f t="shared" si="80"/>
        <v/>
      </c>
      <c r="H117" s="23" t="str">
        <f t="shared" si="80"/>
        <v/>
      </c>
      <c r="I117" s="23" t="str">
        <f t="shared" si="80"/>
        <v/>
      </c>
      <c r="J117" s="135" t="str">
        <f t="shared" si="81"/>
        <v/>
      </c>
      <c r="K117" s="200">
        <f>INDEX('[2]TS BYDem'!J$10:J$59,MATCH($D117,'[2]TS BYDem'!D$10:D$59,0))</f>
        <v>5.0361375113209643</v>
      </c>
      <c r="L117" s="200">
        <f t="shared" si="82"/>
        <v>5.3607583408806443</v>
      </c>
      <c r="M117" s="200">
        <f t="shared" si="82"/>
        <v>5.6853791704403243</v>
      </c>
      <c r="N117" s="200">
        <f t="shared" si="82"/>
        <v>6.01</v>
      </c>
      <c r="O117" s="200">
        <f t="shared" si="82"/>
        <v>6.3253919226144593</v>
      </c>
      <c r="P117" s="200">
        <f t="shared" si="82"/>
        <v>6.6407838452289196</v>
      </c>
      <c r="Q117" s="200">
        <f t="shared" si="82"/>
        <v>6.1736455678261564</v>
      </c>
      <c r="R117" s="200">
        <f t="shared" si="82"/>
        <v>5.7065072904233931</v>
      </c>
      <c r="S117" s="200">
        <f t="shared" si="82"/>
        <v>5.239369013020629</v>
      </c>
      <c r="T117" s="200">
        <f t="shared" si="82"/>
        <v>5.3800880720966457</v>
      </c>
      <c r="U117" s="200">
        <f t="shared" si="82"/>
        <v>5.5208071311726625</v>
      </c>
      <c r="V117" s="200">
        <f t="shared" si="82"/>
        <v>5.6615261902486793</v>
      </c>
      <c r="W117" s="200">
        <f t="shared" si="82"/>
        <v>5.8022452493246961</v>
      </c>
      <c r="X117" s="200">
        <f t="shared" si="82"/>
        <v>5.9429643084007129</v>
      </c>
      <c r="Y117" s="200">
        <f t="shared" si="83"/>
        <v>6.0836833674767297</v>
      </c>
      <c r="Z117" s="200">
        <f t="shared" si="83"/>
        <v>6.2244024265527464</v>
      </c>
      <c r="AA117" s="200">
        <f t="shared" si="83"/>
        <v>6.3651214856287632</v>
      </c>
      <c r="AB117" s="200">
        <f t="shared" ref="AB117:AY117" si="84">IF(AB$110=-1,AC117,IF(AB$110=99,AA117,IF(AB$110=0,INDEX($F98:$L98,0,AB$108),(INDEX($F98:$L98,0,AB$110+1)-INDEX($F98:$L98,0,AB$110))/(INDEX($F$4:$L$4,0,AB$110+1)-INDEX($F$4:$L$4,0,AB$110))+AA117)))</f>
        <v>6.50584054470478</v>
      </c>
      <c r="AC117" s="200">
        <f t="shared" si="84"/>
        <v>6.6465596037807968</v>
      </c>
      <c r="AD117" s="200">
        <f t="shared" si="84"/>
        <v>6.8729831626097013</v>
      </c>
      <c r="AE117" s="200">
        <f t="shared" si="84"/>
        <v>7.0994067214386058</v>
      </c>
      <c r="AF117" s="200">
        <f t="shared" si="84"/>
        <v>7.3258302802675104</v>
      </c>
      <c r="AG117" s="200">
        <f t="shared" si="84"/>
        <v>7.5522538390964149</v>
      </c>
      <c r="AH117" s="200">
        <f t="shared" si="84"/>
        <v>7.7786773979253194</v>
      </c>
      <c r="AI117" s="200">
        <f t="shared" si="84"/>
        <v>8.0051009567542248</v>
      </c>
      <c r="AJ117" s="200">
        <f t="shared" si="84"/>
        <v>8.2315245155831303</v>
      </c>
      <c r="AK117" s="200">
        <f t="shared" si="84"/>
        <v>8.4579480744120357</v>
      </c>
      <c r="AL117" s="200">
        <f t="shared" si="84"/>
        <v>8.6843716332409411</v>
      </c>
      <c r="AM117" s="200">
        <f t="shared" si="84"/>
        <v>8.9107951920698447</v>
      </c>
      <c r="AN117" s="200">
        <f t="shared" si="84"/>
        <v>9.2591716016706052</v>
      </c>
      <c r="AO117" s="200">
        <f t="shared" si="84"/>
        <v>9.6075480112713656</v>
      </c>
      <c r="AP117" s="200">
        <f t="shared" si="84"/>
        <v>9.955924420872126</v>
      </c>
      <c r="AQ117" s="200">
        <f t="shared" si="84"/>
        <v>10.304300830472886</v>
      </c>
      <c r="AR117" s="200">
        <f t="shared" si="84"/>
        <v>10.652677240073647</v>
      </c>
      <c r="AS117" s="200">
        <f t="shared" si="84"/>
        <v>11.001053649674407</v>
      </c>
      <c r="AT117" s="200">
        <f t="shared" si="84"/>
        <v>11.349430059275168</v>
      </c>
      <c r="AU117" s="200">
        <f t="shared" si="84"/>
        <v>11.697806468875928</v>
      </c>
      <c r="AV117" s="200">
        <f t="shared" si="84"/>
        <v>12.046182878476689</v>
      </c>
      <c r="AW117" s="200">
        <f t="shared" si="84"/>
        <v>12.394559288077447</v>
      </c>
      <c r="AX117" s="200">
        <f t="shared" si="84"/>
        <v>12.394559288077447</v>
      </c>
      <c r="AY117" s="200">
        <f t="shared" si="84"/>
        <v>12.394559288077447</v>
      </c>
    </row>
    <row r="118" spans="1:78">
      <c r="A118" s="126" t="s">
        <v>16</v>
      </c>
      <c r="B118" s="22" t="str">
        <f t="shared" si="78"/>
        <v/>
      </c>
      <c r="C118" s="23" t="str">
        <f t="shared" si="79"/>
        <v/>
      </c>
      <c r="D118" s="61" t="str">
        <f>ITEMS_TRA!C22</f>
        <v>TFHCV7</v>
      </c>
      <c r="E118" s="23" t="str">
        <f t="shared" si="80"/>
        <v/>
      </c>
      <c r="G118" s="23" t="str">
        <f t="shared" si="80"/>
        <v/>
      </c>
      <c r="H118" s="23" t="str">
        <f t="shared" si="80"/>
        <v/>
      </c>
      <c r="I118" s="23" t="str">
        <f t="shared" si="80"/>
        <v/>
      </c>
      <c r="J118" s="135" t="str">
        <f t="shared" si="81"/>
        <v/>
      </c>
      <c r="K118" s="200">
        <f>INDEX('[2]TS BYDem'!J$10:J$59,MATCH($D118,'[2]TS BYDem'!D$10:D$59,0))</f>
        <v>1.5653068685251963</v>
      </c>
      <c r="L118" s="200">
        <f t="shared" ref="L118:AY123" si="85">IF(L$110=-1,M118,IF(L$110=99,K118,IF(L$110=0,INDEX($F99:$L99,0,L$108),(INDEX($F99:$L99,0,L$110+1)-INDEX($F99:$L99,0,L$110))/(INDEX($F$4:$L$4,0,L$110+1)-INDEX($F$4:$L$4,0,L$110))+K118)))</f>
        <v>1.6102045790167996</v>
      </c>
      <c r="M118" s="200">
        <f t="shared" si="85"/>
        <v>1.6551022895084029</v>
      </c>
      <c r="N118" s="200">
        <f t="shared" si="85"/>
        <v>1.7</v>
      </c>
      <c r="O118" s="200">
        <f t="shared" si="85"/>
        <v>1.74</v>
      </c>
      <c r="P118" s="200">
        <f t="shared" si="85"/>
        <v>1.78</v>
      </c>
      <c r="Q118" s="200">
        <f t="shared" si="85"/>
        <v>1.7294914197228428</v>
      </c>
      <c r="R118" s="200">
        <f t="shared" si="85"/>
        <v>1.6789828394456856</v>
      </c>
      <c r="S118" s="200">
        <f t="shared" si="85"/>
        <v>1.6284742591685284</v>
      </c>
      <c r="T118" s="200">
        <f t="shared" si="85"/>
        <v>1.6722118475900001</v>
      </c>
      <c r="U118" s="200">
        <f t="shared" si="85"/>
        <v>1.7159494360114718</v>
      </c>
      <c r="V118" s="200">
        <f t="shared" si="85"/>
        <v>1.7596870244329434</v>
      </c>
      <c r="W118" s="200">
        <f t="shared" si="85"/>
        <v>1.8034246128544151</v>
      </c>
      <c r="X118" s="200">
        <f t="shared" si="85"/>
        <v>1.8471622012758868</v>
      </c>
      <c r="Y118" s="200">
        <f t="shared" si="83"/>
        <v>1.8908997896973585</v>
      </c>
      <c r="Z118" s="200">
        <f t="shared" si="83"/>
        <v>1.9346373781188302</v>
      </c>
      <c r="AA118" s="200">
        <f t="shared" si="83"/>
        <v>1.9783749665403019</v>
      </c>
      <c r="AB118" s="200">
        <f t="shared" si="85"/>
        <v>2.0221125549617738</v>
      </c>
      <c r="AC118" s="200">
        <f t="shared" si="85"/>
        <v>2.0658501433832459</v>
      </c>
      <c r="AD118" s="200">
        <f t="shared" si="85"/>
        <v>2.1362259722866623</v>
      </c>
      <c r="AE118" s="200">
        <f t="shared" si="85"/>
        <v>2.2066018011900788</v>
      </c>
      <c r="AF118" s="200">
        <f t="shared" si="85"/>
        <v>2.2769776300934952</v>
      </c>
      <c r="AG118" s="200">
        <f t="shared" si="85"/>
        <v>2.3473534589969116</v>
      </c>
      <c r="AH118" s="200">
        <f t="shared" si="85"/>
        <v>2.417729287900328</v>
      </c>
      <c r="AI118" s="200">
        <f t="shared" si="85"/>
        <v>2.4881051168037445</v>
      </c>
      <c r="AJ118" s="200">
        <f t="shared" si="85"/>
        <v>2.5584809457071609</v>
      </c>
      <c r="AK118" s="200">
        <f t="shared" si="85"/>
        <v>2.6288567746105773</v>
      </c>
      <c r="AL118" s="200">
        <f t="shared" si="85"/>
        <v>2.6992326035139937</v>
      </c>
      <c r="AM118" s="200">
        <f t="shared" si="85"/>
        <v>2.7696084324174115</v>
      </c>
      <c r="AN118" s="200">
        <f t="shared" si="85"/>
        <v>2.8778890314984285</v>
      </c>
      <c r="AO118" s="200">
        <f t="shared" si="85"/>
        <v>2.9861696305794454</v>
      </c>
      <c r="AP118" s="200">
        <f t="shared" si="85"/>
        <v>3.0944502296604623</v>
      </c>
      <c r="AQ118" s="200">
        <f t="shared" si="85"/>
        <v>3.2027308287414793</v>
      </c>
      <c r="AR118" s="200">
        <f t="shared" si="85"/>
        <v>3.3110114278224962</v>
      </c>
      <c r="AS118" s="200">
        <f t="shared" si="85"/>
        <v>3.4192920269035132</v>
      </c>
      <c r="AT118" s="200">
        <f t="shared" si="85"/>
        <v>3.5275726259845301</v>
      </c>
      <c r="AU118" s="200">
        <f t="shared" si="85"/>
        <v>3.6358532250655471</v>
      </c>
      <c r="AV118" s="200">
        <f t="shared" si="85"/>
        <v>3.744133824146564</v>
      </c>
      <c r="AW118" s="200">
        <f t="shared" si="85"/>
        <v>3.852414423227581</v>
      </c>
      <c r="AX118" s="200">
        <f t="shared" si="85"/>
        <v>3.852414423227581</v>
      </c>
      <c r="AY118" s="200">
        <f t="shared" si="85"/>
        <v>3.852414423227581</v>
      </c>
    </row>
    <row r="119" spans="1:78">
      <c r="A119" s="126" t="s">
        <v>16</v>
      </c>
      <c r="B119" s="22" t="str">
        <f t="shared" si="78"/>
        <v/>
      </c>
      <c r="C119" s="23" t="str">
        <f t="shared" si="79"/>
        <v/>
      </c>
      <c r="D119" s="61" t="str">
        <f>ITEMS_TRA!C23</f>
        <v>TFHCV8</v>
      </c>
      <c r="E119" s="23" t="str">
        <f t="shared" si="80"/>
        <v/>
      </c>
      <c r="G119" s="23" t="str">
        <f t="shared" si="80"/>
        <v/>
      </c>
      <c r="H119" s="23" t="str">
        <f t="shared" si="80"/>
        <v/>
      </c>
      <c r="I119" s="23" t="str">
        <f t="shared" si="80"/>
        <v/>
      </c>
      <c r="J119" s="135" t="str">
        <f t="shared" si="81"/>
        <v/>
      </c>
      <c r="K119" s="200">
        <f>INDEX('[2]TS BYDem'!J$10:J$59,MATCH($D119,'[2]TS BYDem'!D$10:D$59,0))</f>
        <v>5.8486156921973939E-2</v>
      </c>
      <c r="L119" s="200">
        <f t="shared" si="85"/>
        <v>6.5622085483256903E-2</v>
      </c>
      <c r="M119" s="200">
        <f t="shared" si="85"/>
        <v>7.2758014044539868E-2</v>
      </c>
      <c r="N119" s="200">
        <f t="shared" si="85"/>
        <v>7.9893942605822804E-2</v>
      </c>
      <c r="O119" s="200">
        <f t="shared" si="85"/>
        <v>9.0970063028559395E-2</v>
      </c>
      <c r="P119" s="200">
        <f t="shared" si="85"/>
        <v>0.102046183451296</v>
      </c>
      <c r="Q119" s="200">
        <f t="shared" si="85"/>
        <v>8.8312903821014643E-2</v>
      </c>
      <c r="R119" s="200">
        <f t="shared" si="85"/>
        <v>7.4579624190733287E-2</v>
      </c>
      <c r="S119" s="200">
        <f t="shared" si="85"/>
        <v>6.0846344560451945E-2</v>
      </c>
      <c r="T119" s="200">
        <f t="shared" si="85"/>
        <v>6.2480556682843677E-2</v>
      </c>
      <c r="U119" s="200">
        <f t="shared" si="85"/>
        <v>6.4114768805235409E-2</v>
      </c>
      <c r="V119" s="200">
        <f t="shared" si="85"/>
        <v>6.574898092762714E-2</v>
      </c>
      <c r="W119" s="200">
        <f t="shared" si="85"/>
        <v>6.7383193050018872E-2</v>
      </c>
      <c r="X119" s="200">
        <f t="shared" si="85"/>
        <v>6.9017405172410604E-2</v>
      </c>
      <c r="Y119" s="200">
        <f t="shared" si="83"/>
        <v>7.0651617294802335E-2</v>
      </c>
      <c r="Z119" s="200">
        <f t="shared" si="83"/>
        <v>7.2285829417194067E-2</v>
      </c>
      <c r="AA119" s="200">
        <f t="shared" si="83"/>
        <v>7.3920041539585798E-2</v>
      </c>
      <c r="AB119" s="200">
        <f t="shared" si="85"/>
        <v>7.555425366197753E-2</v>
      </c>
      <c r="AC119" s="200">
        <f t="shared" si="85"/>
        <v>7.7188465784369248E-2</v>
      </c>
      <c r="AD119" s="200">
        <f t="shared" si="85"/>
        <v>7.981798965315369E-2</v>
      </c>
      <c r="AE119" s="200">
        <f t="shared" si="85"/>
        <v>8.2447513521938132E-2</v>
      </c>
      <c r="AF119" s="200">
        <f t="shared" si="85"/>
        <v>8.5077037390722574E-2</v>
      </c>
      <c r="AG119" s="200">
        <f t="shared" si="85"/>
        <v>8.7706561259507015E-2</v>
      </c>
      <c r="AH119" s="200">
        <f t="shared" si="85"/>
        <v>9.0336085128291457E-2</v>
      </c>
      <c r="AI119" s="200">
        <f t="shared" si="85"/>
        <v>9.2965608997075899E-2</v>
      </c>
      <c r="AJ119" s="200">
        <f t="shared" si="85"/>
        <v>9.5595132865860341E-2</v>
      </c>
      <c r="AK119" s="200">
        <f t="shared" si="85"/>
        <v>9.8224656734644783E-2</v>
      </c>
      <c r="AL119" s="200">
        <f t="shared" si="85"/>
        <v>0.10085418060342922</v>
      </c>
      <c r="AM119" s="200">
        <f t="shared" si="85"/>
        <v>0.10348370447221361</v>
      </c>
      <c r="AN119" s="200">
        <f t="shared" si="85"/>
        <v>0.10752950292668821</v>
      </c>
      <c r="AO119" s="200">
        <f t="shared" si="85"/>
        <v>0.11157530138116281</v>
      </c>
      <c r="AP119" s="200">
        <f t="shared" si="85"/>
        <v>0.11562109983563741</v>
      </c>
      <c r="AQ119" s="200">
        <f t="shared" si="85"/>
        <v>0.11966689829011201</v>
      </c>
      <c r="AR119" s="200">
        <f t="shared" si="85"/>
        <v>0.12371269674458661</v>
      </c>
      <c r="AS119" s="200">
        <f t="shared" si="85"/>
        <v>0.12775849519906121</v>
      </c>
      <c r="AT119" s="200">
        <f t="shared" si="85"/>
        <v>0.13180429365353583</v>
      </c>
      <c r="AU119" s="200">
        <f t="shared" si="85"/>
        <v>0.13585009210801044</v>
      </c>
      <c r="AV119" s="200">
        <f t="shared" si="85"/>
        <v>0.13989589056248505</v>
      </c>
      <c r="AW119" s="200">
        <f t="shared" si="85"/>
        <v>0.14394168901695967</v>
      </c>
      <c r="AX119" s="200">
        <f t="shared" si="85"/>
        <v>0.14394168901695967</v>
      </c>
      <c r="AY119" s="200">
        <f t="shared" si="85"/>
        <v>0.14394168901695967</v>
      </c>
    </row>
    <row r="120" spans="1:78">
      <c r="A120" s="126" t="s">
        <v>16</v>
      </c>
      <c r="B120" s="22" t="str">
        <f t="shared" si="78"/>
        <v/>
      </c>
      <c r="C120" s="23" t="str">
        <f t="shared" si="79"/>
        <v/>
      </c>
      <c r="D120" s="61" t="str">
        <f>ITEMS_TRA!C24</f>
        <v>TFHCV9</v>
      </c>
      <c r="E120" s="23" t="str">
        <f t="shared" si="80"/>
        <v/>
      </c>
      <c r="G120" s="23" t="str">
        <f t="shared" si="80"/>
        <v/>
      </c>
      <c r="H120" s="23" t="str">
        <f t="shared" si="80"/>
        <v/>
      </c>
      <c r="I120" s="23" t="str">
        <f t="shared" si="80"/>
        <v/>
      </c>
      <c r="J120" s="135" t="str">
        <f t="shared" si="81"/>
        <v/>
      </c>
      <c r="K120" s="200">
        <f>INDEX('[2]TS BYDem'!J$10:J$59,MATCH($D120,'[2]TS BYDem'!D$10:D$59,0))</f>
        <v>3.9969372950314989E-2</v>
      </c>
      <c r="L120" s="200">
        <f t="shared" si="85"/>
        <v>3.4102559292729893E-2</v>
      </c>
      <c r="M120" s="200">
        <f t="shared" si="85"/>
        <v>2.8235745635144794E-2</v>
      </c>
      <c r="N120" s="200">
        <f t="shared" si="85"/>
        <v>2.2368931977559604E-2</v>
      </c>
      <c r="O120" s="200">
        <f t="shared" si="85"/>
        <v>2.2519965988779801E-2</v>
      </c>
      <c r="P120" s="200">
        <f t="shared" si="85"/>
        <v>2.2670999999999997E-2</v>
      </c>
      <c r="Q120" s="200">
        <f t="shared" si="85"/>
        <v>2.8974774163731166E-2</v>
      </c>
      <c r="R120" s="200">
        <f t="shared" si="85"/>
        <v>3.5278548327462335E-2</v>
      </c>
      <c r="S120" s="200">
        <f t="shared" si="85"/>
        <v>4.1582322491193507E-2</v>
      </c>
      <c r="T120" s="200">
        <f t="shared" si="85"/>
        <v>4.2699141192188712E-2</v>
      </c>
      <c r="U120" s="200">
        <f t="shared" si="85"/>
        <v>4.3815959893183917E-2</v>
      </c>
      <c r="V120" s="200">
        <f t="shared" si="85"/>
        <v>4.4932778594179122E-2</v>
      </c>
      <c r="W120" s="200">
        <f t="shared" si="85"/>
        <v>4.6049597295174327E-2</v>
      </c>
      <c r="X120" s="200">
        <f t="shared" si="85"/>
        <v>4.7166415996169532E-2</v>
      </c>
      <c r="Y120" s="200">
        <f t="shared" si="83"/>
        <v>4.8283234697164737E-2</v>
      </c>
      <c r="Z120" s="200">
        <f t="shared" si="83"/>
        <v>4.9400053398159942E-2</v>
      </c>
      <c r="AA120" s="200">
        <f t="shared" si="83"/>
        <v>5.0516872099155147E-2</v>
      </c>
      <c r="AB120" s="200">
        <f t="shared" si="85"/>
        <v>5.1633690800150352E-2</v>
      </c>
      <c r="AC120" s="200">
        <f t="shared" si="85"/>
        <v>5.275050950114557E-2</v>
      </c>
      <c r="AD120" s="200">
        <f t="shared" si="85"/>
        <v>5.4547523114698841E-2</v>
      </c>
      <c r="AE120" s="200">
        <f t="shared" si="85"/>
        <v>5.6344536728252112E-2</v>
      </c>
      <c r="AF120" s="200">
        <f t="shared" si="85"/>
        <v>5.8141550341805383E-2</v>
      </c>
      <c r="AG120" s="200">
        <f t="shared" si="85"/>
        <v>5.9938563955358654E-2</v>
      </c>
      <c r="AH120" s="200">
        <f t="shared" si="85"/>
        <v>6.1735577568911924E-2</v>
      </c>
      <c r="AI120" s="200">
        <f t="shared" si="85"/>
        <v>6.3532591182465195E-2</v>
      </c>
      <c r="AJ120" s="200">
        <f t="shared" si="85"/>
        <v>6.5329604796018473E-2</v>
      </c>
      <c r="AK120" s="200">
        <f t="shared" si="85"/>
        <v>6.7126618409571751E-2</v>
      </c>
      <c r="AL120" s="200">
        <f t="shared" si="85"/>
        <v>6.8923632023125028E-2</v>
      </c>
      <c r="AM120" s="200">
        <f t="shared" si="85"/>
        <v>7.0720645636678292E-2</v>
      </c>
      <c r="AN120" s="200">
        <f t="shared" si="85"/>
        <v>7.3485539687153129E-2</v>
      </c>
      <c r="AO120" s="200">
        <f t="shared" si="85"/>
        <v>7.6250433737627965E-2</v>
      </c>
      <c r="AP120" s="200">
        <f t="shared" si="85"/>
        <v>7.9015327788102802E-2</v>
      </c>
      <c r="AQ120" s="200">
        <f t="shared" si="85"/>
        <v>8.1780221838577638E-2</v>
      </c>
      <c r="AR120" s="200">
        <f t="shared" si="85"/>
        <v>8.4545115889052475E-2</v>
      </c>
      <c r="AS120" s="200">
        <f t="shared" si="85"/>
        <v>8.7310009939527311E-2</v>
      </c>
      <c r="AT120" s="200">
        <f t="shared" si="85"/>
        <v>9.0074903990002148E-2</v>
      </c>
      <c r="AU120" s="200">
        <f t="shared" si="85"/>
        <v>9.2839798040476984E-2</v>
      </c>
      <c r="AV120" s="200">
        <f t="shared" si="85"/>
        <v>9.5604692090951821E-2</v>
      </c>
      <c r="AW120" s="200">
        <f t="shared" si="85"/>
        <v>9.8369586141426629E-2</v>
      </c>
      <c r="AX120" s="200">
        <f t="shared" si="85"/>
        <v>9.8369586141426629E-2</v>
      </c>
      <c r="AY120" s="200">
        <f t="shared" si="85"/>
        <v>9.8369586141426629E-2</v>
      </c>
    </row>
    <row r="121" spans="1:78">
      <c r="A121" s="126" t="s">
        <v>16</v>
      </c>
      <c r="B121" s="22" t="str">
        <f t="shared" si="78"/>
        <v/>
      </c>
      <c r="C121" s="23" t="str">
        <f t="shared" si="79"/>
        <v/>
      </c>
      <c r="D121" s="61" t="str">
        <f>ITEMS_TRA!C25</f>
        <v>TFRCO</v>
      </c>
      <c r="E121" s="23" t="str">
        <f t="shared" si="80"/>
        <v/>
      </c>
      <c r="G121" s="23" t="str">
        <f t="shared" si="80"/>
        <v/>
      </c>
      <c r="H121" s="23" t="str">
        <f t="shared" si="80"/>
        <v/>
      </c>
      <c r="I121" s="23" t="str">
        <f t="shared" si="80"/>
        <v/>
      </c>
      <c r="J121" s="135" t="str">
        <f t="shared" si="81"/>
        <v/>
      </c>
      <c r="K121" s="200">
        <f>INDEX('[2]TS BYDem'!J$10:J$59,MATCH($D121,'[2]TS BYDem'!D$10:D$59,0))</f>
        <v>22</v>
      </c>
      <c r="L121" s="200">
        <f t="shared" si="85"/>
        <v>22.407647056507475</v>
      </c>
      <c r="M121" s="200">
        <f t="shared" si="85"/>
        <v>22.81529411301495</v>
      </c>
      <c r="N121" s="200">
        <f t="shared" si="85"/>
        <v>23.222941169522429</v>
      </c>
      <c r="O121" s="200">
        <f t="shared" si="85"/>
        <v>23.45448568927641</v>
      </c>
      <c r="P121" s="200">
        <f t="shared" si="85"/>
        <v>23.686030209030392</v>
      </c>
      <c r="Q121" s="200">
        <f t="shared" si="85"/>
        <v>23.419954144818554</v>
      </c>
      <c r="R121" s="200">
        <f t="shared" si="85"/>
        <v>23.153878080606717</v>
      </c>
      <c r="S121" s="200">
        <f t="shared" si="85"/>
        <v>22.887802016394883</v>
      </c>
      <c r="T121" s="200">
        <f t="shared" si="85"/>
        <v>25.487568601803119</v>
      </c>
      <c r="U121" s="200">
        <f t="shared" si="85"/>
        <v>28.087335187211355</v>
      </c>
      <c r="V121" s="200">
        <f t="shared" si="85"/>
        <v>30.687101772619592</v>
      </c>
      <c r="W121" s="200">
        <f t="shared" si="85"/>
        <v>33.286868358027832</v>
      </c>
      <c r="X121" s="200">
        <f t="shared" si="85"/>
        <v>35.886634943436071</v>
      </c>
      <c r="Y121" s="200">
        <f t="shared" si="83"/>
        <v>38.486401528844311</v>
      </c>
      <c r="Z121" s="200">
        <f t="shared" si="83"/>
        <v>41.086168114252551</v>
      </c>
      <c r="AA121" s="200">
        <f t="shared" si="83"/>
        <v>43.685934699660791</v>
      </c>
      <c r="AB121" s="200">
        <f t="shared" si="85"/>
        <v>46.285701285069031</v>
      </c>
      <c r="AC121" s="200">
        <f t="shared" si="85"/>
        <v>48.88546787047725</v>
      </c>
      <c r="AD121" s="200">
        <f t="shared" si="85"/>
        <v>53.054703373493318</v>
      </c>
      <c r="AE121" s="200">
        <f t="shared" si="85"/>
        <v>57.223938876509386</v>
      </c>
      <c r="AF121" s="200">
        <f t="shared" si="85"/>
        <v>61.393174379525455</v>
      </c>
      <c r="AG121" s="200">
        <f t="shared" si="85"/>
        <v>65.562409882541516</v>
      </c>
      <c r="AH121" s="200">
        <f t="shared" si="85"/>
        <v>69.731645385557584</v>
      </c>
      <c r="AI121" s="200">
        <f t="shared" si="85"/>
        <v>73.900880888573653</v>
      </c>
      <c r="AJ121" s="200">
        <f t="shared" si="85"/>
        <v>78.070116391589721</v>
      </c>
      <c r="AK121" s="200">
        <f t="shared" si="85"/>
        <v>82.23935189460579</v>
      </c>
      <c r="AL121" s="200">
        <f t="shared" si="85"/>
        <v>86.408587397621858</v>
      </c>
      <c r="AM121" s="200">
        <f t="shared" si="85"/>
        <v>90.577822900637926</v>
      </c>
      <c r="AN121" s="200">
        <f t="shared" si="85"/>
        <v>97.864010054535328</v>
      </c>
      <c r="AO121" s="200">
        <f t="shared" si="85"/>
        <v>105.15019720843273</v>
      </c>
      <c r="AP121" s="200">
        <f t="shared" si="85"/>
        <v>112.43638436233013</v>
      </c>
      <c r="AQ121" s="200">
        <f t="shared" si="85"/>
        <v>119.72257151622753</v>
      </c>
      <c r="AR121" s="200">
        <f t="shared" si="85"/>
        <v>127.00875867012493</v>
      </c>
      <c r="AS121" s="200">
        <f t="shared" si="85"/>
        <v>134.29494582402234</v>
      </c>
      <c r="AT121" s="200">
        <f t="shared" si="85"/>
        <v>141.58113297791974</v>
      </c>
      <c r="AU121" s="200">
        <f t="shared" si="85"/>
        <v>148.86732013181714</v>
      </c>
      <c r="AV121" s="200">
        <f t="shared" si="85"/>
        <v>156.15350728571454</v>
      </c>
      <c r="AW121" s="200">
        <f t="shared" si="85"/>
        <v>163.43969443961191</v>
      </c>
      <c r="AX121" s="200">
        <f t="shared" si="85"/>
        <v>163.43969443961191</v>
      </c>
      <c r="AY121" s="200">
        <f t="shared" si="85"/>
        <v>163.43969443961191</v>
      </c>
    </row>
    <row r="122" spans="1:78">
      <c r="A122" s="126" t="s">
        <v>16</v>
      </c>
      <c r="B122" s="22" t="str">
        <f t="shared" si="78"/>
        <v/>
      </c>
      <c r="C122" s="23" t="str">
        <f t="shared" si="79"/>
        <v/>
      </c>
      <c r="D122" s="61" t="str">
        <f>ITEMS_TRA!C26</f>
        <v>TFROT</v>
      </c>
      <c r="E122" s="23" t="str">
        <f t="shared" si="80"/>
        <v/>
      </c>
      <c r="G122" s="23" t="str">
        <f t="shared" si="80"/>
        <v/>
      </c>
      <c r="H122" s="23" t="str">
        <f t="shared" si="80"/>
        <v/>
      </c>
      <c r="I122" s="23" t="str">
        <f t="shared" si="80"/>
        <v/>
      </c>
      <c r="J122" s="135" t="str">
        <f t="shared" si="81"/>
        <v/>
      </c>
      <c r="K122" s="200">
        <f>INDEX('[2]TS BYDem'!J$10:J$59,MATCH($D122,'[2]TS BYDem'!D$10:D$59,0))</f>
        <v>25.1</v>
      </c>
      <c r="L122" s="200">
        <f t="shared" si="85"/>
        <v>25.565088232651718</v>
      </c>
      <c r="M122" s="200">
        <f t="shared" si="85"/>
        <v>26.030176465303434</v>
      </c>
      <c r="N122" s="200">
        <f t="shared" si="85"/>
        <v>26.495264697955154</v>
      </c>
      <c r="O122" s="200">
        <f t="shared" si="85"/>
        <v>26.891657045383518</v>
      </c>
      <c r="P122" s="200">
        <f t="shared" si="85"/>
        <v>27.288049392811885</v>
      </c>
      <c r="Q122" s="200">
        <f t="shared" si="85"/>
        <v>26.981510191502863</v>
      </c>
      <c r="R122" s="200">
        <f t="shared" si="85"/>
        <v>26.674970990193842</v>
      </c>
      <c r="S122" s="200">
        <f t="shared" si="85"/>
        <v>26.368431788884816</v>
      </c>
      <c r="T122" s="200">
        <f t="shared" si="85"/>
        <v>27.40098233685374</v>
      </c>
      <c r="U122" s="200">
        <f t="shared" si="85"/>
        <v>28.433532884822664</v>
      </c>
      <c r="V122" s="200">
        <f t="shared" si="85"/>
        <v>29.466083432791589</v>
      </c>
      <c r="W122" s="200">
        <f t="shared" si="85"/>
        <v>30.498633980760513</v>
      </c>
      <c r="X122" s="200">
        <f t="shared" si="85"/>
        <v>31.531184528729437</v>
      </c>
      <c r="Y122" s="200">
        <f t="shared" si="83"/>
        <v>32.563735076698357</v>
      </c>
      <c r="Z122" s="200">
        <f t="shared" si="83"/>
        <v>33.596285624667281</v>
      </c>
      <c r="AA122" s="200">
        <f t="shared" si="83"/>
        <v>34.628836172636206</v>
      </c>
      <c r="AB122" s="200">
        <f t="shared" si="85"/>
        <v>35.66138672060513</v>
      </c>
      <c r="AC122" s="200">
        <f t="shared" si="85"/>
        <v>36.693937268574047</v>
      </c>
      <c r="AD122" s="200">
        <f t="shared" si="85"/>
        <v>38.360083352691525</v>
      </c>
      <c r="AE122" s="200">
        <f t="shared" si="85"/>
        <v>40.026229436809004</v>
      </c>
      <c r="AF122" s="200">
        <f t="shared" si="85"/>
        <v>41.692375520926483</v>
      </c>
      <c r="AG122" s="200">
        <f t="shared" si="85"/>
        <v>43.358521605043961</v>
      </c>
      <c r="AH122" s="200">
        <f t="shared" si="85"/>
        <v>45.02466768916144</v>
      </c>
      <c r="AI122" s="200">
        <f t="shared" si="85"/>
        <v>46.690813773278919</v>
      </c>
      <c r="AJ122" s="200">
        <f t="shared" si="85"/>
        <v>48.356959857396397</v>
      </c>
      <c r="AK122" s="200">
        <f t="shared" si="85"/>
        <v>50.023105941513876</v>
      </c>
      <c r="AL122" s="200">
        <f t="shared" si="85"/>
        <v>51.689252025631355</v>
      </c>
      <c r="AM122" s="200">
        <f t="shared" si="85"/>
        <v>53.355398109748847</v>
      </c>
      <c r="AN122" s="200">
        <f t="shared" si="85"/>
        <v>56.065124320770899</v>
      </c>
      <c r="AO122" s="200">
        <f t="shared" si="85"/>
        <v>58.77485053179295</v>
      </c>
      <c r="AP122" s="200">
        <f t="shared" si="85"/>
        <v>61.484576742815001</v>
      </c>
      <c r="AQ122" s="200">
        <f t="shared" si="85"/>
        <v>64.194302953837052</v>
      </c>
      <c r="AR122" s="200">
        <f t="shared" si="85"/>
        <v>66.904029164859097</v>
      </c>
      <c r="AS122" s="200">
        <f t="shared" si="85"/>
        <v>69.613755375881141</v>
      </c>
      <c r="AT122" s="200">
        <f t="shared" si="85"/>
        <v>72.323481586903185</v>
      </c>
      <c r="AU122" s="200">
        <f t="shared" si="85"/>
        <v>75.033207797925229</v>
      </c>
      <c r="AV122" s="200">
        <f t="shared" si="85"/>
        <v>77.742934008947273</v>
      </c>
      <c r="AW122" s="200">
        <f t="shared" si="85"/>
        <v>80.452660219969331</v>
      </c>
      <c r="AX122" s="200">
        <f t="shared" si="85"/>
        <v>80.452660219969331</v>
      </c>
      <c r="AY122" s="200">
        <f t="shared" si="85"/>
        <v>80.452660219969331</v>
      </c>
    </row>
    <row r="123" spans="1:78">
      <c r="A123" s="126" t="s">
        <v>16</v>
      </c>
      <c r="B123" s="22" t="str">
        <f t="shared" si="78"/>
        <v/>
      </c>
      <c r="C123" s="136" t="str">
        <f t="shared" si="79"/>
        <v/>
      </c>
      <c r="D123" s="61" t="str">
        <f>ITEMS_TRA!C27</f>
        <v>TFREX</v>
      </c>
      <c r="E123" s="136" t="str">
        <f t="shared" si="80"/>
        <v/>
      </c>
      <c r="G123" s="136" t="str">
        <f t="shared" si="80"/>
        <v/>
      </c>
      <c r="H123" s="136" t="str">
        <f t="shared" si="80"/>
        <v/>
      </c>
      <c r="I123" s="136" t="str">
        <f t="shared" si="80"/>
        <v/>
      </c>
      <c r="J123" s="137" t="str">
        <f t="shared" si="81"/>
        <v/>
      </c>
      <c r="K123" s="200">
        <f>INDEX('[2]TS BYDem'!J$10:J$59,MATCH($D123,'[2]TS BYDem'!D$10:D$59,0))</f>
        <v>82</v>
      </c>
      <c r="L123" s="200">
        <f t="shared" si="85"/>
        <v>82</v>
      </c>
      <c r="M123" s="200">
        <f t="shared" si="85"/>
        <v>82</v>
      </c>
      <c r="N123" s="200">
        <f t="shared" si="85"/>
        <v>82</v>
      </c>
      <c r="O123" s="200">
        <f t="shared" si="85"/>
        <v>82</v>
      </c>
      <c r="P123" s="200">
        <f t="shared" si="85"/>
        <v>82</v>
      </c>
      <c r="Q123" s="200">
        <f t="shared" si="85"/>
        <v>80.333090323072156</v>
      </c>
      <c r="R123" s="200">
        <f t="shared" si="85"/>
        <v>78.666180646144312</v>
      </c>
      <c r="S123" s="200">
        <f t="shared" si="85"/>
        <v>76.999270969216482</v>
      </c>
      <c r="T123" s="200">
        <f t="shared" si="85"/>
        <v>79.135375281788185</v>
      </c>
      <c r="U123" s="200">
        <f t="shared" si="85"/>
        <v>81.271479594359903</v>
      </c>
      <c r="V123" s="200">
        <f t="shared" si="85"/>
        <v>83.40758390693162</v>
      </c>
      <c r="W123" s="200">
        <f t="shared" si="85"/>
        <v>85.543688219503338</v>
      </c>
      <c r="X123" s="200">
        <f t="shared" si="85"/>
        <v>87.679792532075055</v>
      </c>
      <c r="Y123" s="200">
        <f t="shared" si="83"/>
        <v>89.815896844646772</v>
      </c>
      <c r="Z123" s="200">
        <f t="shared" si="83"/>
        <v>91.95200115721849</v>
      </c>
      <c r="AA123" s="200">
        <f t="shared" si="83"/>
        <v>94.088105469790207</v>
      </c>
      <c r="AB123" s="200">
        <f t="shared" si="85"/>
        <v>96.224209782361925</v>
      </c>
      <c r="AC123" s="200">
        <f t="shared" si="85"/>
        <v>98.360314094933585</v>
      </c>
      <c r="AD123" s="200">
        <f t="shared" si="85"/>
        <v>101.69681486905661</v>
      </c>
      <c r="AE123" s="200">
        <f t="shared" si="85"/>
        <v>105.03331564317963</v>
      </c>
      <c r="AF123" s="200">
        <f t="shared" si="85"/>
        <v>108.36981641730266</v>
      </c>
      <c r="AG123" s="200">
        <f t="shared" si="85"/>
        <v>111.70631719142568</v>
      </c>
      <c r="AH123" s="200">
        <f t="shared" si="85"/>
        <v>115.04281796554871</v>
      </c>
      <c r="AI123" s="200">
        <f t="shared" si="85"/>
        <v>118.37931873967173</v>
      </c>
      <c r="AJ123" s="200">
        <f t="shared" si="85"/>
        <v>121.71581951379476</v>
      </c>
      <c r="AK123" s="200">
        <f t="shared" si="85"/>
        <v>125.05232028791778</v>
      </c>
      <c r="AL123" s="200">
        <f t="shared" si="85"/>
        <v>128.38882106204079</v>
      </c>
      <c r="AM123" s="200">
        <f t="shared" si="85"/>
        <v>131.72532183616377</v>
      </c>
      <c r="AN123" s="200">
        <f t="shared" si="85"/>
        <v>137.67187330864436</v>
      </c>
      <c r="AO123" s="200">
        <f t="shared" si="85"/>
        <v>143.61842478112496</v>
      </c>
      <c r="AP123" s="200">
        <f t="shared" si="85"/>
        <v>149.56497625360555</v>
      </c>
      <c r="AQ123" s="200">
        <f t="shared" si="85"/>
        <v>155.51152772608614</v>
      </c>
      <c r="AR123" s="200">
        <f t="shared" si="85"/>
        <v>161.45807919856674</v>
      </c>
      <c r="AS123" s="200">
        <f t="shared" si="85"/>
        <v>167.40463067104733</v>
      </c>
      <c r="AT123" s="200">
        <f t="shared" si="85"/>
        <v>173.35118214352792</v>
      </c>
      <c r="AU123" s="200">
        <f t="shared" si="85"/>
        <v>179.29773361600851</v>
      </c>
      <c r="AV123" s="200">
        <f t="shared" si="85"/>
        <v>185.24428508848911</v>
      </c>
      <c r="AW123" s="200">
        <f t="shared" si="85"/>
        <v>191.19083656096981</v>
      </c>
      <c r="AX123" s="200">
        <f t="shared" si="85"/>
        <v>191.19083656096981</v>
      </c>
      <c r="AY123" s="200">
        <f t="shared" si="85"/>
        <v>191.19083656096981</v>
      </c>
    </row>
    <row r="124" spans="1:78">
      <c r="A124" s="126" t="s">
        <v>16</v>
      </c>
      <c r="B124" s="200"/>
      <c r="C124" s="200"/>
      <c r="H124" s="10"/>
      <c r="I124" s="10"/>
      <c r="J124" s="10"/>
      <c r="K124" s="10"/>
      <c r="L124" s="10"/>
      <c r="N124" s="10"/>
    </row>
    <row r="125" spans="1:78">
      <c r="B125" s="200"/>
      <c r="C125" s="200"/>
      <c r="H125" s="10"/>
      <c r="I125" s="10"/>
      <c r="J125" s="10"/>
      <c r="K125" s="10"/>
      <c r="L125" s="10"/>
      <c r="N125" s="10"/>
    </row>
    <row r="126" spans="1:78">
      <c r="A126" s="199" t="s">
        <v>16</v>
      </c>
      <c r="B126" s="200"/>
      <c r="C126" s="200"/>
      <c r="H126" s="10"/>
      <c r="I126" s="10"/>
      <c r="J126" s="10"/>
      <c r="K126" s="10"/>
      <c r="L126" s="10"/>
      <c r="N126" s="10"/>
    </row>
    <row r="127" spans="1:78" ht="23.25">
      <c r="A127" s="124" t="s">
        <v>16</v>
      </c>
      <c r="B127" s="128" t="s">
        <v>19</v>
      </c>
      <c r="C127" s="128" t="s">
        <v>20</v>
      </c>
      <c r="D127" s="128" t="s">
        <v>21</v>
      </c>
      <c r="E127" s="128"/>
      <c r="F127" s="128" t="s">
        <v>22</v>
      </c>
      <c r="G127" s="128" t="s">
        <v>23</v>
      </c>
      <c r="H127" s="128" t="s">
        <v>24</v>
      </c>
      <c r="I127" s="129" t="s">
        <v>25</v>
      </c>
      <c r="J127" s="199">
        <v>2012</v>
      </c>
      <c r="K127" s="199">
        <v>2013</v>
      </c>
      <c r="L127" s="199">
        <v>2014</v>
      </c>
      <c r="M127" s="199">
        <v>2015</v>
      </c>
      <c r="N127" s="199">
        <v>2016</v>
      </c>
      <c r="O127" s="199">
        <v>2017</v>
      </c>
      <c r="P127" s="199">
        <v>2018</v>
      </c>
      <c r="Q127" s="199">
        <v>2019</v>
      </c>
      <c r="R127" s="199">
        <v>2020</v>
      </c>
      <c r="S127" s="199">
        <v>2021</v>
      </c>
      <c r="T127" s="199">
        <v>2022</v>
      </c>
      <c r="U127" s="199">
        <v>2023</v>
      </c>
      <c r="V127" s="199">
        <v>2024</v>
      </c>
      <c r="W127" s="199">
        <v>2025</v>
      </c>
      <c r="X127" s="199">
        <v>2026</v>
      </c>
      <c r="Y127" s="199">
        <v>2027</v>
      </c>
      <c r="Z127" s="199">
        <v>2028</v>
      </c>
      <c r="AA127" s="199">
        <v>2029</v>
      </c>
      <c r="AB127" s="199">
        <v>2030</v>
      </c>
      <c r="AC127" s="199">
        <v>2031</v>
      </c>
      <c r="AD127" s="199">
        <v>2032</v>
      </c>
      <c r="AE127" s="199">
        <v>2033</v>
      </c>
      <c r="AF127" s="199">
        <v>2034</v>
      </c>
      <c r="AG127" s="199">
        <v>2035</v>
      </c>
      <c r="AH127" s="199">
        <v>2036</v>
      </c>
      <c r="AI127" s="199">
        <v>2037</v>
      </c>
      <c r="AJ127" s="199">
        <v>2038</v>
      </c>
      <c r="AK127" s="199">
        <v>2039</v>
      </c>
      <c r="AL127" s="199">
        <v>2040</v>
      </c>
      <c r="AM127" s="199">
        <v>2045</v>
      </c>
      <c r="AN127" s="199">
        <v>2050</v>
      </c>
      <c r="AO127" s="199">
        <v>2060</v>
      </c>
      <c r="AP127" s="199">
        <v>2070</v>
      </c>
    </row>
    <row r="128" spans="1:78" s="205" customFormat="1">
      <c r="A128" s="124" t="s">
        <v>16</v>
      </c>
      <c r="B128" s="205">
        <v>1</v>
      </c>
      <c r="C128" s="205">
        <v>2012</v>
      </c>
      <c r="D128" s="205">
        <v>2015</v>
      </c>
      <c r="E128" s="205">
        <v>2017</v>
      </c>
      <c r="F128" s="205">
        <v>2020</v>
      </c>
      <c r="G128" s="205">
        <v>2030</v>
      </c>
      <c r="H128" s="205">
        <v>2040</v>
      </c>
      <c r="I128" s="254">
        <v>2050</v>
      </c>
      <c r="J128" s="205">
        <f t="shared" ref="J128:S129" si="86">MATCH(J$127,$C$128:$I$128,$B128)</f>
        <v>1</v>
      </c>
      <c r="K128" s="205">
        <f t="shared" si="86"/>
        <v>1</v>
      </c>
      <c r="L128" s="205">
        <f t="shared" si="86"/>
        <v>1</v>
      </c>
      <c r="M128" s="205">
        <f t="shared" si="86"/>
        <v>2</v>
      </c>
      <c r="N128" s="205">
        <f t="shared" si="86"/>
        <v>2</v>
      </c>
      <c r="O128" s="205">
        <f t="shared" si="86"/>
        <v>3</v>
      </c>
      <c r="P128" s="205">
        <f t="shared" si="86"/>
        <v>3</v>
      </c>
      <c r="Q128" s="205">
        <f t="shared" si="86"/>
        <v>3</v>
      </c>
      <c r="R128" s="205">
        <f t="shared" si="86"/>
        <v>4</v>
      </c>
      <c r="S128" s="205">
        <f t="shared" si="86"/>
        <v>4</v>
      </c>
      <c r="T128" s="205">
        <f t="shared" ref="T128:AC129" si="87">MATCH(T$127,$C$128:$I$128,$B128)</f>
        <v>4</v>
      </c>
      <c r="U128" s="205">
        <f t="shared" si="87"/>
        <v>4</v>
      </c>
      <c r="V128" s="205">
        <f t="shared" si="87"/>
        <v>4</v>
      </c>
      <c r="W128" s="205">
        <f t="shared" si="87"/>
        <v>4</v>
      </c>
      <c r="X128" s="205">
        <f t="shared" si="87"/>
        <v>4</v>
      </c>
      <c r="Y128" s="205">
        <f t="shared" si="87"/>
        <v>4</v>
      </c>
      <c r="Z128" s="205">
        <f>MATCH(Z$127,$C$128:$I$128,$B128)</f>
        <v>4</v>
      </c>
      <c r="AA128" s="205">
        <f t="shared" si="87"/>
        <v>4</v>
      </c>
      <c r="AB128" s="205">
        <f t="shared" si="87"/>
        <v>5</v>
      </c>
      <c r="AC128" s="205">
        <f t="shared" si="87"/>
        <v>5</v>
      </c>
      <c r="AD128" s="205">
        <f t="shared" ref="AD128:AP129" si="88">MATCH(AD$127,$C$128:$I$128,$B128)</f>
        <v>5</v>
      </c>
      <c r="AE128" s="205">
        <f t="shared" si="88"/>
        <v>5</v>
      </c>
      <c r="AF128" s="205">
        <f t="shared" si="88"/>
        <v>5</v>
      </c>
      <c r="AG128" s="205">
        <f t="shared" si="88"/>
        <v>5</v>
      </c>
      <c r="AH128" s="205">
        <f t="shared" si="88"/>
        <v>5</v>
      </c>
      <c r="AI128" s="205">
        <f t="shared" si="88"/>
        <v>5</v>
      </c>
      <c r="AJ128" s="205">
        <f t="shared" si="88"/>
        <v>5</v>
      </c>
      <c r="AK128" s="205">
        <f t="shared" si="88"/>
        <v>5</v>
      </c>
      <c r="AL128" s="205">
        <f t="shared" si="88"/>
        <v>6</v>
      </c>
      <c r="AM128" s="205">
        <f t="shared" si="88"/>
        <v>6</v>
      </c>
      <c r="AN128" s="205">
        <f t="shared" si="88"/>
        <v>7</v>
      </c>
      <c r="AO128" s="205">
        <f t="shared" si="88"/>
        <v>7</v>
      </c>
      <c r="AP128" s="205">
        <f t="shared" si="88"/>
        <v>7</v>
      </c>
      <c r="AR128" s="199"/>
      <c r="AS128" s="199"/>
      <c r="AT128" s="199"/>
      <c r="AU128" s="199"/>
      <c r="AV128" s="199"/>
      <c r="AW128" s="199"/>
      <c r="AX128" s="199"/>
      <c r="AY128" s="199"/>
      <c r="AZ128" s="199"/>
      <c r="BA128" s="199"/>
      <c r="BB128" s="199"/>
      <c r="BC128" s="199"/>
      <c r="BD128" s="199"/>
      <c r="BE128" s="199"/>
      <c r="BF128" s="199"/>
      <c r="BG128" s="199"/>
      <c r="BH128" s="199"/>
      <c r="BI128" s="199"/>
      <c r="BJ128" s="199"/>
      <c r="BK128" s="199"/>
      <c r="BL128" s="199"/>
      <c r="BM128" s="199"/>
      <c r="BN128" s="199"/>
      <c r="BO128" s="199"/>
      <c r="BP128" s="199"/>
      <c r="BQ128" s="199"/>
      <c r="BR128" s="199"/>
      <c r="BS128" s="199"/>
      <c r="BT128" s="199"/>
      <c r="BU128" s="199"/>
      <c r="BV128" s="199"/>
      <c r="BW128" s="199"/>
      <c r="BX128" s="199"/>
      <c r="BY128" s="199"/>
      <c r="BZ128" s="199"/>
    </row>
    <row r="129" spans="1:78">
      <c r="A129" s="41" t="s">
        <v>16</v>
      </c>
      <c r="B129" s="199">
        <v>0</v>
      </c>
      <c r="C129" s="199">
        <f t="shared" ref="C129:H129" si="89">INDEX($C128:$I128,0,COUNT($C128:$I128)-C130)</f>
        <v>2050</v>
      </c>
      <c r="D129" s="199">
        <f t="shared" si="89"/>
        <v>2040</v>
      </c>
      <c r="E129" s="199">
        <f t="shared" si="89"/>
        <v>2030</v>
      </c>
      <c r="F129" s="199">
        <f t="shared" si="89"/>
        <v>2020</v>
      </c>
      <c r="G129" s="199">
        <f t="shared" si="89"/>
        <v>2017</v>
      </c>
      <c r="H129" s="199">
        <f t="shared" si="89"/>
        <v>2015</v>
      </c>
      <c r="I129" s="131">
        <v>2012</v>
      </c>
      <c r="J129" s="41">
        <f t="shared" si="86"/>
        <v>1</v>
      </c>
      <c r="K129" s="199" t="e">
        <f t="shared" si="86"/>
        <v>#N/A</v>
      </c>
      <c r="L129" s="199" t="e">
        <f t="shared" si="86"/>
        <v>#N/A</v>
      </c>
      <c r="M129" s="199">
        <f t="shared" si="86"/>
        <v>2</v>
      </c>
      <c r="N129" s="199" t="e">
        <f t="shared" si="86"/>
        <v>#N/A</v>
      </c>
      <c r="O129" s="199">
        <f t="shared" si="86"/>
        <v>3</v>
      </c>
      <c r="P129" s="199" t="e">
        <f t="shared" si="86"/>
        <v>#N/A</v>
      </c>
      <c r="Q129" s="199" t="e">
        <f t="shared" si="86"/>
        <v>#N/A</v>
      </c>
      <c r="R129" s="199">
        <f t="shared" si="86"/>
        <v>4</v>
      </c>
      <c r="S129" s="199" t="e">
        <f t="shared" si="86"/>
        <v>#N/A</v>
      </c>
      <c r="T129" s="199" t="e">
        <f t="shared" si="87"/>
        <v>#N/A</v>
      </c>
      <c r="U129" s="199" t="e">
        <f t="shared" si="87"/>
        <v>#N/A</v>
      </c>
      <c r="V129" s="199" t="e">
        <f t="shared" si="87"/>
        <v>#N/A</v>
      </c>
      <c r="W129" s="199" t="e">
        <f t="shared" si="87"/>
        <v>#N/A</v>
      </c>
      <c r="X129" s="199" t="e">
        <f t="shared" si="87"/>
        <v>#N/A</v>
      </c>
      <c r="Y129" s="199" t="e">
        <f t="shared" si="87"/>
        <v>#N/A</v>
      </c>
      <c r="Z129" s="199" t="e">
        <f>MATCH(Z$127,$C$128:$I$128,$B129)</f>
        <v>#N/A</v>
      </c>
      <c r="AA129" s="199" t="e">
        <f t="shared" si="87"/>
        <v>#N/A</v>
      </c>
      <c r="AB129" s="199">
        <f t="shared" si="87"/>
        <v>5</v>
      </c>
      <c r="AC129" s="199" t="e">
        <f t="shared" si="87"/>
        <v>#N/A</v>
      </c>
      <c r="AD129" s="199" t="e">
        <f t="shared" si="88"/>
        <v>#N/A</v>
      </c>
      <c r="AE129" s="199" t="e">
        <f t="shared" si="88"/>
        <v>#N/A</v>
      </c>
      <c r="AF129" s="199" t="e">
        <f t="shared" si="88"/>
        <v>#N/A</v>
      </c>
      <c r="AG129" s="199" t="e">
        <f t="shared" si="88"/>
        <v>#N/A</v>
      </c>
      <c r="AH129" s="199" t="e">
        <f t="shared" si="88"/>
        <v>#N/A</v>
      </c>
      <c r="AI129" s="199" t="e">
        <f t="shared" si="88"/>
        <v>#N/A</v>
      </c>
      <c r="AJ129" s="199" t="e">
        <f t="shared" si="88"/>
        <v>#N/A</v>
      </c>
      <c r="AK129" s="199" t="e">
        <f t="shared" si="88"/>
        <v>#N/A</v>
      </c>
      <c r="AL129" s="199">
        <f t="shared" si="88"/>
        <v>6</v>
      </c>
      <c r="AM129" s="199" t="e">
        <f t="shared" si="88"/>
        <v>#N/A</v>
      </c>
      <c r="AN129" s="199">
        <f t="shared" si="88"/>
        <v>7</v>
      </c>
      <c r="AO129" s="199" t="e">
        <f t="shared" si="88"/>
        <v>#N/A</v>
      </c>
      <c r="AP129" s="199" t="e">
        <f t="shared" si="88"/>
        <v>#N/A</v>
      </c>
    </row>
    <row r="130" spans="1:78">
      <c r="A130" s="41" t="s">
        <v>16</v>
      </c>
      <c r="B130" s="199">
        <v>-1</v>
      </c>
      <c r="C130" s="199">
        <v>0</v>
      </c>
      <c r="D130" s="199">
        <v>1</v>
      </c>
      <c r="E130" s="202">
        <v>2</v>
      </c>
      <c r="F130" s="199">
        <v>3</v>
      </c>
      <c r="G130" s="199">
        <v>4</v>
      </c>
      <c r="H130" s="199">
        <v>5</v>
      </c>
      <c r="I130" s="199">
        <v>6</v>
      </c>
      <c r="J130" s="41">
        <f t="shared" ref="J130:AP130" si="90">MATCH(J$127,$C$129:$I$129,$B130)</f>
        <v>7</v>
      </c>
      <c r="K130" s="199">
        <f t="shared" si="90"/>
        <v>6</v>
      </c>
      <c r="L130" s="199">
        <f t="shared" si="90"/>
        <v>6</v>
      </c>
      <c r="M130" s="199">
        <f t="shared" si="90"/>
        <v>6</v>
      </c>
      <c r="N130" s="199">
        <f t="shared" si="90"/>
        <v>5</v>
      </c>
      <c r="O130" s="199">
        <f t="shared" si="90"/>
        <v>5</v>
      </c>
      <c r="P130" s="199">
        <f t="shared" si="90"/>
        <v>4</v>
      </c>
      <c r="Q130" s="199">
        <f t="shared" si="90"/>
        <v>4</v>
      </c>
      <c r="R130" s="199">
        <f t="shared" si="90"/>
        <v>4</v>
      </c>
      <c r="S130" s="199">
        <f t="shared" si="90"/>
        <v>3</v>
      </c>
      <c r="T130" s="199">
        <f t="shared" si="90"/>
        <v>3</v>
      </c>
      <c r="U130" s="199">
        <f t="shared" si="90"/>
        <v>3</v>
      </c>
      <c r="V130" s="199">
        <f t="shared" si="90"/>
        <v>3</v>
      </c>
      <c r="W130" s="199">
        <f t="shared" si="90"/>
        <v>3</v>
      </c>
      <c r="X130" s="199">
        <f t="shared" si="90"/>
        <v>3</v>
      </c>
      <c r="Y130" s="199">
        <f t="shared" si="90"/>
        <v>3</v>
      </c>
      <c r="Z130" s="199">
        <f>MATCH(Z$127,$C$129:$I$129,$B130)</f>
        <v>3</v>
      </c>
      <c r="AA130" s="199">
        <f t="shared" si="90"/>
        <v>3</v>
      </c>
      <c r="AB130" s="199">
        <f t="shared" si="90"/>
        <v>3</v>
      </c>
      <c r="AC130" s="199">
        <f t="shared" si="90"/>
        <v>2</v>
      </c>
      <c r="AD130" s="199">
        <f t="shared" si="90"/>
        <v>2</v>
      </c>
      <c r="AE130" s="199">
        <f t="shared" si="90"/>
        <v>2</v>
      </c>
      <c r="AF130" s="199">
        <f t="shared" si="90"/>
        <v>2</v>
      </c>
      <c r="AG130" s="199">
        <f t="shared" si="90"/>
        <v>2</v>
      </c>
      <c r="AH130" s="199">
        <f t="shared" si="90"/>
        <v>2</v>
      </c>
      <c r="AI130" s="199">
        <f t="shared" si="90"/>
        <v>2</v>
      </c>
      <c r="AJ130" s="199">
        <f t="shared" si="90"/>
        <v>2</v>
      </c>
      <c r="AK130" s="199">
        <f t="shared" si="90"/>
        <v>2</v>
      </c>
      <c r="AL130" s="199">
        <f t="shared" si="90"/>
        <v>2</v>
      </c>
      <c r="AM130" s="199">
        <f t="shared" si="90"/>
        <v>1</v>
      </c>
      <c r="AN130" s="199">
        <f t="shared" si="90"/>
        <v>1</v>
      </c>
      <c r="AO130" s="199" t="e">
        <f t="shared" si="90"/>
        <v>#N/A</v>
      </c>
      <c r="AP130" s="199" t="e">
        <f t="shared" si="90"/>
        <v>#N/A</v>
      </c>
    </row>
    <row r="131" spans="1:78" s="127" customFormat="1">
      <c r="A131" s="126" t="s">
        <v>16</v>
      </c>
      <c r="I131" s="132"/>
      <c r="J131" s="203">
        <f t="shared" ref="J131:AP131" si="91">IF(ISNA(J128),-1,IF(ISNA(J130),99,IF(ISNA(J129),J128,0)))</f>
        <v>0</v>
      </c>
      <c r="K131" s="203">
        <f t="shared" si="91"/>
        <v>1</v>
      </c>
      <c r="L131" s="203">
        <f t="shared" si="91"/>
        <v>1</v>
      </c>
      <c r="M131" s="203">
        <f t="shared" si="91"/>
        <v>0</v>
      </c>
      <c r="N131" s="203">
        <f t="shared" si="91"/>
        <v>2</v>
      </c>
      <c r="O131" s="203">
        <f t="shared" si="91"/>
        <v>0</v>
      </c>
      <c r="P131" s="203">
        <f t="shared" si="91"/>
        <v>3</v>
      </c>
      <c r="Q131" s="203">
        <f t="shared" si="91"/>
        <v>3</v>
      </c>
      <c r="R131" s="203">
        <f t="shared" si="91"/>
        <v>0</v>
      </c>
      <c r="S131" s="203">
        <f t="shared" si="91"/>
        <v>4</v>
      </c>
      <c r="T131" s="203">
        <f t="shared" si="91"/>
        <v>4</v>
      </c>
      <c r="U131" s="203">
        <f t="shared" si="91"/>
        <v>4</v>
      </c>
      <c r="V131" s="203">
        <f t="shared" si="91"/>
        <v>4</v>
      </c>
      <c r="W131" s="203">
        <f t="shared" si="91"/>
        <v>4</v>
      </c>
      <c r="X131" s="203">
        <f t="shared" si="91"/>
        <v>4</v>
      </c>
      <c r="Y131" s="203">
        <f t="shared" si="91"/>
        <v>4</v>
      </c>
      <c r="Z131" s="203">
        <f t="shared" si="91"/>
        <v>4</v>
      </c>
      <c r="AA131" s="203">
        <f t="shared" si="91"/>
        <v>4</v>
      </c>
      <c r="AB131" s="203">
        <f t="shared" si="91"/>
        <v>0</v>
      </c>
      <c r="AC131" s="203">
        <f t="shared" si="91"/>
        <v>5</v>
      </c>
      <c r="AD131" s="203">
        <f t="shared" si="91"/>
        <v>5</v>
      </c>
      <c r="AE131" s="203">
        <f t="shared" si="91"/>
        <v>5</v>
      </c>
      <c r="AF131" s="203">
        <f t="shared" si="91"/>
        <v>5</v>
      </c>
      <c r="AG131" s="203">
        <f t="shared" si="91"/>
        <v>5</v>
      </c>
      <c r="AH131" s="203">
        <f t="shared" si="91"/>
        <v>5</v>
      </c>
      <c r="AI131" s="203">
        <f t="shared" si="91"/>
        <v>5</v>
      </c>
      <c r="AJ131" s="203">
        <f t="shared" si="91"/>
        <v>5</v>
      </c>
      <c r="AK131" s="203">
        <f t="shared" si="91"/>
        <v>5</v>
      </c>
      <c r="AL131" s="203">
        <f t="shared" si="91"/>
        <v>0</v>
      </c>
      <c r="AM131" s="203">
        <f t="shared" si="91"/>
        <v>6</v>
      </c>
      <c r="AN131" s="203">
        <f t="shared" si="91"/>
        <v>0</v>
      </c>
      <c r="AO131" s="203">
        <f t="shared" si="91"/>
        <v>99</v>
      </c>
      <c r="AP131" s="203">
        <f t="shared" si="91"/>
        <v>99</v>
      </c>
      <c r="AR131" s="199"/>
      <c r="AS131" s="199"/>
      <c r="AT131" s="199"/>
      <c r="AU131" s="199"/>
      <c r="AV131" s="199"/>
      <c r="AW131" s="199"/>
      <c r="AX131" s="199"/>
      <c r="AY131" s="199"/>
      <c r="AZ131" s="199"/>
      <c r="BA131" s="199"/>
      <c r="BB131" s="199"/>
      <c r="BC131" s="199"/>
      <c r="BD131" s="199"/>
      <c r="BE131" s="199"/>
      <c r="BF131" s="199"/>
      <c r="BG131" s="199"/>
      <c r="BH131" s="199"/>
      <c r="BI131" s="199"/>
      <c r="BJ131" s="199"/>
      <c r="BK131" s="199"/>
      <c r="BL131" s="199"/>
      <c r="BM131" s="199"/>
      <c r="BN131" s="199"/>
      <c r="BO131" s="199"/>
      <c r="BP131" s="199"/>
      <c r="BQ131" s="199"/>
      <c r="BR131" s="199"/>
      <c r="BS131" s="199"/>
      <c r="BT131" s="199"/>
      <c r="BU131" s="199"/>
      <c r="BV131" s="199"/>
      <c r="BW131" s="199"/>
      <c r="BX131" s="199"/>
      <c r="BY131" s="199"/>
      <c r="BZ131" s="199"/>
    </row>
    <row r="132" spans="1:78">
      <c r="A132" s="41" t="s">
        <v>125</v>
      </c>
      <c r="B132" s="22" t="str">
        <f t="shared" ref="B132:B144" si="92">IF(A132="*","","COM_PROJ")</f>
        <v>COM_PROJ</v>
      </c>
      <c r="C132" s="23" t="str">
        <f t="shared" ref="C132:C144" si="93">IF($A132="*","","-")</f>
        <v>-</v>
      </c>
      <c r="D132" s="61" t="str">
        <f>ITEMS_TRA!C15</f>
        <v>TFLCV</v>
      </c>
      <c r="E132" s="23" t="str">
        <f t="shared" ref="E132:H144" si="94">IF($A132="*","","-")</f>
        <v>-</v>
      </c>
      <c r="F132" s="23" t="str">
        <f t="shared" si="94"/>
        <v>-</v>
      </c>
      <c r="G132" s="23" t="str">
        <f t="shared" si="94"/>
        <v>-</v>
      </c>
      <c r="H132" s="23" t="str">
        <f t="shared" si="94"/>
        <v>-</v>
      </c>
      <c r="I132" s="135">
        <f t="shared" ref="I132:I144" si="95">IF(A132="*","",0)</f>
        <v>0</v>
      </c>
      <c r="J132" s="200">
        <f t="shared" ref="J132:AP132" si="96">INDEX($K111:$AY111,MATCH(J$127,$K$106:$AY$106,0))</f>
        <v>43.11250375056882</v>
      </c>
      <c r="K132" s="200">
        <f t="shared" si="96"/>
        <v>43.541669167045889</v>
      </c>
      <c r="L132" s="200">
        <f t="shared" si="96"/>
        <v>43.970834583522958</v>
      </c>
      <c r="M132" s="200">
        <f t="shared" si="96"/>
        <v>44.4</v>
      </c>
      <c r="N132" s="200">
        <f t="shared" si="96"/>
        <v>44.871410582810697</v>
      </c>
      <c r="O132" s="200">
        <f t="shared" si="96"/>
        <v>45.342821165621402</v>
      </c>
      <c r="P132" s="200">
        <f t="shared" si="96"/>
        <v>45.179311841840047</v>
      </c>
      <c r="Q132" s="200">
        <f t="shared" si="96"/>
        <v>45.015802518058692</v>
      </c>
      <c r="R132" s="200">
        <f t="shared" si="96"/>
        <v>44.85229319427733</v>
      </c>
      <c r="S132" s="200">
        <f t="shared" si="96"/>
        <v>46.551708382803803</v>
      </c>
      <c r="T132" s="200">
        <f t="shared" si="96"/>
        <v>48.251123571330275</v>
      </c>
      <c r="U132" s="200">
        <f t="shared" si="96"/>
        <v>49.950538759856748</v>
      </c>
      <c r="V132" s="200">
        <f t="shared" si="96"/>
        <v>51.649953948383221</v>
      </c>
      <c r="W132" s="200">
        <f t="shared" si="96"/>
        <v>53.349369136909694</v>
      </c>
      <c r="X132" s="200">
        <f t="shared" si="96"/>
        <v>55.048784325436166</v>
      </c>
      <c r="Y132" s="200">
        <f t="shared" si="96"/>
        <v>56.748199513962639</v>
      </c>
      <c r="Z132" s="200">
        <f t="shared" ref="Z132:Z144" si="97">INDEX($K111:$AY111,MATCH(Z$127,$K$106:$AY$106,0))</f>
        <v>58.447614702489112</v>
      </c>
      <c r="AA132" s="200">
        <f t="shared" si="96"/>
        <v>60.147029891015585</v>
      </c>
      <c r="AB132" s="200">
        <f t="shared" si="96"/>
        <v>61.846445079542072</v>
      </c>
      <c r="AC132" s="200">
        <f t="shared" si="96"/>
        <v>64.577416493628107</v>
      </c>
      <c r="AD132" s="200">
        <f t="shared" si="96"/>
        <v>67.308387907714135</v>
      </c>
      <c r="AE132" s="200">
        <f t="shared" si="96"/>
        <v>70.039359321800163</v>
      </c>
      <c r="AF132" s="200">
        <f t="shared" si="96"/>
        <v>72.770330735886191</v>
      </c>
      <c r="AG132" s="200">
        <f t="shared" si="96"/>
        <v>75.501302149972219</v>
      </c>
      <c r="AH132" s="200">
        <f t="shared" si="96"/>
        <v>78.232273564058247</v>
      </c>
      <c r="AI132" s="200">
        <f t="shared" si="96"/>
        <v>80.963244978144274</v>
      </c>
      <c r="AJ132" s="200">
        <f t="shared" si="96"/>
        <v>83.694216392230302</v>
      </c>
      <c r="AK132" s="200">
        <f t="shared" si="96"/>
        <v>86.42518780631633</v>
      </c>
      <c r="AL132" s="200">
        <f t="shared" si="96"/>
        <v>89.156159220402401</v>
      </c>
      <c r="AM132" s="200">
        <f t="shared" si="96"/>
        <v>111.25154590280788</v>
      </c>
      <c r="AN132" s="200">
        <f t="shared" si="96"/>
        <v>133.34693258521338</v>
      </c>
      <c r="AO132" s="200">
        <f t="shared" si="96"/>
        <v>133.34693258521338</v>
      </c>
      <c r="AP132" s="200">
        <f t="shared" si="96"/>
        <v>133.34693258521338</v>
      </c>
    </row>
    <row r="133" spans="1:78">
      <c r="A133" s="41"/>
      <c r="B133" s="22" t="str">
        <f t="shared" si="92"/>
        <v>COM_PROJ</v>
      </c>
      <c r="C133" s="23" t="str">
        <f t="shared" si="93"/>
        <v>-</v>
      </c>
      <c r="D133" s="61" t="str">
        <f>ITEMS_TRA!C16</f>
        <v>TFHCV1</v>
      </c>
      <c r="E133" s="23" t="str">
        <f t="shared" si="94"/>
        <v>-</v>
      </c>
      <c r="F133" s="23" t="str">
        <f t="shared" si="94"/>
        <v>-</v>
      </c>
      <c r="G133" s="23" t="str">
        <f t="shared" si="94"/>
        <v>-</v>
      </c>
      <c r="H133" s="23" t="str">
        <f t="shared" si="94"/>
        <v>-</v>
      </c>
      <c r="I133" s="135">
        <f t="shared" si="95"/>
        <v>0</v>
      </c>
      <c r="J133" s="200">
        <f t="shared" ref="J133:AP133" si="98">INDEX($K112:$AY112,MATCH(J$127,$K$106:$AY$106,0))</f>
        <v>3.310563752317667</v>
      </c>
      <c r="K133" s="200">
        <f t="shared" si="98"/>
        <v>3.3405637523176668</v>
      </c>
      <c r="L133" s="200">
        <f t="shared" si="98"/>
        <v>3.3705637523176666</v>
      </c>
      <c r="M133" s="200">
        <f t="shared" si="98"/>
        <v>3.4</v>
      </c>
      <c r="N133" s="200">
        <f t="shared" si="98"/>
        <v>3.4249999999999998</v>
      </c>
      <c r="O133" s="200">
        <f t="shared" si="98"/>
        <v>3.45</v>
      </c>
      <c r="P133" s="200">
        <f t="shared" si="98"/>
        <v>3.3904650521296027</v>
      </c>
      <c r="Q133" s="200">
        <f t="shared" si="98"/>
        <v>3.3309301042592052</v>
      </c>
      <c r="R133" s="200">
        <f t="shared" si="98"/>
        <v>3.2713951563888077</v>
      </c>
      <c r="S133" s="200">
        <f t="shared" si="98"/>
        <v>3.3727910380302379</v>
      </c>
      <c r="T133" s="200">
        <f t="shared" si="98"/>
        <v>3.4741869196716682</v>
      </c>
      <c r="U133" s="200">
        <f t="shared" si="98"/>
        <v>3.5755828013130984</v>
      </c>
      <c r="V133" s="200">
        <f t="shared" si="98"/>
        <v>3.6769786829545286</v>
      </c>
      <c r="W133" s="200">
        <f t="shared" si="98"/>
        <v>3.7783745645959588</v>
      </c>
      <c r="X133" s="200">
        <f t="shared" si="98"/>
        <v>3.879770446237389</v>
      </c>
      <c r="Y133" s="200">
        <f t="shared" si="98"/>
        <v>3.9811663278788192</v>
      </c>
      <c r="Z133" s="200">
        <f t="shared" si="97"/>
        <v>4.0825622095202494</v>
      </c>
      <c r="AA133" s="200">
        <f t="shared" si="98"/>
        <v>4.1839580911616796</v>
      </c>
      <c r="AB133" s="200">
        <f t="shared" si="98"/>
        <v>4.2853539728031098</v>
      </c>
      <c r="AC133" s="200">
        <f t="shared" si="98"/>
        <v>4.4436953403755775</v>
      </c>
      <c r="AD133" s="200">
        <f t="shared" si="98"/>
        <v>4.6020367079480451</v>
      </c>
      <c r="AE133" s="200">
        <f t="shared" si="98"/>
        <v>4.7603780755205127</v>
      </c>
      <c r="AF133" s="200">
        <f t="shared" si="98"/>
        <v>4.9187194430929804</v>
      </c>
      <c r="AG133" s="200">
        <f t="shared" si="98"/>
        <v>5.077060810665448</v>
      </c>
      <c r="AH133" s="200">
        <f t="shared" si="98"/>
        <v>5.2354021782379156</v>
      </c>
      <c r="AI133" s="200">
        <f t="shared" si="98"/>
        <v>5.3937435458103833</v>
      </c>
      <c r="AJ133" s="200">
        <f t="shared" si="98"/>
        <v>5.5520849133828509</v>
      </c>
      <c r="AK133" s="200">
        <f t="shared" si="98"/>
        <v>5.7104262809553186</v>
      </c>
      <c r="AL133" s="200">
        <f t="shared" si="98"/>
        <v>5.8687676485277898</v>
      </c>
      <c r="AM133" s="200">
        <f t="shared" si="98"/>
        <v>7.103770786915037</v>
      </c>
      <c r="AN133" s="200">
        <f t="shared" si="98"/>
        <v>8.3387739253022843</v>
      </c>
      <c r="AO133" s="200">
        <f t="shared" si="98"/>
        <v>8.3387739253022843</v>
      </c>
      <c r="AP133" s="200">
        <f t="shared" si="98"/>
        <v>8.3387739253022843</v>
      </c>
    </row>
    <row r="134" spans="1:78">
      <c r="A134" s="41"/>
      <c r="B134" s="22" t="str">
        <f t="shared" si="92"/>
        <v>COM_PROJ</v>
      </c>
      <c r="C134" s="23" t="str">
        <f t="shared" si="93"/>
        <v>-</v>
      </c>
      <c r="D134" s="61" t="str">
        <f>ITEMS_TRA!C17</f>
        <v>TFHCV2</v>
      </c>
      <c r="E134" s="23" t="str">
        <f t="shared" si="94"/>
        <v>-</v>
      </c>
      <c r="F134" s="23" t="str">
        <f t="shared" si="94"/>
        <v>-</v>
      </c>
      <c r="G134" s="23" t="str">
        <f t="shared" si="94"/>
        <v>-</v>
      </c>
      <c r="H134" s="23" t="str">
        <f t="shared" si="94"/>
        <v>-</v>
      </c>
      <c r="I134" s="135">
        <f t="shared" si="95"/>
        <v>0</v>
      </c>
      <c r="J134" s="200">
        <f t="shared" ref="J134:AP134" si="99">INDEX($K113:$AY113,MATCH(J$127,$K$106:$AY$106,0))</f>
        <v>0.6547839540708813</v>
      </c>
      <c r="K134" s="200">
        <f t="shared" si="99"/>
        <v>0.67123078144835724</v>
      </c>
      <c r="L134" s="200">
        <f t="shared" si="99"/>
        <v>0.68767760882583318</v>
      </c>
      <c r="M134" s="200">
        <f t="shared" si="99"/>
        <v>0.704124436203308</v>
      </c>
      <c r="N134" s="200">
        <f t="shared" si="99"/>
        <v>0.72006693722491655</v>
      </c>
      <c r="O134" s="200">
        <f t="shared" si="99"/>
        <v>0.73600943824652509</v>
      </c>
      <c r="P134" s="200">
        <f t="shared" si="99"/>
        <v>0.71774213313838819</v>
      </c>
      <c r="Q134" s="200">
        <f t="shared" si="99"/>
        <v>0.69947482803025129</v>
      </c>
      <c r="R134" s="200">
        <f t="shared" si="99"/>
        <v>0.68120752292211428</v>
      </c>
      <c r="S134" s="200">
        <f t="shared" si="99"/>
        <v>0.69950340577038861</v>
      </c>
      <c r="T134" s="200">
        <f t="shared" si="99"/>
        <v>0.71779928861866293</v>
      </c>
      <c r="U134" s="200">
        <f t="shared" si="99"/>
        <v>0.73609517146693726</v>
      </c>
      <c r="V134" s="200">
        <f t="shared" si="99"/>
        <v>0.75439105431521158</v>
      </c>
      <c r="W134" s="200">
        <f t="shared" si="99"/>
        <v>0.77268693716348591</v>
      </c>
      <c r="X134" s="200">
        <f t="shared" si="99"/>
        <v>0.79098282001176023</v>
      </c>
      <c r="Y134" s="200">
        <f t="shared" si="99"/>
        <v>0.80927870286003456</v>
      </c>
      <c r="Z134" s="200">
        <f t="shared" si="97"/>
        <v>0.82757458570830889</v>
      </c>
      <c r="AA134" s="200">
        <f t="shared" si="99"/>
        <v>0.84587046855658321</v>
      </c>
      <c r="AB134" s="200">
        <f t="shared" si="99"/>
        <v>0.86416635140485754</v>
      </c>
      <c r="AC134" s="200">
        <f t="shared" si="99"/>
        <v>0.89360528408124174</v>
      </c>
      <c r="AD134" s="200">
        <f t="shared" si="99"/>
        <v>0.92304421675762593</v>
      </c>
      <c r="AE134" s="200">
        <f t="shared" si="99"/>
        <v>0.95248314943401013</v>
      </c>
      <c r="AF134" s="200">
        <f t="shared" si="99"/>
        <v>0.98192208211039433</v>
      </c>
      <c r="AG134" s="200">
        <f t="shared" si="99"/>
        <v>1.0113610147867784</v>
      </c>
      <c r="AH134" s="200">
        <f t="shared" si="99"/>
        <v>1.0407999474631626</v>
      </c>
      <c r="AI134" s="200">
        <f t="shared" si="99"/>
        <v>1.0702388801395468</v>
      </c>
      <c r="AJ134" s="200">
        <f t="shared" si="99"/>
        <v>1.099677812815931</v>
      </c>
      <c r="AK134" s="200">
        <f t="shared" si="99"/>
        <v>1.1291167454923152</v>
      </c>
      <c r="AL134" s="200">
        <f t="shared" si="99"/>
        <v>1.1585556781686994</v>
      </c>
      <c r="AM134" s="200">
        <f t="shared" si="99"/>
        <v>1.3850301166353032</v>
      </c>
      <c r="AN134" s="200">
        <f t="shared" si="99"/>
        <v>1.6115045551019063</v>
      </c>
      <c r="AO134" s="200">
        <f t="shared" si="99"/>
        <v>1.6115045551019063</v>
      </c>
      <c r="AP134" s="200">
        <f t="shared" si="99"/>
        <v>1.6115045551019063</v>
      </c>
    </row>
    <row r="135" spans="1:78">
      <c r="A135" s="41"/>
      <c r="B135" s="22" t="str">
        <f t="shared" si="92"/>
        <v>COM_PROJ</v>
      </c>
      <c r="C135" s="23" t="str">
        <f t="shared" si="93"/>
        <v>-</v>
      </c>
      <c r="D135" s="61" t="str">
        <f>ITEMS_TRA!C18</f>
        <v>TFHCV3</v>
      </c>
      <c r="E135" s="23" t="str">
        <f t="shared" si="94"/>
        <v>-</v>
      </c>
      <c r="F135" s="23" t="str">
        <f t="shared" si="94"/>
        <v>-</v>
      </c>
      <c r="G135" s="23" t="str">
        <f t="shared" si="94"/>
        <v>-</v>
      </c>
      <c r="H135" s="23" t="str">
        <f t="shared" si="94"/>
        <v>-</v>
      </c>
      <c r="I135" s="135">
        <f t="shared" si="95"/>
        <v>0</v>
      </c>
      <c r="J135" s="200">
        <f t="shared" ref="J135:AP135" si="100">INDEX($K114:$AY114,MATCH(J$127,$K$106:$AY$106,0))</f>
        <v>2.7114063478211388</v>
      </c>
      <c r="K135" s="200">
        <f t="shared" si="100"/>
        <v>2.7742708985474289</v>
      </c>
      <c r="L135" s="200">
        <f t="shared" si="100"/>
        <v>2.8371354492737191</v>
      </c>
      <c r="M135" s="200">
        <f t="shared" si="100"/>
        <v>2.9</v>
      </c>
      <c r="N135" s="200">
        <f t="shared" si="100"/>
        <v>2.9652984627095749</v>
      </c>
      <c r="O135" s="200">
        <f t="shared" si="100"/>
        <v>3.0305969254191498</v>
      </c>
      <c r="P135" s="200">
        <f t="shared" si="100"/>
        <v>2.9606726726268029</v>
      </c>
      <c r="Q135" s="200">
        <f t="shared" si="100"/>
        <v>2.890748419834456</v>
      </c>
      <c r="R135" s="200">
        <f t="shared" si="100"/>
        <v>2.8208241670421086</v>
      </c>
      <c r="S135" s="200">
        <f t="shared" si="100"/>
        <v>2.8965859088889969</v>
      </c>
      <c r="T135" s="200">
        <f t="shared" si="100"/>
        <v>2.9723476507358848</v>
      </c>
      <c r="U135" s="200">
        <f t="shared" si="100"/>
        <v>3.0481093925827727</v>
      </c>
      <c r="V135" s="200">
        <f t="shared" si="100"/>
        <v>3.1238711344296606</v>
      </c>
      <c r="W135" s="200">
        <f t="shared" si="100"/>
        <v>3.1996328762765485</v>
      </c>
      <c r="X135" s="200">
        <f t="shared" si="100"/>
        <v>3.2753946181234364</v>
      </c>
      <c r="Y135" s="200">
        <f t="shared" si="100"/>
        <v>3.3511563599703242</v>
      </c>
      <c r="Z135" s="200">
        <f t="shared" si="97"/>
        <v>3.4269181018172121</v>
      </c>
      <c r="AA135" s="200">
        <f t="shared" si="100"/>
        <v>3.5026798436641</v>
      </c>
      <c r="AB135" s="200">
        <f t="shared" si="100"/>
        <v>3.5784415855109897</v>
      </c>
      <c r="AC135" s="200">
        <f t="shared" si="100"/>
        <v>3.700345777627442</v>
      </c>
      <c r="AD135" s="200">
        <f t="shared" si="100"/>
        <v>3.8222499697438943</v>
      </c>
      <c r="AE135" s="200">
        <f t="shared" si="100"/>
        <v>3.9441541618603466</v>
      </c>
      <c r="AF135" s="200">
        <f t="shared" si="100"/>
        <v>4.0660583539767989</v>
      </c>
      <c r="AG135" s="200">
        <f t="shared" si="100"/>
        <v>4.1879625460932512</v>
      </c>
      <c r="AH135" s="200">
        <f t="shared" si="100"/>
        <v>4.3098667382097036</v>
      </c>
      <c r="AI135" s="200">
        <f t="shared" si="100"/>
        <v>4.4317709303261559</v>
      </c>
      <c r="AJ135" s="200">
        <f t="shared" si="100"/>
        <v>4.5536751224426082</v>
      </c>
      <c r="AK135" s="200">
        <f t="shared" si="100"/>
        <v>4.6755793145590605</v>
      </c>
      <c r="AL135" s="200">
        <f t="shared" si="100"/>
        <v>4.7974835066755146</v>
      </c>
      <c r="AM135" s="200">
        <f t="shared" si="100"/>
        <v>5.7352954769595375</v>
      </c>
      <c r="AN135" s="200">
        <f t="shared" si="100"/>
        <v>6.6731074472435576</v>
      </c>
      <c r="AO135" s="200">
        <f t="shared" si="100"/>
        <v>6.6731074472435576</v>
      </c>
      <c r="AP135" s="200">
        <f t="shared" si="100"/>
        <v>6.6731074472435576</v>
      </c>
    </row>
    <row r="136" spans="1:78">
      <c r="A136" s="41"/>
      <c r="B136" s="22" t="str">
        <f t="shared" si="92"/>
        <v>COM_PROJ</v>
      </c>
      <c r="C136" s="23" t="str">
        <f t="shared" si="93"/>
        <v>-</v>
      </c>
      <c r="D136" s="61" t="str">
        <f>ITEMS_TRA!C19</f>
        <v>TFHCV4</v>
      </c>
      <c r="E136" s="23" t="str">
        <f t="shared" si="94"/>
        <v>-</v>
      </c>
      <c r="F136" s="23" t="str">
        <f t="shared" si="94"/>
        <v>-</v>
      </c>
      <c r="G136" s="23" t="str">
        <f t="shared" si="94"/>
        <v>-</v>
      </c>
      <c r="H136" s="23" t="str">
        <f t="shared" si="94"/>
        <v>-</v>
      </c>
      <c r="I136" s="135">
        <f t="shared" si="95"/>
        <v>0</v>
      </c>
      <c r="J136" s="200">
        <f t="shared" ref="J136:AP136" si="101">INDEX($K115:$AY115,MATCH(J$127,$K$106:$AY$106,0))</f>
        <v>0.57023972229676956</v>
      </c>
      <c r="K136" s="200">
        <f t="shared" si="101"/>
        <v>0.55900373411704862</v>
      </c>
      <c r="L136" s="200">
        <f t="shared" si="101"/>
        <v>0.54776774593732769</v>
      </c>
      <c r="M136" s="200">
        <f t="shared" si="101"/>
        <v>0.53653175775760331</v>
      </c>
      <c r="N136" s="200">
        <f t="shared" si="101"/>
        <v>0.54016937887880168</v>
      </c>
      <c r="O136" s="200">
        <f t="shared" si="101"/>
        <v>0.54380700000000004</v>
      </c>
      <c r="P136" s="200">
        <f t="shared" si="101"/>
        <v>0.56028851311836958</v>
      </c>
      <c r="Q136" s="200">
        <f t="shared" si="101"/>
        <v>0.57677002623673912</v>
      </c>
      <c r="R136" s="200">
        <f t="shared" si="101"/>
        <v>0.59325153935510855</v>
      </c>
      <c r="S136" s="200">
        <f t="shared" si="101"/>
        <v>0.6091850989509271</v>
      </c>
      <c r="T136" s="200">
        <f t="shared" si="101"/>
        <v>0.62511865854674564</v>
      </c>
      <c r="U136" s="200">
        <f t="shared" si="101"/>
        <v>0.64105221814256419</v>
      </c>
      <c r="V136" s="200">
        <f t="shared" si="101"/>
        <v>0.65698577773838274</v>
      </c>
      <c r="W136" s="200">
        <f t="shared" si="101"/>
        <v>0.67291933733420128</v>
      </c>
      <c r="X136" s="200">
        <f t="shared" si="101"/>
        <v>0.68885289693001983</v>
      </c>
      <c r="Y136" s="200">
        <f t="shared" si="101"/>
        <v>0.70478645652583838</v>
      </c>
      <c r="Z136" s="200">
        <f t="shared" si="97"/>
        <v>0.72072001612165693</v>
      </c>
      <c r="AA136" s="200">
        <f t="shared" si="101"/>
        <v>0.73665357571747547</v>
      </c>
      <c r="AB136" s="200">
        <f t="shared" si="101"/>
        <v>0.75258713531329446</v>
      </c>
      <c r="AC136" s="200">
        <f t="shared" si="101"/>
        <v>0.7782249792001612</v>
      </c>
      <c r="AD136" s="200">
        <f t="shared" si="101"/>
        <v>0.80386282308702794</v>
      </c>
      <c r="AE136" s="200">
        <f t="shared" si="101"/>
        <v>0.82950066697389468</v>
      </c>
      <c r="AF136" s="200">
        <f t="shared" si="101"/>
        <v>0.85513851086076142</v>
      </c>
      <c r="AG136" s="200">
        <f t="shared" si="101"/>
        <v>0.88077635474762817</v>
      </c>
      <c r="AH136" s="200">
        <f t="shared" si="101"/>
        <v>0.90641419863449491</v>
      </c>
      <c r="AI136" s="200">
        <f t="shared" si="101"/>
        <v>0.93205204252136165</v>
      </c>
      <c r="AJ136" s="200">
        <f t="shared" si="101"/>
        <v>0.95768988640822839</v>
      </c>
      <c r="AK136" s="200">
        <f t="shared" si="101"/>
        <v>0.98332773029509513</v>
      </c>
      <c r="AL136" s="200">
        <f t="shared" si="101"/>
        <v>1.0089655741819614</v>
      </c>
      <c r="AM136" s="200">
        <f t="shared" si="101"/>
        <v>1.2061981424139745</v>
      </c>
      <c r="AN136" s="200">
        <f t="shared" si="101"/>
        <v>1.4034307106459869</v>
      </c>
      <c r="AO136" s="200">
        <f t="shared" si="101"/>
        <v>1.4034307106459869</v>
      </c>
      <c r="AP136" s="200">
        <f t="shared" si="101"/>
        <v>1.4034307106459869</v>
      </c>
    </row>
    <row r="137" spans="1:78">
      <c r="A137" s="41"/>
      <c r="B137" s="22" t="str">
        <f t="shared" si="92"/>
        <v>COM_PROJ</v>
      </c>
      <c r="C137" s="23" t="str">
        <f t="shared" si="93"/>
        <v>-</v>
      </c>
      <c r="D137" s="61" t="str">
        <f>ITEMS_TRA!C20</f>
        <v>TFHCV5</v>
      </c>
      <c r="E137" s="23" t="str">
        <f t="shared" si="94"/>
        <v>-</v>
      </c>
      <c r="F137" s="23" t="str">
        <f t="shared" si="94"/>
        <v>-</v>
      </c>
      <c r="G137" s="23" t="str">
        <f t="shared" si="94"/>
        <v>-</v>
      </c>
      <c r="H137" s="23" t="str">
        <f t="shared" si="94"/>
        <v>-</v>
      </c>
      <c r="I137" s="135">
        <f t="shared" si="95"/>
        <v>0</v>
      </c>
      <c r="J137" s="200">
        <f t="shared" ref="J137:AP137" si="102">INDEX($K116:$AY116,MATCH(J$127,$K$106:$AY$106,0))</f>
        <v>0.27326501935541331</v>
      </c>
      <c r="K137" s="200">
        <f t="shared" si="102"/>
        <v>0.27740453823694228</v>
      </c>
      <c r="L137" s="200">
        <f t="shared" si="102"/>
        <v>0.28154405711847125</v>
      </c>
      <c r="M137" s="200">
        <f t="shared" si="102"/>
        <v>0.28568357599999999</v>
      </c>
      <c r="N137" s="200">
        <f t="shared" si="102"/>
        <v>0.2876204765</v>
      </c>
      <c r="O137" s="200">
        <f t="shared" si="102"/>
        <v>0.289557377</v>
      </c>
      <c r="P137" s="200">
        <f t="shared" si="102"/>
        <v>0.28780242801534867</v>
      </c>
      <c r="Q137" s="200">
        <f t="shared" si="102"/>
        <v>0.28604747903069733</v>
      </c>
      <c r="R137" s="200">
        <f t="shared" si="102"/>
        <v>0.28429253004604604</v>
      </c>
      <c r="S137" s="200">
        <f t="shared" si="102"/>
        <v>0.29192806349119954</v>
      </c>
      <c r="T137" s="200">
        <f t="shared" si="102"/>
        <v>0.29956359693635304</v>
      </c>
      <c r="U137" s="200">
        <f t="shared" si="102"/>
        <v>0.30719913038150654</v>
      </c>
      <c r="V137" s="200">
        <f t="shared" si="102"/>
        <v>0.31483466382666003</v>
      </c>
      <c r="W137" s="200">
        <f t="shared" si="102"/>
        <v>0.32247019727181353</v>
      </c>
      <c r="X137" s="200">
        <f t="shared" si="102"/>
        <v>0.33010573071696703</v>
      </c>
      <c r="Y137" s="200">
        <f t="shared" si="102"/>
        <v>0.33774126416212052</v>
      </c>
      <c r="Z137" s="200">
        <f t="shared" si="97"/>
        <v>0.34537679760727402</v>
      </c>
      <c r="AA137" s="200">
        <f t="shared" si="102"/>
        <v>0.35301233105242752</v>
      </c>
      <c r="AB137" s="200">
        <f t="shared" si="102"/>
        <v>0.36064786449758096</v>
      </c>
      <c r="AC137" s="200">
        <f t="shared" si="102"/>
        <v>0.37293379554033218</v>
      </c>
      <c r="AD137" s="200">
        <f t="shared" si="102"/>
        <v>0.3852197265830834</v>
      </c>
      <c r="AE137" s="200">
        <f t="shared" si="102"/>
        <v>0.39750565762583462</v>
      </c>
      <c r="AF137" s="200">
        <f t="shared" si="102"/>
        <v>0.40979158866858584</v>
      </c>
      <c r="AG137" s="200">
        <f t="shared" si="102"/>
        <v>0.42207751971133706</v>
      </c>
      <c r="AH137" s="200">
        <f t="shared" si="102"/>
        <v>0.43436345075408828</v>
      </c>
      <c r="AI137" s="200">
        <f t="shared" si="102"/>
        <v>0.4466493817968395</v>
      </c>
      <c r="AJ137" s="200">
        <f t="shared" si="102"/>
        <v>0.45893531283959071</v>
      </c>
      <c r="AK137" s="200">
        <f t="shared" si="102"/>
        <v>0.47122124388234193</v>
      </c>
      <c r="AL137" s="200">
        <f t="shared" si="102"/>
        <v>0.48350717492509332</v>
      </c>
      <c r="AM137" s="200">
        <f t="shared" si="102"/>
        <v>0.5780231468366217</v>
      </c>
      <c r="AN137" s="200">
        <f t="shared" si="102"/>
        <v>0.67253911874814976</v>
      </c>
      <c r="AO137" s="200">
        <f t="shared" si="102"/>
        <v>0.67253911874814976</v>
      </c>
      <c r="AP137" s="200">
        <f t="shared" si="102"/>
        <v>0.67253911874814976</v>
      </c>
    </row>
    <row r="138" spans="1:78">
      <c r="A138" s="41"/>
      <c r="B138" s="22" t="str">
        <f t="shared" si="92"/>
        <v>COM_PROJ</v>
      </c>
      <c r="C138" s="23" t="str">
        <f t="shared" si="93"/>
        <v>-</v>
      </c>
      <c r="D138" s="61" t="str">
        <f>ITEMS_TRA!C21</f>
        <v>TFHCV6</v>
      </c>
      <c r="E138" s="23" t="str">
        <f t="shared" si="94"/>
        <v>-</v>
      </c>
      <c r="F138" s="23" t="str">
        <f t="shared" si="94"/>
        <v>-</v>
      </c>
      <c r="G138" s="23" t="str">
        <f t="shared" si="94"/>
        <v>-</v>
      </c>
      <c r="H138" s="23" t="str">
        <f t="shared" si="94"/>
        <v>-</v>
      </c>
      <c r="I138" s="135">
        <f t="shared" si="95"/>
        <v>0</v>
      </c>
      <c r="J138" s="200">
        <f t="shared" ref="J138:AP138" si="103">INDEX($K117:$AY117,MATCH(J$127,$K$106:$AY$106,0))</f>
        <v>5.0361375113209643</v>
      </c>
      <c r="K138" s="200">
        <f t="shared" si="103"/>
        <v>5.3607583408806443</v>
      </c>
      <c r="L138" s="200">
        <f t="shared" si="103"/>
        <v>5.6853791704403243</v>
      </c>
      <c r="M138" s="200">
        <f t="shared" si="103"/>
        <v>6.01</v>
      </c>
      <c r="N138" s="200">
        <f t="shared" si="103"/>
        <v>6.3253919226144593</v>
      </c>
      <c r="O138" s="200">
        <f t="shared" si="103"/>
        <v>6.6407838452289196</v>
      </c>
      <c r="P138" s="200">
        <f t="shared" si="103"/>
        <v>6.1736455678261564</v>
      </c>
      <c r="Q138" s="200">
        <f t="shared" si="103"/>
        <v>5.7065072904233931</v>
      </c>
      <c r="R138" s="200">
        <f t="shared" si="103"/>
        <v>5.239369013020629</v>
      </c>
      <c r="S138" s="200">
        <f t="shared" si="103"/>
        <v>5.3800880720966457</v>
      </c>
      <c r="T138" s="200">
        <f t="shared" si="103"/>
        <v>5.5208071311726625</v>
      </c>
      <c r="U138" s="200">
        <f t="shared" si="103"/>
        <v>5.6615261902486793</v>
      </c>
      <c r="V138" s="200">
        <f t="shared" si="103"/>
        <v>5.8022452493246961</v>
      </c>
      <c r="W138" s="200">
        <f t="shared" si="103"/>
        <v>5.9429643084007129</v>
      </c>
      <c r="X138" s="200">
        <f t="shared" si="103"/>
        <v>6.0836833674767297</v>
      </c>
      <c r="Y138" s="200">
        <f t="shared" si="103"/>
        <v>6.2244024265527464</v>
      </c>
      <c r="Z138" s="200">
        <f t="shared" si="97"/>
        <v>6.3651214856287632</v>
      </c>
      <c r="AA138" s="200">
        <f t="shared" si="103"/>
        <v>6.50584054470478</v>
      </c>
      <c r="AB138" s="200">
        <f t="shared" si="103"/>
        <v>6.6465596037807968</v>
      </c>
      <c r="AC138" s="200">
        <f t="shared" si="103"/>
        <v>6.8729831626097013</v>
      </c>
      <c r="AD138" s="200">
        <f t="shared" si="103"/>
        <v>7.0994067214386058</v>
      </c>
      <c r="AE138" s="200">
        <f t="shared" si="103"/>
        <v>7.3258302802675104</v>
      </c>
      <c r="AF138" s="200">
        <f t="shared" si="103"/>
        <v>7.5522538390964149</v>
      </c>
      <c r="AG138" s="200">
        <f t="shared" si="103"/>
        <v>7.7786773979253194</v>
      </c>
      <c r="AH138" s="200">
        <f t="shared" si="103"/>
        <v>8.0051009567542248</v>
      </c>
      <c r="AI138" s="200">
        <f t="shared" si="103"/>
        <v>8.2315245155831303</v>
      </c>
      <c r="AJ138" s="200">
        <f t="shared" si="103"/>
        <v>8.4579480744120357</v>
      </c>
      <c r="AK138" s="200">
        <f t="shared" si="103"/>
        <v>8.6843716332409411</v>
      </c>
      <c r="AL138" s="200">
        <f t="shared" si="103"/>
        <v>8.9107951920698447</v>
      </c>
      <c r="AM138" s="200">
        <f t="shared" si="103"/>
        <v>10.652677240073647</v>
      </c>
      <c r="AN138" s="200">
        <f t="shared" si="103"/>
        <v>12.394559288077447</v>
      </c>
      <c r="AO138" s="200">
        <f t="shared" si="103"/>
        <v>12.394559288077447</v>
      </c>
      <c r="AP138" s="200">
        <f t="shared" si="103"/>
        <v>12.394559288077447</v>
      </c>
    </row>
    <row r="139" spans="1:78">
      <c r="A139" s="41"/>
      <c r="B139" s="22" t="str">
        <f t="shared" si="92"/>
        <v>COM_PROJ</v>
      </c>
      <c r="C139" s="23" t="str">
        <f t="shared" si="93"/>
        <v>-</v>
      </c>
      <c r="D139" s="61" t="str">
        <f>ITEMS_TRA!C22</f>
        <v>TFHCV7</v>
      </c>
      <c r="E139" s="23" t="str">
        <f t="shared" si="94"/>
        <v>-</v>
      </c>
      <c r="F139" s="23" t="str">
        <f t="shared" si="94"/>
        <v>-</v>
      </c>
      <c r="G139" s="23" t="str">
        <f t="shared" si="94"/>
        <v>-</v>
      </c>
      <c r="H139" s="23" t="str">
        <f t="shared" si="94"/>
        <v>-</v>
      </c>
      <c r="I139" s="135">
        <f t="shared" si="95"/>
        <v>0</v>
      </c>
      <c r="J139" s="200">
        <f t="shared" ref="J139:AP139" si="104">INDEX($K118:$AY118,MATCH(J$127,$K$106:$AY$106,0))</f>
        <v>1.5653068685251963</v>
      </c>
      <c r="K139" s="200">
        <f t="shared" si="104"/>
        <v>1.6102045790167996</v>
      </c>
      <c r="L139" s="200">
        <f t="shared" si="104"/>
        <v>1.6551022895084029</v>
      </c>
      <c r="M139" s="200">
        <f t="shared" si="104"/>
        <v>1.7</v>
      </c>
      <c r="N139" s="200">
        <f t="shared" si="104"/>
        <v>1.74</v>
      </c>
      <c r="O139" s="200">
        <f t="shared" si="104"/>
        <v>1.78</v>
      </c>
      <c r="P139" s="200">
        <f t="shared" si="104"/>
        <v>1.7294914197228428</v>
      </c>
      <c r="Q139" s="200">
        <f t="shared" si="104"/>
        <v>1.6789828394456856</v>
      </c>
      <c r="R139" s="200">
        <f t="shared" si="104"/>
        <v>1.6284742591685284</v>
      </c>
      <c r="S139" s="200">
        <f t="shared" si="104"/>
        <v>1.6722118475900001</v>
      </c>
      <c r="T139" s="200">
        <f t="shared" si="104"/>
        <v>1.7159494360114718</v>
      </c>
      <c r="U139" s="200">
        <f t="shared" si="104"/>
        <v>1.7596870244329434</v>
      </c>
      <c r="V139" s="200">
        <f t="shared" si="104"/>
        <v>1.8034246128544151</v>
      </c>
      <c r="W139" s="200">
        <f t="shared" si="104"/>
        <v>1.8471622012758868</v>
      </c>
      <c r="X139" s="200">
        <f t="shared" si="104"/>
        <v>1.8908997896973585</v>
      </c>
      <c r="Y139" s="200">
        <f t="shared" si="104"/>
        <v>1.9346373781188302</v>
      </c>
      <c r="Z139" s="200">
        <f t="shared" si="97"/>
        <v>1.9783749665403019</v>
      </c>
      <c r="AA139" s="200">
        <f t="shared" si="104"/>
        <v>2.0221125549617738</v>
      </c>
      <c r="AB139" s="200">
        <f t="shared" si="104"/>
        <v>2.0658501433832459</v>
      </c>
      <c r="AC139" s="200">
        <f t="shared" si="104"/>
        <v>2.1362259722866623</v>
      </c>
      <c r="AD139" s="200">
        <f t="shared" si="104"/>
        <v>2.2066018011900788</v>
      </c>
      <c r="AE139" s="200">
        <f t="shared" si="104"/>
        <v>2.2769776300934952</v>
      </c>
      <c r="AF139" s="200">
        <f t="shared" si="104"/>
        <v>2.3473534589969116</v>
      </c>
      <c r="AG139" s="200">
        <f t="shared" si="104"/>
        <v>2.417729287900328</v>
      </c>
      <c r="AH139" s="200">
        <f t="shared" si="104"/>
        <v>2.4881051168037445</v>
      </c>
      <c r="AI139" s="200">
        <f t="shared" si="104"/>
        <v>2.5584809457071609</v>
      </c>
      <c r="AJ139" s="200">
        <f t="shared" si="104"/>
        <v>2.6288567746105773</v>
      </c>
      <c r="AK139" s="200">
        <f t="shared" si="104"/>
        <v>2.6992326035139937</v>
      </c>
      <c r="AL139" s="200">
        <f t="shared" si="104"/>
        <v>2.7696084324174115</v>
      </c>
      <c r="AM139" s="200">
        <f t="shared" si="104"/>
        <v>3.3110114278224962</v>
      </c>
      <c r="AN139" s="200">
        <f t="shared" si="104"/>
        <v>3.852414423227581</v>
      </c>
      <c r="AO139" s="200">
        <f t="shared" si="104"/>
        <v>3.852414423227581</v>
      </c>
      <c r="AP139" s="200">
        <f t="shared" si="104"/>
        <v>3.852414423227581</v>
      </c>
    </row>
    <row r="140" spans="1:78">
      <c r="A140" s="41" t="s">
        <v>125</v>
      </c>
      <c r="B140" s="22" t="str">
        <f t="shared" si="92"/>
        <v>COM_PROJ</v>
      </c>
      <c r="C140" s="23" t="str">
        <f t="shared" si="93"/>
        <v>-</v>
      </c>
      <c r="D140" s="61" t="str">
        <f>ITEMS_TRA!C23</f>
        <v>TFHCV8</v>
      </c>
      <c r="E140" s="23" t="str">
        <f t="shared" si="94"/>
        <v>-</v>
      </c>
      <c r="F140" s="23" t="str">
        <f t="shared" si="94"/>
        <v>-</v>
      </c>
      <c r="G140" s="23" t="str">
        <f t="shared" si="94"/>
        <v>-</v>
      </c>
      <c r="H140" s="23" t="str">
        <f t="shared" si="94"/>
        <v>-</v>
      </c>
      <c r="I140" s="135">
        <f t="shared" si="95"/>
        <v>0</v>
      </c>
      <c r="J140" s="200">
        <f t="shared" ref="J140:AP140" si="105">INDEX($K119:$AY119,MATCH(J$127,$K$106:$AY$106,0))</f>
        <v>5.8486156921973939E-2</v>
      </c>
      <c r="K140" s="200">
        <f t="shared" si="105"/>
        <v>6.5622085483256903E-2</v>
      </c>
      <c r="L140" s="200">
        <f t="shared" si="105"/>
        <v>7.2758014044539868E-2</v>
      </c>
      <c r="M140" s="200">
        <f t="shared" si="105"/>
        <v>7.9893942605822804E-2</v>
      </c>
      <c r="N140" s="200">
        <f t="shared" si="105"/>
        <v>9.0970063028559395E-2</v>
      </c>
      <c r="O140" s="200">
        <f t="shared" si="105"/>
        <v>0.102046183451296</v>
      </c>
      <c r="P140" s="200">
        <f t="shared" si="105"/>
        <v>8.8312903821014643E-2</v>
      </c>
      <c r="Q140" s="200">
        <f t="shared" si="105"/>
        <v>7.4579624190733287E-2</v>
      </c>
      <c r="R140" s="200">
        <f t="shared" si="105"/>
        <v>6.0846344560451945E-2</v>
      </c>
      <c r="S140" s="200">
        <f t="shared" si="105"/>
        <v>6.2480556682843677E-2</v>
      </c>
      <c r="T140" s="200">
        <f t="shared" si="105"/>
        <v>6.4114768805235409E-2</v>
      </c>
      <c r="U140" s="200">
        <f t="shared" si="105"/>
        <v>6.574898092762714E-2</v>
      </c>
      <c r="V140" s="200">
        <f t="shared" si="105"/>
        <v>6.7383193050018872E-2</v>
      </c>
      <c r="W140" s="200">
        <f t="shared" si="105"/>
        <v>6.9017405172410604E-2</v>
      </c>
      <c r="X140" s="200">
        <f t="shared" si="105"/>
        <v>7.0651617294802335E-2</v>
      </c>
      <c r="Y140" s="200">
        <f t="shared" si="105"/>
        <v>7.2285829417194067E-2</v>
      </c>
      <c r="Z140" s="200">
        <f t="shared" si="97"/>
        <v>7.3920041539585798E-2</v>
      </c>
      <c r="AA140" s="200">
        <f t="shared" si="105"/>
        <v>7.555425366197753E-2</v>
      </c>
      <c r="AB140" s="200">
        <f t="shared" si="105"/>
        <v>7.7188465784369248E-2</v>
      </c>
      <c r="AC140" s="200">
        <f t="shared" si="105"/>
        <v>7.981798965315369E-2</v>
      </c>
      <c r="AD140" s="200">
        <f t="shared" si="105"/>
        <v>8.2447513521938132E-2</v>
      </c>
      <c r="AE140" s="200">
        <f t="shared" si="105"/>
        <v>8.5077037390722574E-2</v>
      </c>
      <c r="AF140" s="200">
        <f t="shared" si="105"/>
        <v>8.7706561259507015E-2</v>
      </c>
      <c r="AG140" s="200">
        <f t="shared" si="105"/>
        <v>9.0336085128291457E-2</v>
      </c>
      <c r="AH140" s="200">
        <f t="shared" si="105"/>
        <v>9.2965608997075899E-2</v>
      </c>
      <c r="AI140" s="200">
        <f t="shared" si="105"/>
        <v>9.5595132865860341E-2</v>
      </c>
      <c r="AJ140" s="200">
        <f t="shared" si="105"/>
        <v>9.8224656734644783E-2</v>
      </c>
      <c r="AK140" s="200">
        <f t="shared" si="105"/>
        <v>0.10085418060342922</v>
      </c>
      <c r="AL140" s="200">
        <f t="shared" si="105"/>
        <v>0.10348370447221361</v>
      </c>
      <c r="AM140" s="200">
        <f t="shared" si="105"/>
        <v>0.12371269674458661</v>
      </c>
      <c r="AN140" s="200">
        <f t="shared" si="105"/>
        <v>0.14394168901695967</v>
      </c>
      <c r="AO140" s="200">
        <f t="shared" si="105"/>
        <v>0.14394168901695967</v>
      </c>
      <c r="AP140" s="200">
        <f t="shared" si="105"/>
        <v>0.14394168901695967</v>
      </c>
    </row>
    <row r="141" spans="1:78">
      <c r="A141" s="41" t="s">
        <v>125</v>
      </c>
      <c r="B141" s="22" t="str">
        <f t="shared" si="92"/>
        <v>COM_PROJ</v>
      </c>
      <c r="C141" s="23" t="str">
        <f t="shared" si="93"/>
        <v>-</v>
      </c>
      <c r="D141" s="61" t="str">
        <f>ITEMS_TRA!C24</f>
        <v>TFHCV9</v>
      </c>
      <c r="E141" s="23" t="str">
        <f t="shared" si="94"/>
        <v>-</v>
      </c>
      <c r="F141" s="23" t="str">
        <f t="shared" si="94"/>
        <v>-</v>
      </c>
      <c r="G141" s="23" t="str">
        <f t="shared" si="94"/>
        <v>-</v>
      </c>
      <c r="H141" s="23" t="str">
        <f t="shared" si="94"/>
        <v>-</v>
      </c>
      <c r="I141" s="135">
        <f t="shared" si="95"/>
        <v>0</v>
      </c>
      <c r="J141" s="200">
        <f t="shared" ref="J141:AP141" si="106">INDEX($K120:$AY120,MATCH(J$127,$K$106:$AY$106,0))</f>
        <v>3.9969372950314989E-2</v>
      </c>
      <c r="K141" s="200">
        <f t="shared" si="106"/>
        <v>3.4102559292729893E-2</v>
      </c>
      <c r="L141" s="200">
        <f t="shared" si="106"/>
        <v>2.8235745635144794E-2</v>
      </c>
      <c r="M141" s="200">
        <f t="shared" si="106"/>
        <v>2.2368931977559604E-2</v>
      </c>
      <c r="N141" s="200">
        <f t="shared" si="106"/>
        <v>2.2519965988779801E-2</v>
      </c>
      <c r="O141" s="200">
        <f t="shared" si="106"/>
        <v>2.2670999999999997E-2</v>
      </c>
      <c r="P141" s="200">
        <f t="shared" si="106"/>
        <v>2.8974774163731166E-2</v>
      </c>
      <c r="Q141" s="200">
        <f t="shared" si="106"/>
        <v>3.5278548327462335E-2</v>
      </c>
      <c r="R141" s="200">
        <f t="shared" si="106"/>
        <v>4.1582322491193507E-2</v>
      </c>
      <c r="S141" s="200">
        <f t="shared" si="106"/>
        <v>4.2699141192188712E-2</v>
      </c>
      <c r="T141" s="200">
        <f t="shared" si="106"/>
        <v>4.3815959893183917E-2</v>
      </c>
      <c r="U141" s="200">
        <f t="shared" si="106"/>
        <v>4.4932778594179122E-2</v>
      </c>
      <c r="V141" s="200">
        <f t="shared" si="106"/>
        <v>4.6049597295174327E-2</v>
      </c>
      <c r="W141" s="200">
        <f t="shared" si="106"/>
        <v>4.7166415996169532E-2</v>
      </c>
      <c r="X141" s="200">
        <f t="shared" si="106"/>
        <v>4.8283234697164737E-2</v>
      </c>
      <c r="Y141" s="200">
        <f t="shared" si="106"/>
        <v>4.9400053398159942E-2</v>
      </c>
      <c r="Z141" s="200">
        <f t="shared" si="97"/>
        <v>5.0516872099155147E-2</v>
      </c>
      <c r="AA141" s="200">
        <f t="shared" si="106"/>
        <v>5.1633690800150352E-2</v>
      </c>
      <c r="AB141" s="200">
        <f t="shared" si="106"/>
        <v>5.275050950114557E-2</v>
      </c>
      <c r="AC141" s="200">
        <f t="shared" si="106"/>
        <v>5.4547523114698841E-2</v>
      </c>
      <c r="AD141" s="200">
        <f t="shared" si="106"/>
        <v>5.6344536728252112E-2</v>
      </c>
      <c r="AE141" s="200">
        <f t="shared" si="106"/>
        <v>5.8141550341805383E-2</v>
      </c>
      <c r="AF141" s="200">
        <f t="shared" si="106"/>
        <v>5.9938563955358654E-2</v>
      </c>
      <c r="AG141" s="200">
        <f t="shared" si="106"/>
        <v>6.1735577568911924E-2</v>
      </c>
      <c r="AH141" s="200">
        <f t="shared" si="106"/>
        <v>6.3532591182465195E-2</v>
      </c>
      <c r="AI141" s="200">
        <f t="shared" si="106"/>
        <v>6.5329604796018473E-2</v>
      </c>
      <c r="AJ141" s="200">
        <f t="shared" si="106"/>
        <v>6.7126618409571751E-2</v>
      </c>
      <c r="AK141" s="200">
        <f t="shared" si="106"/>
        <v>6.8923632023125028E-2</v>
      </c>
      <c r="AL141" s="200">
        <f t="shared" si="106"/>
        <v>7.0720645636678292E-2</v>
      </c>
      <c r="AM141" s="200">
        <f t="shared" si="106"/>
        <v>8.4545115889052475E-2</v>
      </c>
      <c r="AN141" s="200">
        <f t="shared" si="106"/>
        <v>9.8369586141426629E-2</v>
      </c>
      <c r="AO141" s="200">
        <f t="shared" si="106"/>
        <v>9.8369586141426629E-2</v>
      </c>
      <c r="AP141" s="200">
        <f t="shared" si="106"/>
        <v>9.8369586141426629E-2</v>
      </c>
    </row>
    <row r="142" spans="1:78">
      <c r="A142" s="41" t="s">
        <v>125</v>
      </c>
      <c r="B142" s="22" t="str">
        <f t="shared" si="92"/>
        <v>COM_PROJ</v>
      </c>
      <c r="C142" s="23" t="str">
        <f t="shared" si="93"/>
        <v>-</v>
      </c>
      <c r="D142" s="61" t="str">
        <f>ITEMS_TRA!C25</f>
        <v>TFRCO</v>
      </c>
      <c r="E142" s="23" t="str">
        <f t="shared" si="94"/>
        <v>-</v>
      </c>
      <c r="F142" s="23" t="str">
        <f t="shared" si="94"/>
        <v>-</v>
      </c>
      <c r="G142" s="23" t="str">
        <f t="shared" si="94"/>
        <v>-</v>
      </c>
      <c r="H142" s="23" t="str">
        <f t="shared" si="94"/>
        <v>-</v>
      </c>
      <c r="I142" s="135">
        <f t="shared" si="95"/>
        <v>0</v>
      </c>
      <c r="J142" s="200">
        <f t="shared" ref="J142:AP142" si="107">INDEX($K121:$AY121,MATCH(J$127,$K$106:$AY$106,0))</f>
        <v>22</v>
      </c>
      <c r="K142" s="200">
        <f t="shared" si="107"/>
        <v>22.407647056507475</v>
      </c>
      <c r="L142" s="200">
        <f t="shared" si="107"/>
        <v>22.81529411301495</v>
      </c>
      <c r="M142" s="200">
        <f t="shared" si="107"/>
        <v>23.222941169522429</v>
      </c>
      <c r="N142" s="200">
        <f t="shared" si="107"/>
        <v>23.45448568927641</v>
      </c>
      <c r="O142" s="200">
        <f t="shared" si="107"/>
        <v>23.686030209030392</v>
      </c>
      <c r="P142" s="200">
        <f t="shared" si="107"/>
        <v>23.419954144818554</v>
      </c>
      <c r="Q142" s="200">
        <f t="shared" si="107"/>
        <v>23.153878080606717</v>
      </c>
      <c r="R142" s="200">
        <f t="shared" si="107"/>
        <v>22.887802016394883</v>
      </c>
      <c r="S142" s="200">
        <f t="shared" si="107"/>
        <v>25.487568601803119</v>
      </c>
      <c r="T142" s="200">
        <f t="shared" si="107"/>
        <v>28.087335187211355</v>
      </c>
      <c r="U142" s="200">
        <f t="shared" si="107"/>
        <v>30.687101772619592</v>
      </c>
      <c r="V142" s="200">
        <f t="shared" si="107"/>
        <v>33.286868358027832</v>
      </c>
      <c r="W142" s="200">
        <f t="shared" si="107"/>
        <v>35.886634943436071</v>
      </c>
      <c r="X142" s="200">
        <f t="shared" si="107"/>
        <v>38.486401528844311</v>
      </c>
      <c r="Y142" s="200">
        <f t="shared" si="107"/>
        <v>41.086168114252551</v>
      </c>
      <c r="Z142" s="200">
        <f t="shared" si="97"/>
        <v>43.685934699660791</v>
      </c>
      <c r="AA142" s="200">
        <f t="shared" si="107"/>
        <v>46.285701285069031</v>
      </c>
      <c r="AB142" s="200">
        <f t="shared" si="107"/>
        <v>48.88546787047725</v>
      </c>
      <c r="AC142" s="200">
        <f t="shared" si="107"/>
        <v>53.054703373493318</v>
      </c>
      <c r="AD142" s="200">
        <f t="shared" si="107"/>
        <v>57.223938876509386</v>
      </c>
      <c r="AE142" s="200">
        <f t="shared" si="107"/>
        <v>61.393174379525455</v>
      </c>
      <c r="AF142" s="200">
        <f t="shared" si="107"/>
        <v>65.562409882541516</v>
      </c>
      <c r="AG142" s="200">
        <f t="shared" si="107"/>
        <v>69.731645385557584</v>
      </c>
      <c r="AH142" s="200">
        <f t="shared" si="107"/>
        <v>73.900880888573653</v>
      </c>
      <c r="AI142" s="200">
        <f t="shared" si="107"/>
        <v>78.070116391589721</v>
      </c>
      <c r="AJ142" s="200">
        <f t="shared" si="107"/>
        <v>82.23935189460579</v>
      </c>
      <c r="AK142" s="200">
        <f t="shared" si="107"/>
        <v>86.408587397621858</v>
      </c>
      <c r="AL142" s="200">
        <f t="shared" si="107"/>
        <v>90.577822900637926</v>
      </c>
      <c r="AM142" s="200">
        <f t="shared" si="107"/>
        <v>127.00875867012493</v>
      </c>
      <c r="AN142" s="200">
        <f t="shared" si="107"/>
        <v>163.43969443961191</v>
      </c>
      <c r="AO142" s="200">
        <f t="shared" si="107"/>
        <v>163.43969443961191</v>
      </c>
      <c r="AP142" s="200">
        <f t="shared" si="107"/>
        <v>163.43969443961191</v>
      </c>
    </row>
    <row r="143" spans="1:78">
      <c r="A143" s="41"/>
      <c r="B143" s="22" t="str">
        <f t="shared" si="92"/>
        <v>COM_PROJ</v>
      </c>
      <c r="C143" s="23" t="str">
        <f t="shared" si="93"/>
        <v>-</v>
      </c>
      <c r="D143" s="61" t="str">
        <f>ITEMS_TRA!C26</f>
        <v>TFROT</v>
      </c>
      <c r="E143" s="23" t="str">
        <f t="shared" si="94"/>
        <v>-</v>
      </c>
      <c r="F143" s="23" t="str">
        <f t="shared" si="94"/>
        <v>-</v>
      </c>
      <c r="G143" s="23" t="str">
        <f t="shared" si="94"/>
        <v>-</v>
      </c>
      <c r="H143" s="23" t="str">
        <f t="shared" si="94"/>
        <v>-</v>
      </c>
      <c r="I143" s="135">
        <f t="shared" si="95"/>
        <v>0</v>
      </c>
      <c r="J143" s="200">
        <f t="shared" ref="J143:AP143" si="108">INDEX($K122:$AY122,MATCH(J$127,$K$106:$AY$106,0))</f>
        <v>25.1</v>
      </c>
      <c r="K143" s="200">
        <f t="shared" si="108"/>
        <v>25.565088232651718</v>
      </c>
      <c r="L143" s="200">
        <f t="shared" si="108"/>
        <v>26.030176465303434</v>
      </c>
      <c r="M143" s="200">
        <f t="shared" si="108"/>
        <v>26.495264697955154</v>
      </c>
      <c r="N143" s="200">
        <f t="shared" si="108"/>
        <v>26.891657045383518</v>
      </c>
      <c r="O143" s="200">
        <f t="shared" si="108"/>
        <v>27.288049392811885</v>
      </c>
      <c r="P143" s="200">
        <f t="shared" si="108"/>
        <v>26.981510191502863</v>
      </c>
      <c r="Q143" s="200">
        <f t="shared" si="108"/>
        <v>26.674970990193842</v>
      </c>
      <c r="R143" s="200">
        <f t="shared" si="108"/>
        <v>26.368431788884816</v>
      </c>
      <c r="S143" s="200">
        <f t="shared" si="108"/>
        <v>27.40098233685374</v>
      </c>
      <c r="T143" s="200">
        <f t="shared" si="108"/>
        <v>28.433532884822664</v>
      </c>
      <c r="U143" s="200">
        <f t="shared" si="108"/>
        <v>29.466083432791589</v>
      </c>
      <c r="V143" s="200">
        <f t="shared" si="108"/>
        <v>30.498633980760513</v>
      </c>
      <c r="W143" s="200">
        <f t="shared" si="108"/>
        <v>31.531184528729437</v>
      </c>
      <c r="X143" s="200">
        <f t="shared" si="108"/>
        <v>32.563735076698357</v>
      </c>
      <c r="Y143" s="200">
        <f t="shared" si="108"/>
        <v>33.596285624667281</v>
      </c>
      <c r="Z143" s="200">
        <f t="shared" si="97"/>
        <v>34.628836172636206</v>
      </c>
      <c r="AA143" s="200">
        <f t="shared" si="108"/>
        <v>35.66138672060513</v>
      </c>
      <c r="AB143" s="200">
        <f t="shared" si="108"/>
        <v>36.693937268574047</v>
      </c>
      <c r="AC143" s="200">
        <f t="shared" si="108"/>
        <v>38.360083352691525</v>
      </c>
      <c r="AD143" s="200">
        <f t="shared" si="108"/>
        <v>40.026229436809004</v>
      </c>
      <c r="AE143" s="200">
        <f t="shared" si="108"/>
        <v>41.692375520926483</v>
      </c>
      <c r="AF143" s="200">
        <f t="shared" si="108"/>
        <v>43.358521605043961</v>
      </c>
      <c r="AG143" s="200">
        <f t="shared" si="108"/>
        <v>45.02466768916144</v>
      </c>
      <c r="AH143" s="200">
        <f t="shared" si="108"/>
        <v>46.690813773278919</v>
      </c>
      <c r="AI143" s="200">
        <f t="shared" si="108"/>
        <v>48.356959857396397</v>
      </c>
      <c r="AJ143" s="200">
        <f t="shared" si="108"/>
        <v>50.023105941513876</v>
      </c>
      <c r="AK143" s="200">
        <f t="shared" si="108"/>
        <v>51.689252025631355</v>
      </c>
      <c r="AL143" s="200">
        <f t="shared" si="108"/>
        <v>53.355398109748847</v>
      </c>
      <c r="AM143" s="200">
        <f t="shared" si="108"/>
        <v>66.904029164859097</v>
      </c>
      <c r="AN143" s="200">
        <f t="shared" si="108"/>
        <v>80.452660219969331</v>
      </c>
      <c r="AO143" s="200">
        <f t="shared" si="108"/>
        <v>80.452660219969331</v>
      </c>
      <c r="AP143" s="200">
        <f t="shared" si="108"/>
        <v>80.452660219969331</v>
      </c>
    </row>
    <row r="144" spans="1:78">
      <c r="A144" s="126"/>
      <c r="B144" s="22" t="str">
        <f t="shared" si="92"/>
        <v>COM_PROJ</v>
      </c>
      <c r="C144" s="136" t="str">
        <f t="shared" si="93"/>
        <v>-</v>
      </c>
      <c r="D144" s="61" t="str">
        <f>ITEMS_TRA!C27</f>
        <v>TFREX</v>
      </c>
      <c r="E144" s="136" t="str">
        <f t="shared" si="94"/>
        <v>-</v>
      </c>
      <c r="F144" s="136" t="str">
        <f t="shared" si="94"/>
        <v>-</v>
      </c>
      <c r="G144" s="136" t="str">
        <f t="shared" si="94"/>
        <v>-</v>
      </c>
      <c r="H144" s="136" t="str">
        <f t="shared" si="94"/>
        <v>-</v>
      </c>
      <c r="I144" s="137">
        <f t="shared" si="95"/>
        <v>0</v>
      </c>
      <c r="J144" s="200">
        <f t="shared" ref="J144:AP144" si="109">INDEX($K123:$AY123,MATCH(J$127,$K$106:$AY$106,0))</f>
        <v>82</v>
      </c>
      <c r="K144" s="200">
        <f t="shared" si="109"/>
        <v>82</v>
      </c>
      <c r="L144" s="200">
        <f t="shared" si="109"/>
        <v>82</v>
      </c>
      <c r="M144" s="200">
        <f t="shared" si="109"/>
        <v>82</v>
      </c>
      <c r="N144" s="200">
        <f t="shared" si="109"/>
        <v>82</v>
      </c>
      <c r="O144" s="200">
        <f t="shared" si="109"/>
        <v>82</v>
      </c>
      <c r="P144" s="200">
        <f t="shared" si="109"/>
        <v>80.333090323072156</v>
      </c>
      <c r="Q144" s="200">
        <f t="shared" si="109"/>
        <v>78.666180646144312</v>
      </c>
      <c r="R144" s="200">
        <f t="shared" si="109"/>
        <v>76.999270969216482</v>
      </c>
      <c r="S144" s="200">
        <f t="shared" si="109"/>
        <v>79.135375281788185</v>
      </c>
      <c r="T144" s="200">
        <f t="shared" si="109"/>
        <v>81.271479594359903</v>
      </c>
      <c r="U144" s="200">
        <f t="shared" si="109"/>
        <v>83.40758390693162</v>
      </c>
      <c r="V144" s="200">
        <f t="shared" si="109"/>
        <v>85.543688219503338</v>
      </c>
      <c r="W144" s="200">
        <f t="shared" si="109"/>
        <v>87.679792532075055</v>
      </c>
      <c r="X144" s="200">
        <f t="shared" si="109"/>
        <v>89.815896844646772</v>
      </c>
      <c r="Y144" s="200">
        <f t="shared" si="109"/>
        <v>91.95200115721849</v>
      </c>
      <c r="Z144" s="200">
        <f t="shared" si="97"/>
        <v>94.088105469790207</v>
      </c>
      <c r="AA144" s="200">
        <f t="shared" si="109"/>
        <v>96.224209782361925</v>
      </c>
      <c r="AB144" s="200">
        <f t="shared" si="109"/>
        <v>98.360314094933585</v>
      </c>
      <c r="AC144" s="200">
        <f t="shared" si="109"/>
        <v>101.69681486905661</v>
      </c>
      <c r="AD144" s="200">
        <f t="shared" si="109"/>
        <v>105.03331564317963</v>
      </c>
      <c r="AE144" s="200">
        <f t="shared" si="109"/>
        <v>108.36981641730266</v>
      </c>
      <c r="AF144" s="200">
        <f t="shared" si="109"/>
        <v>111.70631719142568</v>
      </c>
      <c r="AG144" s="200">
        <f t="shared" si="109"/>
        <v>115.04281796554871</v>
      </c>
      <c r="AH144" s="200">
        <f t="shared" si="109"/>
        <v>118.37931873967173</v>
      </c>
      <c r="AI144" s="200">
        <f t="shared" si="109"/>
        <v>121.71581951379476</v>
      </c>
      <c r="AJ144" s="200">
        <f t="shared" si="109"/>
        <v>125.05232028791778</v>
      </c>
      <c r="AK144" s="200">
        <f t="shared" si="109"/>
        <v>128.38882106204079</v>
      </c>
      <c r="AL144" s="200">
        <f t="shared" si="109"/>
        <v>131.72532183616377</v>
      </c>
      <c r="AM144" s="200">
        <f t="shared" si="109"/>
        <v>161.45807919856674</v>
      </c>
      <c r="AN144" s="200">
        <f t="shared" si="109"/>
        <v>191.19083656096981</v>
      </c>
      <c r="AO144" s="200">
        <f t="shared" si="109"/>
        <v>191.19083656096981</v>
      </c>
      <c r="AP144" s="200">
        <f t="shared" si="109"/>
        <v>191.19083656096981</v>
      </c>
    </row>
    <row r="145" spans="7:51">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7:51">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7:51">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7: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7: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7: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7: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7: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7: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7: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7: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7: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7: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7: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7: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7: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ht="23.25">
      <c r="A165" s="124" t="s">
        <v>16</v>
      </c>
      <c r="B165" s="128" t="s">
        <v>18</v>
      </c>
      <c r="C165" s="128" t="s">
        <v>19</v>
      </c>
      <c r="D165" s="128" t="s">
        <v>20</v>
      </c>
      <c r="E165" s="128" t="s">
        <v>21</v>
      </c>
      <c r="F165" s="128" t="s">
        <v>22</v>
      </c>
      <c r="G165" s="128" t="s">
        <v>23</v>
      </c>
      <c r="H165" s="128"/>
      <c r="I165" s="128" t="s">
        <v>24</v>
      </c>
      <c r="J165" s="129" t="s">
        <v>25</v>
      </c>
      <c r="K165" s="199">
        <v>2012</v>
      </c>
      <c r="L165" s="199">
        <v>2013</v>
      </c>
      <c r="M165" s="199">
        <v>2014</v>
      </c>
      <c r="N165" s="199">
        <v>2015</v>
      </c>
      <c r="O165" s="199">
        <v>2016</v>
      </c>
      <c r="P165" s="199">
        <v>2017</v>
      </c>
      <c r="Q165" s="199">
        <v>2018</v>
      </c>
      <c r="R165" s="199">
        <v>2019</v>
      </c>
      <c r="S165" s="199">
        <v>2020</v>
      </c>
      <c r="T165" s="199">
        <v>2021</v>
      </c>
      <c r="U165" s="199">
        <v>2022</v>
      </c>
      <c r="V165" s="199">
        <v>2023</v>
      </c>
      <c r="W165" s="199">
        <v>2024</v>
      </c>
      <c r="X165" s="199">
        <v>2025</v>
      </c>
      <c r="Y165" s="199">
        <v>2026</v>
      </c>
      <c r="Z165" s="199">
        <v>2027</v>
      </c>
      <c r="AA165" s="199">
        <v>2028</v>
      </c>
      <c r="AB165" s="199">
        <v>2029</v>
      </c>
      <c r="AC165" s="199">
        <v>2030</v>
      </c>
      <c r="AD165" s="199">
        <v>2031</v>
      </c>
      <c r="AE165" s="199">
        <v>2032</v>
      </c>
      <c r="AF165" s="199">
        <v>2033</v>
      </c>
      <c r="AG165" s="199">
        <v>2034</v>
      </c>
      <c r="AH165" s="199">
        <v>2035</v>
      </c>
      <c r="AI165" s="199">
        <v>2036</v>
      </c>
      <c r="AJ165" s="199">
        <v>2037</v>
      </c>
      <c r="AK165" s="199">
        <v>2038</v>
      </c>
      <c r="AL165" s="199">
        <v>2039</v>
      </c>
      <c r="AM165" s="199">
        <v>2040</v>
      </c>
      <c r="AN165" s="199">
        <v>2041</v>
      </c>
      <c r="AO165" s="199">
        <v>2042</v>
      </c>
      <c r="AP165" s="199">
        <v>2043</v>
      </c>
      <c r="AQ165" s="199">
        <v>2044</v>
      </c>
    </row>
    <row r="166" spans="1:78" s="205" customFormat="1">
      <c r="A166" s="124" t="s">
        <v>16</v>
      </c>
      <c r="B166" s="205" t="s">
        <v>392</v>
      </c>
      <c r="C166" s="205">
        <v>1</v>
      </c>
      <c r="D166" s="205">
        <v>2006</v>
      </c>
      <c r="E166" s="205">
        <v>2010</v>
      </c>
      <c r="F166" s="205">
        <v>2020</v>
      </c>
      <c r="G166" s="205">
        <v>2030</v>
      </c>
      <c r="I166" s="205">
        <v>2040</v>
      </c>
      <c r="J166" s="254">
        <v>2050</v>
      </c>
      <c r="K166" s="205">
        <f t="shared" ref="K166:AQ166" si="110">MATCH(J$127,$C$128:$I$128,$C166)</f>
        <v>1</v>
      </c>
      <c r="L166" s="205">
        <f t="shared" si="110"/>
        <v>1</v>
      </c>
      <c r="M166" s="205">
        <f t="shared" si="110"/>
        <v>1</v>
      </c>
      <c r="N166" s="205">
        <f t="shared" si="110"/>
        <v>2</v>
      </c>
      <c r="O166" s="205">
        <f t="shared" si="110"/>
        <v>2</v>
      </c>
      <c r="P166" s="205">
        <f t="shared" si="110"/>
        <v>3</v>
      </c>
      <c r="Q166" s="205">
        <f t="shared" si="110"/>
        <v>3</v>
      </c>
      <c r="R166" s="205">
        <f t="shared" si="110"/>
        <v>3</v>
      </c>
      <c r="S166" s="205">
        <f t="shared" si="110"/>
        <v>4</v>
      </c>
      <c r="T166" s="205">
        <f t="shared" si="110"/>
        <v>4</v>
      </c>
      <c r="U166" s="205">
        <f t="shared" si="110"/>
        <v>4</v>
      </c>
      <c r="V166" s="205">
        <f t="shared" si="110"/>
        <v>4</v>
      </c>
      <c r="W166" s="205">
        <f t="shared" si="110"/>
        <v>4</v>
      </c>
      <c r="X166" s="205">
        <f t="shared" si="110"/>
        <v>4</v>
      </c>
      <c r="Y166" s="205">
        <f t="shared" si="110"/>
        <v>4</v>
      </c>
      <c r="Z166" s="205">
        <f>MATCH(Y$127,$C$128:$I$128,$C166)</f>
        <v>4</v>
      </c>
      <c r="AA166" s="205">
        <f>MATCH(Z$127,$C$128:$I$128,$C166)</f>
        <v>4</v>
      </c>
      <c r="AB166" s="205">
        <f t="shared" si="110"/>
        <v>4</v>
      </c>
      <c r="AC166" s="205">
        <f t="shared" si="110"/>
        <v>5</v>
      </c>
      <c r="AD166" s="205">
        <f t="shared" si="110"/>
        <v>5</v>
      </c>
      <c r="AE166" s="205">
        <f t="shared" si="110"/>
        <v>5</v>
      </c>
      <c r="AF166" s="205">
        <f t="shared" si="110"/>
        <v>5</v>
      </c>
      <c r="AG166" s="205">
        <f t="shared" si="110"/>
        <v>5</v>
      </c>
      <c r="AH166" s="205">
        <f t="shared" si="110"/>
        <v>5</v>
      </c>
      <c r="AI166" s="205">
        <f t="shared" si="110"/>
        <v>5</v>
      </c>
      <c r="AJ166" s="205">
        <f t="shared" si="110"/>
        <v>5</v>
      </c>
      <c r="AK166" s="205">
        <f t="shared" si="110"/>
        <v>5</v>
      </c>
      <c r="AL166" s="205">
        <f t="shared" si="110"/>
        <v>5</v>
      </c>
      <c r="AM166" s="205">
        <f t="shared" si="110"/>
        <v>6</v>
      </c>
      <c r="AN166" s="205">
        <f t="shared" si="110"/>
        <v>6</v>
      </c>
      <c r="AO166" s="205">
        <f t="shared" si="110"/>
        <v>7</v>
      </c>
      <c r="AP166" s="205">
        <f t="shared" si="110"/>
        <v>7</v>
      </c>
      <c r="AQ166" s="205">
        <f t="shared" si="110"/>
        <v>7</v>
      </c>
      <c r="AR166" s="199"/>
      <c r="AS166" s="199"/>
      <c r="AT166" s="199"/>
      <c r="AU166" s="199"/>
      <c r="AV166" s="199"/>
      <c r="AW166" s="199"/>
      <c r="AX166" s="199"/>
      <c r="AY166" s="199"/>
      <c r="AZ166" s="199"/>
      <c r="BA166" s="199"/>
      <c r="BB166" s="199"/>
      <c r="BC166" s="199"/>
      <c r="BD166" s="199"/>
      <c r="BE166" s="199"/>
      <c r="BF166" s="199"/>
      <c r="BG166" s="199"/>
      <c r="BH166" s="199"/>
      <c r="BI166" s="199"/>
      <c r="BJ166" s="199"/>
      <c r="BK166" s="199"/>
      <c r="BL166" s="199"/>
      <c r="BM166" s="199"/>
      <c r="BN166" s="199"/>
      <c r="BO166" s="199"/>
      <c r="BP166" s="199"/>
      <c r="BQ166" s="199"/>
      <c r="BR166" s="199"/>
      <c r="BS166" s="199"/>
      <c r="BT166" s="199"/>
      <c r="BU166" s="199"/>
      <c r="BV166" s="199"/>
      <c r="BW166" s="199"/>
      <c r="BX166" s="199"/>
      <c r="BY166" s="199"/>
      <c r="BZ166" s="199"/>
    </row>
    <row r="167" spans="1:78">
      <c r="A167" s="41" t="s">
        <v>16</v>
      </c>
      <c r="B167" s="199" t="s">
        <v>393</v>
      </c>
      <c r="C167" s="199">
        <v>0</v>
      </c>
      <c r="D167" s="199">
        <f>INDEX($D166:$J166,0,COUNT($D166:$J166)-D168)</f>
        <v>2040</v>
      </c>
      <c r="E167" s="199">
        <f>INDEX($D166:$J166,0,COUNT($D166:$J166)-E168)</f>
        <v>0</v>
      </c>
      <c r="F167" s="199">
        <f>INDEX($D166:$J166,0,COUNT($D166:$J166)-F168)</f>
        <v>2030</v>
      </c>
      <c r="G167" s="199">
        <f>INDEX($D166:$J166,0,COUNT($D166:$J166)-G168)</f>
        <v>2020</v>
      </c>
      <c r="I167" s="199">
        <f>INDEX($D166:$J166,0,COUNT($D166:$J166)-I168)</f>
        <v>2010</v>
      </c>
      <c r="J167" s="131">
        <f>INDEX($D166:$J166,0,COUNT($D166:$J166)-J168)</f>
        <v>2006</v>
      </c>
      <c r="K167" s="41">
        <f t="shared" ref="K167:AQ167" si="111">MATCH(J$127,$C$128:$I$128,$C167)</f>
        <v>1</v>
      </c>
      <c r="L167" s="199" t="e">
        <f t="shared" si="111"/>
        <v>#N/A</v>
      </c>
      <c r="M167" s="199" t="e">
        <f t="shared" si="111"/>
        <v>#N/A</v>
      </c>
      <c r="N167" s="199">
        <f t="shared" si="111"/>
        <v>2</v>
      </c>
      <c r="O167" s="199" t="e">
        <f t="shared" si="111"/>
        <v>#N/A</v>
      </c>
      <c r="P167" s="199">
        <f t="shared" si="111"/>
        <v>3</v>
      </c>
      <c r="Q167" s="199" t="e">
        <f t="shared" si="111"/>
        <v>#N/A</v>
      </c>
      <c r="R167" s="199" t="e">
        <f t="shared" si="111"/>
        <v>#N/A</v>
      </c>
      <c r="S167" s="199">
        <f t="shared" si="111"/>
        <v>4</v>
      </c>
      <c r="T167" s="199" t="e">
        <f t="shared" si="111"/>
        <v>#N/A</v>
      </c>
      <c r="U167" s="199" t="e">
        <f t="shared" si="111"/>
        <v>#N/A</v>
      </c>
      <c r="V167" s="199" t="e">
        <f t="shared" si="111"/>
        <v>#N/A</v>
      </c>
      <c r="W167" s="199" t="e">
        <f t="shared" si="111"/>
        <v>#N/A</v>
      </c>
      <c r="X167" s="199" t="e">
        <f t="shared" si="111"/>
        <v>#N/A</v>
      </c>
      <c r="Y167" s="199" t="e">
        <f t="shared" si="111"/>
        <v>#N/A</v>
      </c>
      <c r="Z167" s="199" t="e">
        <f>MATCH(Y$127,$C$128:$I$128,$C167)</f>
        <v>#N/A</v>
      </c>
      <c r="AA167" s="199" t="e">
        <f>MATCH(Z$127,$C$128:$I$128,$C167)</f>
        <v>#N/A</v>
      </c>
      <c r="AB167" s="199" t="e">
        <f t="shared" si="111"/>
        <v>#N/A</v>
      </c>
      <c r="AC167" s="199">
        <f t="shared" si="111"/>
        <v>5</v>
      </c>
      <c r="AD167" s="199" t="e">
        <f t="shared" si="111"/>
        <v>#N/A</v>
      </c>
      <c r="AE167" s="199" t="e">
        <f t="shared" si="111"/>
        <v>#N/A</v>
      </c>
      <c r="AF167" s="199" t="e">
        <f t="shared" si="111"/>
        <v>#N/A</v>
      </c>
      <c r="AG167" s="199" t="e">
        <f t="shared" si="111"/>
        <v>#N/A</v>
      </c>
      <c r="AH167" s="199" t="e">
        <f t="shared" si="111"/>
        <v>#N/A</v>
      </c>
      <c r="AI167" s="199" t="e">
        <f t="shared" si="111"/>
        <v>#N/A</v>
      </c>
      <c r="AJ167" s="199" t="e">
        <f t="shared" si="111"/>
        <v>#N/A</v>
      </c>
      <c r="AK167" s="199" t="e">
        <f t="shared" si="111"/>
        <v>#N/A</v>
      </c>
      <c r="AL167" s="199" t="e">
        <f t="shared" si="111"/>
        <v>#N/A</v>
      </c>
      <c r="AM167" s="199">
        <f t="shared" si="111"/>
        <v>6</v>
      </c>
      <c r="AN167" s="199" t="e">
        <f t="shared" si="111"/>
        <v>#N/A</v>
      </c>
      <c r="AO167" s="199">
        <f t="shared" si="111"/>
        <v>7</v>
      </c>
      <c r="AP167" s="199" t="e">
        <f t="shared" si="111"/>
        <v>#N/A</v>
      </c>
      <c r="AQ167" s="199" t="e">
        <f t="shared" si="111"/>
        <v>#N/A</v>
      </c>
    </row>
    <row r="168" spans="1:78">
      <c r="A168" s="41" t="s">
        <v>16</v>
      </c>
      <c r="B168" s="199" t="s">
        <v>391</v>
      </c>
      <c r="C168" s="199">
        <v>-1</v>
      </c>
      <c r="D168" s="199">
        <v>0</v>
      </c>
      <c r="E168" s="199">
        <v>1</v>
      </c>
      <c r="F168" s="199">
        <v>2</v>
      </c>
      <c r="G168" s="199">
        <v>3</v>
      </c>
      <c r="I168" s="199">
        <v>4</v>
      </c>
      <c r="J168" s="199">
        <v>5</v>
      </c>
      <c r="K168" s="41">
        <f t="shared" ref="K168:AQ168" si="112">MATCH(J$127,$C$129:$I$129,$C168)</f>
        <v>7</v>
      </c>
      <c r="L168" s="199">
        <f t="shared" si="112"/>
        <v>6</v>
      </c>
      <c r="M168" s="199">
        <f t="shared" si="112"/>
        <v>6</v>
      </c>
      <c r="N168" s="199">
        <f t="shared" si="112"/>
        <v>6</v>
      </c>
      <c r="O168" s="199">
        <f t="shared" si="112"/>
        <v>5</v>
      </c>
      <c r="P168" s="199">
        <f t="shared" si="112"/>
        <v>5</v>
      </c>
      <c r="Q168" s="199">
        <f t="shared" si="112"/>
        <v>4</v>
      </c>
      <c r="R168" s="199">
        <f t="shared" si="112"/>
        <v>4</v>
      </c>
      <c r="S168" s="199">
        <f t="shared" si="112"/>
        <v>4</v>
      </c>
      <c r="T168" s="199">
        <f t="shared" si="112"/>
        <v>3</v>
      </c>
      <c r="U168" s="199">
        <f t="shared" si="112"/>
        <v>3</v>
      </c>
      <c r="V168" s="199">
        <f t="shared" si="112"/>
        <v>3</v>
      </c>
      <c r="W168" s="199">
        <f t="shared" si="112"/>
        <v>3</v>
      </c>
      <c r="X168" s="199">
        <f t="shared" si="112"/>
        <v>3</v>
      </c>
      <c r="Y168" s="199">
        <f t="shared" si="112"/>
        <v>3</v>
      </c>
      <c r="Z168" s="199">
        <f>MATCH(Y$127,$C$129:$I$129,$C168)</f>
        <v>3</v>
      </c>
      <c r="AA168" s="199">
        <f>MATCH(Z$127,$C$129:$I$129,$C168)</f>
        <v>3</v>
      </c>
      <c r="AB168" s="199">
        <f t="shared" si="112"/>
        <v>3</v>
      </c>
      <c r="AC168" s="199">
        <f t="shared" si="112"/>
        <v>3</v>
      </c>
      <c r="AD168" s="199">
        <f t="shared" si="112"/>
        <v>2</v>
      </c>
      <c r="AE168" s="199">
        <f t="shared" si="112"/>
        <v>2</v>
      </c>
      <c r="AF168" s="199">
        <f t="shared" si="112"/>
        <v>2</v>
      </c>
      <c r="AG168" s="199">
        <f t="shared" si="112"/>
        <v>2</v>
      </c>
      <c r="AH168" s="199">
        <f t="shared" si="112"/>
        <v>2</v>
      </c>
      <c r="AI168" s="199">
        <f t="shared" si="112"/>
        <v>2</v>
      </c>
      <c r="AJ168" s="199">
        <f t="shared" si="112"/>
        <v>2</v>
      </c>
      <c r="AK168" s="199">
        <f t="shared" si="112"/>
        <v>2</v>
      </c>
      <c r="AL168" s="199">
        <f t="shared" si="112"/>
        <v>2</v>
      </c>
      <c r="AM168" s="199">
        <f t="shared" si="112"/>
        <v>2</v>
      </c>
      <c r="AN168" s="199">
        <f t="shared" si="112"/>
        <v>1</v>
      </c>
      <c r="AO168" s="199">
        <f t="shared" si="112"/>
        <v>1</v>
      </c>
      <c r="AP168" s="199" t="e">
        <f t="shared" si="112"/>
        <v>#N/A</v>
      </c>
      <c r="AQ168" s="199" t="e">
        <f t="shared" si="112"/>
        <v>#N/A</v>
      </c>
    </row>
    <row r="169" spans="1:78" s="127" customFormat="1">
      <c r="A169" s="41" t="s">
        <v>16</v>
      </c>
      <c r="B169" s="199" t="s">
        <v>394</v>
      </c>
      <c r="C169" s="199"/>
      <c r="D169" s="199"/>
      <c r="E169" s="199"/>
      <c r="F169" s="199"/>
      <c r="G169" s="199"/>
      <c r="H169" s="199"/>
      <c r="I169" s="199"/>
      <c r="J169" s="132"/>
      <c r="K169" s="203">
        <f>IF(ISNA(K166),-1,IF(ISNA(K168),99,IF(ISNA(K167),K166,0)))</f>
        <v>0</v>
      </c>
      <c r="L169" s="203">
        <f t="shared" ref="L169:AQ169" si="113">IF(ISNA(L166),-1,IF(ISNA(L168),99,IF(ISNA(L167),L166,0)))</f>
        <v>1</v>
      </c>
      <c r="M169" s="203">
        <f t="shared" si="113"/>
        <v>1</v>
      </c>
      <c r="N169" s="203">
        <f t="shared" si="113"/>
        <v>0</v>
      </c>
      <c r="O169" s="203">
        <f t="shared" si="113"/>
        <v>2</v>
      </c>
      <c r="P169" s="203">
        <f t="shared" si="113"/>
        <v>0</v>
      </c>
      <c r="Q169" s="203">
        <f t="shared" si="113"/>
        <v>3</v>
      </c>
      <c r="R169" s="203">
        <f t="shared" si="113"/>
        <v>3</v>
      </c>
      <c r="S169" s="203">
        <f t="shared" si="113"/>
        <v>0</v>
      </c>
      <c r="T169" s="203">
        <f t="shared" si="113"/>
        <v>4</v>
      </c>
      <c r="U169" s="203">
        <f t="shared" si="113"/>
        <v>4</v>
      </c>
      <c r="V169" s="203">
        <f t="shared" si="113"/>
        <v>4</v>
      </c>
      <c r="W169" s="203">
        <f t="shared" si="113"/>
        <v>4</v>
      </c>
      <c r="X169" s="203">
        <f t="shared" si="113"/>
        <v>4</v>
      </c>
      <c r="Y169" s="203">
        <f t="shared" si="113"/>
        <v>4</v>
      </c>
      <c r="Z169" s="203">
        <f t="shared" si="113"/>
        <v>4</v>
      </c>
      <c r="AA169" s="203">
        <f t="shared" si="113"/>
        <v>4</v>
      </c>
      <c r="AB169" s="203">
        <f t="shared" si="113"/>
        <v>4</v>
      </c>
      <c r="AC169" s="203">
        <f t="shared" si="113"/>
        <v>0</v>
      </c>
      <c r="AD169" s="203">
        <f t="shared" si="113"/>
        <v>5</v>
      </c>
      <c r="AE169" s="203">
        <f t="shared" si="113"/>
        <v>5</v>
      </c>
      <c r="AF169" s="203">
        <f t="shared" si="113"/>
        <v>5</v>
      </c>
      <c r="AG169" s="203">
        <f t="shared" si="113"/>
        <v>5</v>
      </c>
      <c r="AH169" s="203">
        <f t="shared" si="113"/>
        <v>5</v>
      </c>
      <c r="AI169" s="203">
        <f t="shared" si="113"/>
        <v>5</v>
      </c>
      <c r="AJ169" s="203">
        <f t="shared" si="113"/>
        <v>5</v>
      </c>
      <c r="AK169" s="203">
        <f t="shared" si="113"/>
        <v>5</v>
      </c>
      <c r="AL169" s="203">
        <f t="shared" si="113"/>
        <v>5</v>
      </c>
      <c r="AM169" s="203">
        <f t="shared" si="113"/>
        <v>0</v>
      </c>
      <c r="AN169" s="203">
        <f t="shared" si="113"/>
        <v>6</v>
      </c>
      <c r="AO169" s="203">
        <f t="shared" si="113"/>
        <v>0</v>
      </c>
      <c r="AP169" s="203">
        <f t="shared" si="113"/>
        <v>99</v>
      </c>
      <c r="AQ169" s="203">
        <f t="shared" si="113"/>
        <v>99</v>
      </c>
      <c r="AR169" s="199"/>
      <c r="AS169" s="199"/>
      <c r="AT169" s="199"/>
      <c r="AU169" s="199"/>
      <c r="AV169" s="199"/>
      <c r="AW169" s="199"/>
      <c r="AX169" s="199"/>
      <c r="AY169" s="199"/>
      <c r="AZ169" s="199"/>
      <c r="BA169" s="199"/>
      <c r="BB169" s="199"/>
      <c r="BC169" s="199"/>
      <c r="BD169" s="199"/>
      <c r="BE169" s="199"/>
      <c r="BF169" s="199"/>
      <c r="BG169" s="199"/>
      <c r="BH169" s="199"/>
      <c r="BI169" s="199"/>
      <c r="BJ169" s="199"/>
      <c r="BK169" s="199"/>
      <c r="BL169" s="199"/>
      <c r="BM169" s="199"/>
      <c r="BN169" s="199"/>
      <c r="BO169" s="199"/>
      <c r="BP169" s="199"/>
      <c r="BQ169" s="199"/>
      <c r="BR169" s="199"/>
      <c r="BS169" s="199"/>
      <c r="BT169" s="199"/>
      <c r="BU169" s="199"/>
      <c r="BV169" s="199"/>
      <c r="BW169" s="199"/>
      <c r="BX169" s="199"/>
      <c r="BY169" s="199"/>
      <c r="BZ169" s="199"/>
    </row>
    <row r="170" spans="1:78">
      <c r="A170" s="199" t="s">
        <v>16</v>
      </c>
      <c r="B170" s="22" t="str">
        <f t="shared" ref="B170:B179" si="114">IF(A170="*","","COM_PROJ")</f>
        <v/>
      </c>
      <c r="C170" s="23" t="str">
        <f t="shared" ref="C170:C179" si="115">IF($A170="*","","-")</f>
        <v/>
      </c>
      <c r="D170" s="61"/>
      <c r="E170" s="23" t="str">
        <f t="shared" ref="E170:I179" si="116">IF($A170="*","","-")</f>
        <v/>
      </c>
      <c r="F170" s="23" t="str">
        <f t="shared" si="116"/>
        <v/>
      </c>
      <c r="G170" s="23" t="str">
        <f t="shared" si="116"/>
        <v/>
      </c>
      <c r="H170" s="23"/>
      <c r="I170" s="23" t="str">
        <f t="shared" si="116"/>
        <v/>
      </c>
      <c r="K170" s="23">
        <f>K165</f>
        <v>2012</v>
      </c>
      <c r="L170" s="23">
        <f t="shared" ref="L170:AQ170" si="117">L165</f>
        <v>2013</v>
      </c>
      <c r="M170" s="23">
        <f t="shared" si="117"/>
        <v>2014</v>
      </c>
      <c r="N170" s="23">
        <f t="shared" si="117"/>
        <v>2015</v>
      </c>
      <c r="O170" s="23">
        <f t="shared" si="117"/>
        <v>2016</v>
      </c>
      <c r="P170" s="23">
        <f t="shared" si="117"/>
        <v>2017</v>
      </c>
      <c r="Q170" s="23">
        <f t="shared" si="117"/>
        <v>2018</v>
      </c>
      <c r="R170" s="23">
        <f t="shared" si="117"/>
        <v>2019</v>
      </c>
      <c r="S170" s="23">
        <f t="shared" si="117"/>
        <v>2020</v>
      </c>
      <c r="T170" s="23">
        <f t="shared" si="117"/>
        <v>2021</v>
      </c>
      <c r="U170" s="23">
        <f t="shared" si="117"/>
        <v>2022</v>
      </c>
      <c r="V170" s="23">
        <f t="shared" si="117"/>
        <v>2023</v>
      </c>
      <c r="W170" s="23">
        <f t="shared" si="117"/>
        <v>2024</v>
      </c>
      <c r="X170" s="23">
        <f t="shared" si="117"/>
        <v>2025</v>
      </c>
      <c r="Y170" s="23">
        <f t="shared" si="117"/>
        <v>2026</v>
      </c>
      <c r="Z170" s="23">
        <f t="shared" si="117"/>
        <v>2027</v>
      </c>
      <c r="AA170" s="23">
        <f t="shared" si="117"/>
        <v>2028</v>
      </c>
      <c r="AB170" s="23">
        <f t="shared" si="117"/>
        <v>2029</v>
      </c>
      <c r="AC170" s="23">
        <f t="shared" si="117"/>
        <v>2030</v>
      </c>
      <c r="AD170" s="23">
        <f t="shared" si="117"/>
        <v>2031</v>
      </c>
      <c r="AE170" s="23">
        <f t="shared" si="117"/>
        <v>2032</v>
      </c>
      <c r="AF170" s="23">
        <f t="shared" si="117"/>
        <v>2033</v>
      </c>
      <c r="AG170" s="23">
        <f t="shared" si="117"/>
        <v>2034</v>
      </c>
      <c r="AH170" s="23">
        <f t="shared" si="117"/>
        <v>2035</v>
      </c>
      <c r="AI170" s="23">
        <f t="shared" si="117"/>
        <v>2036</v>
      </c>
      <c r="AJ170" s="23">
        <f t="shared" si="117"/>
        <v>2037</v>
      </c>
      <c r="AK170" s="23">
        <f t="shared" si="117"/>
        <v>2038</v>
      </c>
      <c r="AL170" s="23">
        <f t="shared" si="117"/>
        <v>2039</v>
      </c>
      <c r="AM170" s="23">
        <f t="shared" si="117"/>
        <v>2040</v>
      </c>
      <c r="AN170" s="23">
        <f t="shared" si="117"/>
        <v>2041</v>
      </c>
      <c r="AO170" s="23">
        <f t="shared" si="117"/>
        <v>2042</v>
      </c>
      <c r="AP170" s="23">
        <f t="shared" si="117"/>
        <v>2043</v>
      </c>
      <c r="AQ170" s="23">
        <f t="shared" si="117"/>
        <v>2044</v>
      </c>
    </row>
    <row r="171" spans="1:78">
      <c r="A171" s="199" t="s">
        <v>16</v>
      </c>
      <c r="B171" s="22" t="str">
        <f t="shared" si="114"/>
        <v/>
      </c>
      <c r="C171" s="23" t="str">
        <f t="shared" si="115"/>
        <v/>
      </c>
      <c r="D171" s="61"/>
      <c r="E171" s="23" t="str">
        <f t="shared" si="116"/>
        <v/>
      </c>
      <c r="F171" s="23" t="str">
        <f t="shared" si="116"/>
        <v/>
      </c>
      <c r="G171" s="23" t="str">
        <f t="shared" si="116"/>
        <v/>
      </c>
      <c r="H171" s="23"/>
      <c r="I171" s="23" t="str">
        <f t="shared" si="116"/>
        <v/>
      </c>
      <c r="J171" s="145" t="str">
        <f t="shared" ref="J171:J183" si="118">B76</f>
        <v>TFLCV</v>
      </c>
      <c r="K171" s="200">
        <f>F43</f>
        <v>17.151878492126293</v>
      </c>
      <c r="L171" s="200">
        <f t="shared" ref="L171:AQ171" si="119">IF(L$169=-1,M171,IF(L$169=99,K171,IF(L$169=0,INDEX($F43:$L43,0,L$167),(INDEX($F43:$L43,0,L$169+1)-INDEX($F43:$L43,0,L$169))/(INDEX($F$4:$L$4,0,L$169+1)-INDEX($F$4:$L$4,0,L$169))+K171)))</f>
        <v>17.469692709439443</v>
      </c>
      <c r="M171" s="200">
        <f t="shared" si="119"/>
        <v>17.787506926752592</v>
      </c>
      <c r="N171" s="200">
        <f t="shared" si="119"/>
        <v>18.105321144065741</v>
      </c>
      <c r="O171" s="200">
        <f t="shared" si="119"/>
        <v>18.285840392626561</v>
      </c>
      <c r="P171" s="200">
        <f t="shared" si="119"/>
        <v>18.466359641187378</v>
      </c>
      <c r="Q171" s="200">
        <f t="shared" si="119"/>
        <v>18.258918535595349</v>
      </c>
      <c r="R171" s="200">
        <f t="shared" si="119"/>
        <v>18.05147743000332</v>
      </c>
      <c r="S171" s="200">
        <f t="shared" si="119"/>
        <v>17.844036324411295</v>
      </c>
      <c r="T171" s="200">
        <f t="shared" si="119"/>
        <v>18.520131663014666</v>
      </c>
      <c r="U171" s="200">
        <f t="shared" si="119"/>
        <v>19.196227001618038</v>
      </c>
      <c r="V171" s="200">
        <f t="shared" si="119"/>
        <v>19.872322340221409</v>
      </c>
      <c r="W171" s="200">
        <f t="shared" si="119"/>
        <v>20.54841767882478</v>
      </c>
      <c r="X171" s="200">
        <f t="shared" si="119"/>
        <v>21.224513017428151</v>
      </c>
      <c r="Y171" s="200">
        <f>IF(Y$169=-1,Z171,IF(Y$169=99,X171,IF(Y$169=0,INDEX($F43:$L43,0,Y$167),(INDEX($F43:$L43,0,Y$169+1)-INDEX($F43:$L43,0,Y$169))/(INDEX($F$4:$L$4,0,Y$169+1)-INDEX($F$4:$L$4,0,Y$169))+X171)))</f>
        <v>21.900608356031523</v>
      </c>
      <c r="Z171" s="200">
        <f>IF(Z$169=-1,AA171,IF(Z$169=99,Y171,IF(Z$169=0,INDEX($F43:$L43,0,Z$167),(INDEX($F43:$L43,0,Z$169+1)-INDEX($F43:$L43,0,Z$169))/(INDEX($F$4:$L$4,0,Z$169+1)-INDEX($F$4:$L$4,0,Z$169))+Y171)))</f>
        <v>22.576703694634894</v>
      </c>
      <c r="AA171" s="200">
        <f>IF(AA$169=-1,AB171,IF(AA$169=99,Z171,IF(AA$169=0,INDEX($F43:$L43,0,AA$167),(INDEX($F43:$L43,0,AA$169+1)-INDEX($F43:$L43,0,AA$169))/(INDEX($F$4:$L$4,0,AA$169+1)-INDEX($F$4:$L$4,0,AA$169))+Z171)))</f>
        <v>23.252799033238265</v>
      </c>
      <c r="AB171" s="200">
        <f t="shared" si="119"/>
        <v>23.928894371841636</v>
      </c>
      <c r="AC171" s="200">
        <f t="shared" si="119"/>
        <v>24.604989710445018</v>
      </c>
      <c r="AD171" s="200">
        <f t="shared" si="119"/>
        <v>25.691479377825004</v>
      </c>
      <c r="AE171" s="200">
        <f t="shared" si="119"/>
        <v>26.777969045204991</v>
      </c>
      <c r="AF171" s="200">
        <f t="shared" si="119"/>
        <v>27.864458712584977</v>
      </c>
      <c r="AG171" s="200">
        <f t="shared" si="119"/>
        <v>28.950948379964963</v>
      </c>
      <c r="AH171" s="200">
        <f t="shared" si="119"/>
        <v>30.037438047344949</v>
      </c>
      <c r="AI171" s="200">
        <f t="shared" si="119"/>
        <v>31.123927714724935</v>
      </c>
      <c r="AJ171" s="200">
        <f t="shared" si="119"/>
        <v>32.210417382104922</v>
      </c>
      <c r="AK171" s="200">
        <f t="shared" si="119"/>
        <v>33.296907049484908</v>
      </c>
      <c r="AL171" s="200">
        <f t="shared" si="119"/>
        <v>34.383396716864894</v>
      </c>
      <c r="AM171" s="200">
        <f t="shared" si="119"/>
        <v>35.469886384244894</v>
      </c>
      <c r="AN171" s="200">
        <f t="shared" si="119"/>
        <v>37.227972111790535</v>
      </c>
      <c r="AO171" s="200">
        <f t="shared" si="119"/>
        <v>53.05074365970129</v>
      </c>
      <c r="AP171" s="200">
        <f t="shared" si="119"/>
        <v>53.05074365970129</v>
      </c>
      <c r="AQ171" s="200">
        <f t="shared" si="119"/>
        <v>53.05074365970129</v>
      </c>
    </row>
    <row r="172" spans="1:78">
      <c r="A172" s="199" t="s">
        <v>16</v>
      </c>
      <c r="B172" s="22" t="str">
        <f t="shared" si="114"/>
        <v/>
      </c>
      <c r="C172" s="23" t="str">
        <f t="shared" si="115"/>
        <v/>
      </c>
      <c r="D172" s="61"/>
      <c r="E172" s="23" t="str">
        <f t="shared" si="116"/>
        <v/>
      </c>
      <c r="F172" s="23" t="str">
        <f t="shared" si="116"/>
        <v/>
      </c>
      <c r="G172" s="23" t="str">
        <f t="shared" si="116"/>
        <v/>
      </c>
      <c r="H172" s="23"/>
      <c r="I172" s="23" t="str">
        <f t="shared" si="116"/>
        <v/>
      </c>
      <c r="J172" s="145" t="str">
        <f t="shared" si="118"/>
        <v>TFHCV1</v>
      </c>
      <c r="K172" s="200">
        <f>F46</f>
        <v>4.9123710000000003</v>
      </c>
      <c r="L172" s="200">
        <f t="shared" ref="L172:AQ172" si="120">IF(L$169=-1,M172,IF(L$169=99,K172,IF(L$169=0,INDEX($F46:$L46,0,L$167),(INDEX($F46:$L46,0,L$169+1)-INDEX($F46:$L46,0,L$169))/(INDEX($F$4:$L$4,0,L$169+1)-INDEX($F$4:$L$4,0,L$169))+K172)))</f>
        <v>5.0033943444828513</v>
      </c>
      <c r="M172" s="200">
        <f t="shared" si="120"/>
        <v>5.0944176889657022</v>
      </c>
      <c r="N172" s="200">
        <f t="shared" si="120"/>
        <v>5.1854410334485532</v>
      </c>
      <c r="O172" s="200">
        <f t="shared" si="120"/>
        <v>5.104921414650792</v>
      </c>
      <c r="P172" s="200">
        <f t="shared" si="120"/>
        <v>5.0244017958530307</v>
      </c>
      <c r="Q172" s="200">
        <f t="shared" si="120"/>
        <v>4.9679603811008972</v>
      </c>
      <c r="R172" s="200">
        <f t="shared" si="120"/>
        <v>4.9115189663487637</v>
      </c>
      <c r="S172" s="200">
        <f t="shared" si="120"/>
        <v>4.8550775515966293</v>
      </c>
      <c r="T172" s="200">
        <f t="shared" si="120"/>
        <v>5.0055591795406755</v>
      </c>
      <c r="U172" s="200">
        <f t="shared" si="120"/>
        <v>5.1560408074847217</v>
      </c>
      <c r="V172" s="200">
        <f t="shared" si="120"/>
        <v>5.3065224354287679</v>
      </c>
      <c r="W172" s="200">
        <f t="shared" si="120"/>
        <v>5.4570040633728141</v>
      </c>
      <c r="X172" s="200">
        <f t="shared" si="120"/>
        <v>5.6074856913168603</v>
      </c>
      <c r="Y172" s="200">
        <f>IF(Y$169=-1,Z172,IF(Y$169=99,X172,IF(Y$169=0,INDEX($F46:$L46,0,Y$167),(INDEX($F46:$L46,0,Y$169+1)-INDEX($F46:$L46,0,Y$169))/(INDEX($F$4:$L$4,0,Y$169+1)-INDEX($F$4:$L$4,0,Y$169))+X172)))</f>
        <v>5.7579673192609064</v>
      </c>
      <c r="Z172" s="200">
        <f>IF(Z$169=-1,AA172,IF(Z$169=99,Y172,IF(Z$169=0,INDEX($F46:$L46,0,Z$167),(INDEX($F46:$L46,0,Z$169+1)-INDEX($F46:$L46,0,Z$169))/(INDEX($F$4:$L$4,0,Z$169+1)-INDEX($F$4:$L$4,0,Z$169))+Y172)))</f>
        <v>5.9084489472049526</v>
      </c>
      <c r="AA172" s="200">
        <f>IF(AA$169=-1,AB172,IF(AA$169=99,Z172,IF(AA$169=0,INDEX($F46:$L46,0,AA$167),(INDEX($F46:$L46,0,AA$169+1)-INDEX($F46:$L46,0,AA$169))/(INDEX($F$4:$L$4,0,AA$169+1)-INDEX($F$4:$L$4,0,AA$169))+Z172)))</f>
        <v>6.0589305751489988</v>
      </c>
      <c r="AB172" s="200">
        <f t="shared" si="120"/>
        <v>6.209412203093045</v>
      </c>
      <c r="AC172" s="200">
        <f t="shared" si="120"/>
        <v>6.3598938310370956</v>
      </c>
      <c r="AD172" s="200">
        <f t="shared" si="120"/>
        <v>6.5948882546513952</v>
      </c>
      <c r="AE172" s="200">
        <f t="shared" si="120"/>
        <v>6.8298826782656947</v>
      </c>
      <c r="AF172" s="200">
        <f t="shared" si="120"/>
        <v>7.0648771018799943</v>
      </c>
      <c r="AG172" s="200">
        <f t="shared" si="120"/>
        <v>7.2998715254942939</v>
      </c>
      <c r="AH172" s="200">
        <f t="shared" si="120"/>
        <v>7.5348659491085934</v>
      </c>
      <c r="AI172" s="200">
        <f t="shared" si="120"/>
        <v>7.769860372722893</v>
      </c>
      <c r="AJ172" s="200">
        <f t="shared" si="120"/>
        <v>8.0048547963371934</v>
      </c>
      <c r="AK172" s="200">
        <f t="shared" si="120"/>
        <v>8.239849219951493</v>
      </c>
      <c r="AL172" s="200">
        <f t="shared" si="120"/>
        <v>8.4748436435657926</v>
      </c>
      <c r="AM172" s="200">
        <f t="shared" si="120"/>
        <v>8.7098380671800921</v>
      </c>
      <c r="AN172" s="200">
        <f t="shared" si="120"/>
        <v>9.0764116987161945</v>
      </c>
      <c r="AO172" s="200">
        <f t="shared" si="120"/>
        <v>12.375574382541121</v>
      </c>
      <c r="AP172" s="200">
        <f t="shared" si="120"/>
        <v>12.375574382541121</v>
      </c>
      <c r="AQ172" s="200">
        <f t="shared" si="120"/>
        <v>12.375574382541121</v>
      </c>
      <c r="AZ172" s="200"/>
      <c r="BA172" s="200"/>
      <c r="BB172" s="200"/>
      <c r="BC172" s="200"/>
      <c r="BD172" s="200"/>
      <c r="BE172" s="200"/>
    </row>
    <row r="173" spans="1:78">
      <c r="A173" s="199" t="s">
        <v>16</v>
      </c>
      <c r="B173" s="22" t="str">
        <f t="shared" si="114"/>
        <v/>
      </c>
      <c r="C173" s="23" t="str">
        <f t="shared" si="115"/>
        <v/>
      </c>
      <c r="D173" s="61"/>
      <c r="E173" s="23" t="str">
        <f t="shared" si="116"/>
        <v/>
      </c>
      <c r="F173" s="23" t="str">
        <f t="shared" si="116"/>
        <v/>
      </c>
      <c r="G173" s="23" t="str">
        <f t="shared" si="116"/>
        <v/>
      </c>
      <c r="H173" s="23"/>
      <c r="I173" s="23" t="str">
        <f t="shared" si="116"/>
        <v/>
      </c>
      <c r="J173" s="145" t="str">
        <f t="shared" si="118"/>
        <v>TFHCV2</v>
      </c>
      <c r="K173" s="200">
        <f t="shared" ref="K173:K180" si="121">F51</f>
        <v>1.637614669131271</v>
      </c>
      <c r="L173" s="200">
        <f t="shared" ref="L173:AQ180" si="122">IF(L$169=-1,M173,IF(L$169=99,K173,IF(L$169=0,INDEX($F51:$L51,0,L$167),(INDEX($F51:$L51,0,L$169+1)-INDEX($F51:$L51,0,L$169))/(INDEX($F$4:$L$4,0,L$169+1)-INDEX($F$4:$L$4,0,L$169))+K173)))</f>
        <v>1.6679587054751273</v>
      </c>
      <c r="M173" s="200">
        <f t="shared" si="122"/>
        <v>1.6983027418189836</v>
      </c>
      <c r="N173" s="200">
        <f t="shared" si="122"/>
        <v>1.7286467781628396</v>
      </c>
      <c r="O173" s="200">
        <f t="shared" si="122"/>
        <v>1.7458822646222067</v>
      </c>
      <c r="P173" s="200">
        <f t="shared" si="122"/>
        <v>1.7631177510815739</v>
      </c>
      <c r="Q173" s="200">
        <f t="shared" si="122"/>
        <v>1.7433118389971185</v>
      </c>
      <c r="R173" s="200">
        <f t="shared" si="122"/>
        <v>1.7235059269126631</v>
      </c>
      <c r="S173" s="200">
        <f t="shared" si="122"/>
        <v>1.7037000148282078</v>
      </c>
      <c r="T173" s="200">
        <f t="shared" si="122"/>
        <v>1.7494580178317418</v>
      </c>
      <c r="U173" s="200">
        <f t="shared" si="122"/>
        <v>1.7952160208352759</v>
      </c>
      <c r="V173" s="200">
        <f t="shared" si="122"/>
        <v>1.8409740238388099</v>
      </c>
      <c r="W173" s="200">
        <f t="shared" si="122"/>
        <v>1.886732026842344</v>
      </c>
      <c r="X173" s="200">
        <f t="shared" si="122"/>
        <v>1.932490029845878</v>
      </c>
      <c r="Y173" s="200">
        <f t="shared" ref="Y173:AA180" si="123">IF(Y$169=-1,Z173,IF(Y$169=99,X173,IF(Y$169=0,INDEX($F51:$L51,0,Y$167),(INDEX($F51:$L51,0,Y$169+1)-INDEX($F51:$L51,0,Y$169))/(INDEX($F$4:$L$4,0,Y$169+1)-INDEX($F$4:$L$4,0,Y$169))+X173)))</f>
        <v>1.9782480328494121</v>
      </c>
      <c r="Z173" s="200">
        <f t="shared" si="123"/>
        <v>2.0240060358529464</v>
      </c>
      <c r="AA173" s="200">
        <f t="shared" si="123"/>
        <v>2.0697640388564804</v>
      </c>
      <c r="AB173" s="200">
        <f t="shared" si="122"/>
        <v>2.1155220418600145</v>
      </c>
      <c r="AC173" s="200">
        <f t="shared" si="122"/>
        <v>2.1612800448635485</v>
      </c>
      <c r="AD173" s="200">
        <f t="shared" si="122"/>
        <v>2.2349068154871854</v>
      </c>
      <c r="AE173" s="200">
        <f t="shared" si="122"/>
        <v>2.3085335861108223</v>
      </c>
      <c r="AF173" s="200">
        <f t="shared" si="122"/>
        <v>2.3821603567344591</v>
      </c>
      <c r="AG173" s="200">
        <f t="shared" si="122"/>
        <v>2.455787127358096</v>
      </c>
      <c r="AH173" s="200">
        <f t="shared" si="122"/>
        <v>2.5294138979817329</v>
      </c>
      <c r="AI173" s="200">
        <f t="shared" si="122"/>
        <v>2.6030406686053698</v>
      </c>
      <c r="AJ173" s="200">
        <f t="shared" si="122"/>
        <v>2.6766674392290066</v>
      </c>
      <c r="AK173" s="200">
        <f t="shared" si="122"/>
        <v>2.7502942098526435</v>
      </c>
      <c r="AL173" s="200">
        <f t="shared" si="122"/>
        <v>2.8239209804762804</v>
      </c>
      <c r="AM173" s="200">
        <f t="shared" si="122"/>
        <v>2.8975477510999172</v>
      </c>
      <c r="AN173" s="200">
        <f t="shared" si="122"/>
        <v>3.0108302652209122</v>
      </c>
      <c r="AO173" s="200">
        <f t="shared" si="122"/>
        <v>4.0303728923098676</v>
      </c>
      <c r="AP173" s="200">
        <f t="shared" si="122"/>
        <v>4.0303728923098676</v>
      </c>
      <c r="AQ173" s="200">
        <f t="shared" si="122"/>
        <v>4.0303728923098676</v>
      </c>
      <c r="AZ173" s="200"/>
      <c r="BA173" s="200"/>
      <c r="BB173" s="200"/>
      <c r="BC173" s="200"/>
      <c r="BD173" s="200"/>
      <c r="BE173" s="200"/>
    </row>
    <row r="174" spans="1:78">
      <c r="A174" s="199" t="s">
        <v>16</v>
      </c>
      <c r="B174" s="22" t="str">
        <f t="shared" si="114"/>
        <v/>
      </c>
      <c r="C174" s="23" t="str">
        <f t="shared" si="115"/>
        <v/>
      </c>
      <c r="D174" s="61"/>
      <c r="E174" s="23" t="str">
        <f t="shared" si="116"/>
        <v/>
      </c>
      <c r="F174" s="23" t="str">
        <f t="shared" si="116"/>
        <v/>
      </c>
      <c r="G174" s="23" t="str">
        <f t="shared" si="116"/>
        <v/>
      </c>
      <c r="H174" s="23"/>
      <c r="I174" s="23" t="str">
        <f t="shared" si="116"/>
        <v/>
      </c>
      <c r="J174" s="145" t="str">
        <f t="shared" si="118"/>
        <v>TFHCV3</v>
      </c>
      <c r="K174" s="200">
        <f t="shared" si="121"/>
        <v>13.576270721867905</v>
      </c>
      <c r="L174" s="200">
        <f t="shared" si="122"/>
        <v>13.827831030873275</v>
      </c>
      <c r="M174" s="200">
        <f t="shared" si="122"/>
        <v>14.079391339878645</v>
      </c>
      <c r="N174" s="200">
        <f t="shared" si="122"/>
        <v>14.330951648884017</v>
      </c>
      <c r="O174" s="200">
        <f t="shared" si="122"/>
        <v>14.473838516354242</v>
      </c>
      <c r="P174" s="200">
        <f t="shared" si="122"/>
        <v>14.616725383824466</v>
      </c>
      <c r="Q174" s="200">
        <f t="shared" si="122"/>
        <v>14.452528989263149</v>
      </c>
      <c r="R174" s="200">
        <f t="shared" si="122"/>
        <v>14.288332594701831</v>
      </c>
      <c r="S174" s="200">
        <f t="shared" si="122"/>
        <v>14.124136200140512</v>
      </c>
      <c r="T174" s="200">
        <f t="shared" si="122"/>
        <v>14.503482482375253</v>
      </c>
      <c r="U174" s="200">
        <f t="shared" si="122"/>
        <v>14.882828764609993</v>
      </c>
      <c r="V174" s="200">
        <f t="shared" si="122"/>
        <v>15.262175046844733</v>
      </c>
      <c r="W174" s="200">
        <f t="shared" si="122"/>
        <v>15.641521329079474</v>
      </c>
      <c r="X174" s="200">
        <f t="shared" si="122"/>
        <v>16.020867611314216</v>
      </c>
      <c r="Y174" s="200">
        <f t="shared" si="123"/>
        <v>16.400213893548958</v>
      </c>
      <c r="Z174" s="200">
        <f t="shared" si="123"/>
        <v>16.779560175783701</v>
      </c>
      <c r="AA174" s="200">
        <f t="shared" si="123"/>
        <v>17.158906458018443</v>
      </c>
      <c r="AB174" s="200">
        <f t="shared" si="122"/>
        <v>17.538252740253185</v>
      </c>
      <c r="AC174" s="200">
        <f t="shared" si="122"/>
        <v>17.91759902248792</v>
      </c>
      <c r="AD174" s="200">
        <f t="shared" si="122"/>
        <v>18.527984963213296</v>
      </c>
      <c r="AE174" s="200">
        <f t="shared" si="122"/>
        <v>19.138370903938672</v>
      </c>
      <c r="AF174" s="200">
        <f t="shared" si="122"/>
        <v>19.748756844664047</v>
      </c>
      <c r="AG174" s="200">
        <f t="shared" si="122"/>
        <v>20.359142785389423</v>
      </c>
      <c r="AH174" s="200">
        <f t="shared" si="122"/>
        <v>20.969528726114799</v>
      </c>
      <c r="AI174" s="200">
        <f t="shared" si="122"/>
        <v>21.579914666840175</v>
      </c>
      <c r="AJ174" s="200">
        <f t="shared" si="122"/>
        <v>22.19030060756555</v>
      </c>
      <c r="AK174" s="200">
        <f t="shared" si="122"/>
        <v>22.800686548290926</v>
      </c>
      <c r="AL174" s="200">
        <f t="shared" si="122"/>
        <v>23.411072489016302</v>
      </c>
      <c r="AM174" s="200">
        <f t="shared" si="122"/>
        <v>24.021458429741671</v>
      </c>
      <c r="AN174" s="200">
        <f t="shared" si="122"/>
        <v>24.960601262760083</v>
      </c>
      <c r="AO174" s="200">
        <f t="shared" si="122"/>
        <v>33.412886759925797</v>
      </c>
      <c r="AP174" s="200">
        <f t="shared" si="122"/>
        <v>33.412886759925797</v>
      </c>
      <c r="AQ174" s="200">
        <f t="shared" si="122"/>
        <v>33.412886759925797</v>
      </c>
      <c r="AZ174" s="200"/>
      <c r="BA174" s="200"/>
      <c r="BB174" s="200"/>
      <c r="BC174" s="200"/>
      <c r="BD174" s="200"/>
      <c r="BE174" s="200"/>
    </row>
    <row r="175" spans="1:78">
      <c r="A175" s="199" t="s">
        <v>16</v>
      </c>
      <c r="B175" s="22" t="str">
        <f t="shared" si="114"/>
        <v/>
      </c>
      <c r="C175" s="23" t="str">
        <f t="shared" si="115"/>
        <v/>
      </c>
      <c r="D175" s="61"/>
      <c r="E175" s="23" t="str">
        <f t="shared" si="116"/>
        <v/>
      </c>
      <c r="F175" s="23" t="str">
        <f t="shared" si="116"/>
        <v/>
      </c>
      <c r="G175" s="23" t="str">
        <f t="shared" si="116"/>
        <v/>
      </c>
      <c r="H175" s="23"/>
      <c r="I175" s="23" t="str">
        <f t="shared" si="116"/>
        <v/>
      </c>
      <c r="J175" s="145" t="str">
        <f t="shared" si="118"/>
        <v>TFHCV4</v>
      </c>
      <c r="K175" s="200">
        <f t="shared" si="121"/>
        <v>4.515932780515814</v>
      </c>
      <c r="L175" s="200">
        <f t="shared" si="122"/>
        <v>4.5996103580323107</v>
      </c>
      <c r="M175" s="200">
        <f t="shared" si="122"/>
        <v>4.6832879355488073</v>
      </c>
      <c r="N175" s="200">
        <f t="shared" si="122"/>
        <v>4.766965513065303</v>
      </c>
      <c r="O175" s="200">
        <f t="shared" si="122"/>
        <v>4.8144945806519299</v>
      </c>
      <c r="P175" s="200">
        <f t="shared" si="122"/>
        <v>4.8620236482385577</v>
      </c>
      <c r="Q175" s="200">
        <f t="shared" si="122"/>
        <v>4.8074063018528816</v>
      </c>
      <c r="R175" s="200">
        <f t="shared" si="122"/>
        <v>4.7527889554672056</v>
      </c>
      <c r="S175" s="200">
        <f t="shared" si="122"/>
        <v>4.6981716090815304</v>
      </c>
      <c r="T175" s="200">
        <f t="shared" si="122"/>
        <v>4.8243551793863935</v>
      </c>
      <c r="U175" s="200">
        <f t="shared" si="122"/>
        <v>4.9505387496912565</v>
      </c>
      <c r="V175" s="200">
        <f t="shared" si="122"/>
        <v>5.0767223199961196</v>
      </c>
      <c r="W175" s="200">
        <f t="shared" si="122"/>
        <v>5.2029058903009826</v>
      </c>
      <c r="X175" s="200">
        <f t="shared" si="122"/>
        <v>5.3290894606058457</v>
      </c>
      <c r="Y175" s="200">
        <f t="shared" si="123"/>
        <v>5.4552730309107087</v>
      </c>
      <c r="Z175" s="200">
        <f t="shared" si="123"/>
        <v>5.5814566012155717</v>
      </c>
      <c r="AA175" s="200">
        <f t="shared" si="123"/>
        <v>5.7076401715204348</v>
      </c>
      <c r="AB175" s="200">
        <f t="shared" si="122"/>
        <v>5.8338237418252978</v>
      </c>
      <c r="AC175" s="200">
        <f t="shared" si="122"/>
        <v>5.96000731213016</v>
      </c>
      <c r="AD175" s="200">
        <f t="shared" si="122"/>
        <v>6.1630425885295725</v>
      </c>
      <c r="AE175" s="200">
        <f t="shared" si="122"/>
        <v>6.3660778649289851</v>
      </c>
      <c r="AF175" s="200">
        <f t="shared" si="122"/>
        <v>6.5691131413283976</v>
      </c>
      <c r="AG175" s="200">
        <f t="shared" si="122"/>
        <v>6.7721484177278102</v>
      </c>
      <c r="AH175" s="200">
        <f t="shared" si="122"/>
        <v>6.9751836941272227</v>
      </c>
      <c r="AI175" s="200">
        <f t="shared" si="122"/>
        <v>7.1782189705266353</v>
      </c>
      <c r="AJ175" s="200">
        <f t="shared" si="122"/>
        <v>7.3812542469260478</v>
      </c>
      <c r="AK175" s="200">
        <f t="shared" si="122"/>
        <v>7.5842895233254604</v>
      </c>
      <c r="AL175" s="200">
        <f t="shared" si="122"/>
        <v>7.7873247997248729</v>
      </c>
      <c r="AM175" s="200">
        <f t="shared" si="122"/>
        <v>7.9903600761242881</v>
      </c>
      <c r="AN175" s="200">
        <f t="shared" si="122"/>
        <v>8.3027511584841154</v>
      </c>
      <c r="AO175" s="200">
        <f t="shared" si="122"/>
        <v>11.114270899722554</v>
      </c>
      <c r="AP175" s="200">
        <f t="shared" si="122"/>
        <v>11.114270899722554</v>
      </c>
      <c r="AQ175" s="200">
        <f t="shared" si="122"/>
        <v>11.114270899722554</v>
      </c>
      <c r="AZ175" s="200"/>
      <c r="BA175" s="200"/>
      <c r="BB175" s="200"/>
      <c r="BC175" s="200"/>
      <c r="BD175" s="200"/>
      <c r="BE175" s="200"/>
    </row>
    <row r="176" spans="1:78">
      <c r="A176" s="199" t="s">
        <v>16</v>
      </c>
      <c r="B176" s="22" t="str">
        <f t="shared" si="114"/>
        <v/>
      </c>
      <c r="C176" s="23" t="str">
        <f t="shared" si="115"/>
        <v/>
      </c>
      <c r="D176" s="61"/>
      <c r="E176" s="23" t="str">
        <f t="shared" si="116"/>
        <v/>
      </c>
      <c r="F176" s="23" t="str">
        <f t="shared" si="116"/>
        <v/>
      </c>
      <c r="G176" s="23" t="str">
        <f t="shared" si="116"/>
        <v/>
      </c>
      <c r="H176" s="23"/>
      <c r="I176" s="23" t="str">
        <f t="shared" si="116"/>
        <v/>
      </c>
      <c r="J176" s="145" t="str">
        <f t="shared" si="118"/>
        <v>TFHCV5</v>
      </c>
      <c r="K176" s="200">
        <f t="shared" si="121"/>
        <v>2.9750185434856067</v>
      </c>
      <c r="L176" s="200">
        <f t="shared" si="122"/>
        <v>3.0301438867722923</v>
      </c>
      <c r="M176" s="200">
        <f t="shared" si="122"/>
        <v>3.0852692300589779</v>
      </c>
      <c r="N176" s="200">
        <f t="shared" si="122"/>
        <v>3.140394573345664</v>
      </c>
      <c r="O176" s="200">
        <f t="shared" si="122"/>
        <v>3.1717059024325076</v>
      </c>
      <c r="P176" s="200">
        <f t="shared" si="122"/>
        <v>3.2030172315193512</v>
      </c>
      <c r="Q176" s="200">
        <f t="shared" si="122"/>
        <v>3.1670362667462659</v>
      </c>
      <c r="R176" s="200">
        <f t="shared" si="122"/>
        <v>3.1310553019731806</v>
      </c>
      <c r="S176" s="200">
        <f t="shared" si="122"/>
        <v>3.0950743372000948</v>
      </c>
      <c r="T176" s="200">
        <f t="shared" si="122"/>
        <v>3.1782018946251878</v>
      </c>
      <c r="U176" s="200">
        <f t="shared" si="122"/>
        <v>3.2613294520502807</v>
      </c>
      <c r="V176" s="200">
        <f t="shared" si="122"/>
        <v>3.3444570094753736</v>
      </c>
      <c r="W176" s="200">
        <f t="shared" si="122"/>
        <v>3.4275845669004665</v>
      </c>
      <c r="X176" s="200">
        <f t="shared" si="122"/>
        <v>3.5107121243255595</v>
      </c>
      <c r="Y176" s="200">
        <f t="shared" si="123"/>
        <v>3.5938396817506524</v>
      </c>
      <c r="Z176" s="200">
        <f t="shared" si="123"/>
        <v>3.6769672391757453</v>
      </c>
      <c r="AA176" s="200">
        <f t="shared" si="123"/>
        <v>3.7600947966008382</v>
      </c>
      <c r="AB176" s="200">
        <f t="shared" si="122"/>
        <v>3.8432223540259312</v>
      </c>
      <c r="AC176" s="200">
        <f t="shared" si="122"/>
        <v>3.9263499114510219</v>
      </c>
      <c r="AD176" s="200">
        <f t="shared" si="122"/>
        <v>4.0601060459258544</v>
      </c>
      <c r="AE176" s="200">
        <f t="shared" si="122"/>
        <v>4.1938621804006875</v>
      </c>
      <c r="AF176" s="200">
        <f t="shared" si="122"/>
        <v>4.3276183148755205</v>
      </c>
      <c r="AG176" s="200">
        <f t="shared" si="122"/>
        <v>4.4613744493503535</v>
      </c>
      <c r="AH176" s="200">
        <f t="shared" si="122"/>
        <v>4.5951305838251866</v>
      </c>
      <c r="AI176" s="200">
        <f t="shared" si="122"/>
        <v>4.7288867183000196</v>
      </c>
      <c r="AJ176" s="200">
        <f t="shared" si="122"/>
        <v>4.8626428527748526</v>
      </c>
      <c r="AK176" s="200">
        <f t="shared" si="122"/>
        <v>4.9963989872496857</v>
      </c>
      <c r="AL176" s="200">
        <f t="shared" si="122"/>
        <v>5.1301551217245187</v>
      </c>
      <c r="AM176" s="200">
        <f t="shared" si="122"/>
        <v>5.2639112561993491</v>
      </c>
      <c r="AN176" s="200">
        <f t="shared" si="122"/>
        <v>5.4697091074981614</v>
      </c>
      <c r="AO176" s="200">
        <f t="shared" si="122"/>
        <v>7.321889769187468</v>
      </c>
      <c r="AP176" s="200">
        <f t="shared" si="122"/>
        <v>7.321889769187468</v>
      </c>
      <c r="AQ176" s="200">
        <f t="shared" si="122"/>
        <v>7.321889769187468</v>
      </c>
      <c r="AZ176" s="200"/>
      <c r="BA176" s="200"/>
      <c r="BB176" s="200"/>
      <c r="BC176" s="200"/>
      <c r="BD176" s="200"/>
      <c r="BE176" s="200"/>
    </row>
    <row r="177" spans="1:57">
      <c r="A177" s="199" t="s">
        <v>16</v>
      </c>
      <c r="B177" s="22" t="str">
        <f t="shared" si="114"/>
        <v/>
      </c>
      <c r="C177" s="23" t="str">
        <f t="shared" si="115"/>
        <v/>
      </c>
      <c r="D177" s="61"/>
      <c r="E177" s="23" t="str">
        <f t="shared" si="116"/>
        <v/>
      </c>
      <c r="F177" s="23" t="str">
        <f t="shared" si="116"/>
        <v/>
      </c>
      <c r="G177" s="23" t="str">
        <f t="shared" si="116"/>
        <v/>
      </c>
      <c r="H177" s="23"/>
      <c r="I177" s="23" t="str">
        <f t="shared" si="116"/>
        <v/>
      </c>
      <c r="J177" s="145" t="str">
        <f t="shared" si="118"/>
        <v>TFHCV6</v>
      </c>
      <c r="K177" s="200">
        <f t="shared" si="121"/>
        <v>98.309314568087203</v>
      </c>
      <c r="L177" s="200">
        <f t="shared" si="122"/>
        <v>100.13092832767579</v>
      </c>
      <c r="M177" s="200">
        <f t="shared" si="122"/>
        <v>101.95254208726438</v>
      </c>
      <c r="N177" s="200">
        <f t="shared" si="122"/>
        <v>103.77415584685295</v>
      </c>
      <c r="O177" s="200">
        <f t="shared" si="122"/>
        <v>104.80883689362616</v>
      </c>
      <c r="P177" s="200">
        <f t="shared" si="122"/>
        <v>105.84351794039939</v>
      </c>
      <c r="Q177" s="200">
        <f t="shared" si="122"/>
        <v>104.65452905423393</v>
      </c>
      <c r="R177" s="200">
        <f t="shared" si="122"/>
        <v>103.46554016806847</v>
      </c>
      <c r="S177" s="200">
        <f t="shared" si="122"/>
        <v>102.27655128190302</v>
      </c>
      <c r="T177" s="200">
        <f t="shared" si="122"/>
        <v>105.02349657744575</v>
      </c>
      <c r="U177" s="200">
        <f t="shared" si="122"/>
        <v>107.77044187298848</v>
      </c>
      <c r="V177" s="200">
        <f t="shared" si="122"/>
        <v>110.51738716853122</v>
      </c>
      <c r="W177" s="200">
        <f t="shared" si="122"/>
        <v>113.26433246407395</v>
      </c>
      <c r="X177" s="200">
        <f t="shared" si="122"/>
        <v>116.01127775961668</v>
      </c>
      <c r="Y177" s="200">
        <f t="shared" si="123"/>
        <v>118.75822305515941</v>
      </c>
      <c r="Z177" s="200">
        <f t="shared" si="123"/>
        <v>121.50516835070214</v>
      </c>
      <c r="AA177" s="200">
        <f t="shared" si="123"/>
        <v>124.25211364624487</v>
      </c>
      <c r="AB177" s="200">
        <f t="shared" si="122"/>
        <v>126.9990589417876</v>
      </c>
      <c r="AC177" s="200">
        <f t="shared" si="122"/>
        <v>129.74600423733031</v>
      </c>
      <c r="AD177" s="200">
        <f t="shared" si="122"/>
        <v>134.16596791395716</v>
      </c>
      <c r="AE177" s="200">
        <f t="shared" si="122"/>
        <v>138.58593159058401</v>
      </c>
      <c r="AF177" s="200">
        <f t="shared" si="122"/>
        <v>143.00589526721086</v>
      </c>
      <c r="AG177" s="200">
        <f t="shared" si="122"/>
        <v>147.42585894383771</v>
      </c>
      <c r="AH177" s="200">
        <f t="shared" si="122"/>
        <v>151.84582262046456</v>
      </c>
      <c r="AI177" s="200">
        <f t="shared" si="122"/>
        <v>156.26578629709141</v>
      </c>
      <c r="AJ177" s="200">
        <f t="shared" si="122"/>
        <v>160.68574997371826</v>
      </c>
      <c r="AK177" s="200">
        <f t="shared" si="122"/>
        <v>165.10571365034511</v>
      </c>
      <c r="AL177" s="200">
        <f t="shared" si="122"/>
        <v>169.52567732697196</v>
      </c>
      <c r="AM177" s="200">
        <f t="shared" si="122"/>
        <v>173.94564100359884</v>
      </c>
      <c r="AN177" s="200">
        <f t="shared" si="122"/>
        <v>180.74621901850668</v>
      </c>
      <c r="AO177" s="200">
        <f t="shared" si="122"/>
        <v>241.95142115267711</v>
      </c>
      <c r="AP177" s="200">
        <f t="shared" si="122"/>
        <v>241.95142115267711</v>
      </c>
      <c r="AQ177" s="200">
        <f t="shared" si="122"/>
        <v>241.95142115267711</v>
      </c>
      <c r="AZ177" s="200"/>
      <c r="BA177" s="200"/>
      <c r="BB177" s="200"/>
      <c r="BC177" s="200"/>
      <c r="BD177" s="200"/>
      <c r="BE177" s="200"/>
    </row>
    <row r="178" spans="1:57">
      <c r="A178" s="199" t="s">
        <v>16</v>
      </c>
      <c r="B178" s="22" t="str">
        <f t="shared" si="114"/>
        <v/>
      </c>
      <c r="C178" s="23" t="str">
        <f t="shared" si="115"/>
        <v/>
      </c>
      <c r="D178" s="61"/>
      <c r="E178" s="23" t="str">
        <f t="shared" si="116"/>
        <v/>
      </c>
      <c r="F178" s="23" t="str">
        <f t="shared" si="116"/>
        <v/>
      </c>
      <c r="G178" s="23" t="str">
        <f t="shared" si="116"/>
        <v/>
      </c>
      <c r="H178" s="23"/>
      <c r="I178" s="23" t="str">
        <f t="shared" si="116"/>
        <v/>
      </c>
      <c r="J178" s="145" t="str">
        <f t="shared" si="118"/>
        <v>TFHCV7</v>
      </c>
      <c r="K178" s="200">
        <f t="shared" si="121"/>
        <v>28.003212301240232</v>
      </c>
      <c r="L178" s="200">
        <f t="shared" si="122"/>
        <v>28.522095349756356</v>
      </c>
      <c r="M178" s="200">
        <f t="shared" si="122"/>
        <v>29.040978398272479</v>
      </c>
      <c r="N178" s="200">
        <f t="shared" si="122"/>
        <v>29.559861446788599</v>
      </c>
      <c r="O178" s="200">
        <f t="shared" si="122"/>
        <v>29.854588280600392</v>
      </c>
      <c r="P178" s="200">
        <f t="shared" si="122"/>
        <v>30.149315114412186</v>
      </c>
      <c r="Q178" s="200">
        <f t="shared" si="122"/>
        <v>29.810634000121162</v>
      </c>
      <c r="R178" s="200">
        <f t="shared" si="122"/>
        <v>29.471952885830138</v>
      </c>
      <c r="S178" s="200">
        <f t="shared" si="122"/>
        <v>29.133271771539118</v>
      </c>
      <c r="T178" s="200">
        <f t="shared" si="122"/>
        <v>29.915733663669396</v>
      </c>
      <c r="U178" s="200">
        <f t="shared" si="122"/>
        <v>30.698195555799675</v>
      </c>
      <c r="V178" s="200">
        <f t="shared" si="122"/>
        <v>31.480657447929953</v>
      </c>
      <c r="W178" s="200">
        <f t="shared" si="122"/>
        <v>32.263119340060229</v>
      </c>
      <c r="X178" s="200">
        <f t="shared" si="122"/>
        <v>33.045581232190507</v>
      </c>
      <c r="Y178" s="200">
        <f t="shared" si="123"/>
        <v>33.828043124320786</v>
      </c>
      <c r="Z178" s="200">
        <f t="shared" si="123"/>
        <v>34.610505016451064</v>
      </c>
      <c r="AA178" s="200">
        <f t="shared" si="123"/>
        <v>35.392966908581343</v>
      </c>
      <c r="AB178" s="200">
        <f t="shared" si="122"/>
        <v>36.175428800711622</v>
      </c>
      <c r="AC178" s="200">
        <f t="shared" si="122"/>
        <v>36.957890692841893</v>
      </c>
      <c r="AD178" s="200">
        <f t="shared" si="122"/>
        <v>38.216908536106672</v>
      </c>
      <c r="AE178" s="200">
        <f t="shared" si="122"/>
        <v>39.475926379371451</v>
      </c>
      <c r="AF178" s="200">
        <f t="shared" si="122"/>
        <v>40.73494422263623</v>
      </c>
      <c r="AG178" s="200">
        <f t="shared" si="122"/>
        <v>41.993962065901009</v>
      </c>
      <c r="AH178" s="200">
        <f t="shared" si="122"/>
        <v>43.252979909165788</v>
      </c>
      <c r="AI178" s="200">
        <f t="shared" si="122"/>
        <v>44.511997752430567</v>
      </c>
      <c r="AJ178" s="200">
        <f t="shared" si="122"/>
        <v>45.771015595695346</v>
      </c>
      <c r="AK178" s="200">
        <f t="shared" si="122"/>
        <v>47.030033438960125</v>
      </c>
      <c r="AL178" s="200">
        <f t="shared" si="122"/>
        <v>48.289051282224904</v>
      </c>
      <c r="AM178" s="200">
        <f t="shared" si="122"/>
        <v>49.548069125489704</v>
      </c>
      <c r="AN178" s="200">
        <f t="shared" si="122"/>
        <v>51.485200217892114</v>
      </c>
      <c r="AO178" s="200">
        <f t="shared" si="122"/>
        <v>68.919380049513791</v>
      </c>
      <c r="AP178" s="200">
        <f t="shared" si="122"/>
        <v>68.919380049513791</v>
      </c>
      <c r="AQ178" s="200">
        <f t="shared" si="122"/>
        <v>68.919380049513791</v>
      </c>
      <c r="AZ178" s="200"/>
      <c r="BA178" s="200"/>
      <c r="BB178" s="200"/>
      <c r="BC178" s="200"/>
      <c r="BD178" s="200"/>
      <c r="BE178" s="200"/>
    </row>
    <row r="179" spans="1:57">
      <c r="A179" s="199" t="s">
        <v>16</v>
      </c>
      <c r="B179" s="22" t="str">
        <f t="shared" si="114"/>
        <v/>
      </c>
      <c r="C179" s="23" t="str">
        <f t="shared" si="115"/>
        <v/>
      </c>
      <c r="D179" s="61"/>
      <c r="E179" s="23" t="str">
        <f t="shared" si="116"/>
        <v/>
      </c>
      <c r="F179" s="23" t="str">
        <f t="shared" si="116"/>
        <v/>
      </c>
      <c r="G179" s="23" t="str">
        <f t="shared" si="116"/>
        <v/>
      </c>
      <c r="H179" s="23"/>
      <c r="I179" s="23" t="str">
        <f t="shared" si="116"/>
        <v/>
      </c>
      <c r="J179" s="145" t="str">
        <f t="shared" si="118"/>
        <v>TFHCV8</v>
      </c>
      <c r="K179" s="200">
        <f t="shared" si="121"/>
        <v>1.0763192990282064</v>
      </c>
      <c r="L179" s="200">
        <f t="shared" si="122"/>
        <v>1.0962628623968904</v>
      </c>
      <c r="M179" s="200">
        <f t="shared" si="122"/>
        <v>1.1162064257655744</v>
      </c>
      <c r="N179" s="200">
        <f t="shared" si="122"/>
        <v>1.1361499891342581</v>
      </c>
      <c r="O179" s="200">
        <f t="shared" si="122"/>
        <v>1.1474779816431413</v>
      </c>
      <c r="P179" s="200">
        <f t="shared" si="122"/>
        <v>1.1588059741520242</v>
      </c>
      <c r="Q179" s="200">
        <f t="shared" si="122"/>
        <v>1.1457885740192666</v>
      </c>
      <c r="R179" s="200">
        <f t="shared" si="122"/>
        <v>1.1327711738865089</v>
      </c>
      <c r="S179" s="200">
        <f t="shared" si="122"/>
        <v>1.1197537737537513</v>
      </c>
      <c r="T179" s="200">
        <f t="shared" si="122"/>
        <v>1.1498281390156482</v>
      </c>
      <c r="U179" s="200">
        <f t="shared" si="122"/>
        <v>1.1799025042775451</v>
      </c>
      <c r="V179" s="200">
        <f t="shared" si="122"/>
        <v>1.2099768695394419</v>
      </c>
      <c r="W179" s="200">
        <f t="shared" si="122"/>
        <v>1.2400512348013388</v>
      </c>
      <c r="X179" s="200">
        <f t="shared" si="122"/>
        <v>1.2701256000632357</v>
      </c>
      <c r="Y179" s="200">
        <f t="shared" si="123"/>
        <v>1.3001999653251326</v>
      </c>
      <c r="Z179" s="200">
        <f t="shared" si="123"/>
        <v>1.3302743305870295</v>
      </c>
      <c r="AA179" s="200">
        <f t="shared" si="123"/>
        <v>1.3603486958489264</v>
      </c>
      <c r="AB179" s="200">
        <f t="shared" si="122"/>
        <v>1.3904230611108233</v>
      </c>
      <c r="AC179" s="200">
        <f t="shared" si="122"/>
        <v>1.4204974263727206</v>
      </c>
      <c r="AD179" s="200">
        <f t="shared" si="122"/>
        <v>1.4688884890818634</v>
      </c>
      <c r="AE179" s="200">
        <f t="shared" si="122"/>
        <v>1.5172795517910063</v>
      </c>
      <c r="AF179" s="200">
        <f t="shared" si="122"/>
        <v>1.5656706145001491</v>
      </c>
      <c r="AG179" s="200">
        <f t="shared" si="122"/>
        <v>1.6140616772092919</v>
      </c>
      <c r="AH179" s="200">
        <f t="shared" si="122"/>
        <v>1.6624527399184348</v>
      </c>
      <c r="AI179" s="200">
        <f t="shared" si="122"/>
        <v>1.7108438026275776</v>
      </c>
      <c r="AJ179" s="200">
        <f t="shared" si="122"/>
        <v>1.7592348653367205</v>
      </c>
      <c r="AK179" s="200">
        <f t="shared" si="122"/>
        <v>1.8076259280458633</v>
      </c>
      <c r="AL179" s="200">
        <f t="shared" si="122"/>
        <v>1.8560169907550061</v>
      </c>
      <c r="AM179" s="200">
        <f t="shared" si="122"/>
        <v>1.9044080534641481</v>
      </c>
      <c r="AN179" s="200">
        <f t="shared" si="122"/>
        <v>1.9788627823385196</v>
      </c>
      <c r="AO179" s="200">
        <f t="shared" si="122"/>
        <v>2.6489553422078624</v>
      </c>
      <c r="AP179" s="200">
        <f t="shared" si="122"/>
        <v>2.6489553422078624</v>
      </c>
      <c r="AQ179" s="200">
        <f t="shared" si="122"/>
        <v>2.6489553422078624</v>
      </c>
      <c r="AZ179" s="200"/>
      <c r="BA179" s="200"/>
      <c r="BB179" s="200"/>
      <c r="BC179" s="200"/>
      <c r="BD179" s="200"/>
      <c r="BE179" s="200"/>
    </row>
    <row r="180" spans="1:57">
      <c r="A180" s="199" t="s">
        <v>16</v>
      </c>
      <c r="B180" s="22"/>
      <c r="C180" s="23"/>
      <c r="D180" s="61"/>
      <c r="E180" s="23"/>
      <c r="F180" s="23"/>
      <c r="G180" s="23"/>
      <c r="H180" s="23"/>
      <c r="I180" s="23"/>
      <c r="J180" s="145" t="str">
        <f t="shared" si="118"/>
        <v>TFHCV9</v>
      </c>
      <c r="K180" s="200">
        <f t="shared" si="121"/>
        <v>0.87560973396075781</v>
      </c>
      <c r="L180" s="200">
        <f t="shared" si="122"/>
        <v>0.89183426717432157</v>
      </c>
      <c r="M180" s="200">
        <f t="shared" si="122"/>
        <v>0.90805880038788533</v>
      </c>
      <c r="N180" s="200">
        <f t="shared" si="122"/>
        <v>0.9242833336014491</v>
      </c>
      <c r="O180" s="200">
        <f t="shared" si="122"/>
        <v>0.93349890793516987</v>
      </c>
      <c r="P180" s="200">
        <f t="shared" si="122"/>
        <v>0.94271448226889054</v>
      </c>
      <c r="Q180" s="200">
        <f t="shared" si="122"/>
        <v>0.93212453718717003</v>
      </c>
      <c r="R180" s="200">
        <f t="shared" si="122"/>
        <v>0.92153459210544952</v>
      </c>
      <c r="S180" s="200">
        <f t="shared" si="122"/>
        <v>0.9109446470237289</v>
      </c>
      <c r="T180" s="200">
        <f t="shared" si="122"/>
        <v>0.93541081332752396</v>
      </c>
      <c r="U180" s="200">
        <f t="shared" si="122"/>
        <v>0.95987697963131902</v>
      </c>
      <c r="V180" s="200">
        <f t="shared" si="122"/>
        <v>0.98434314593511407</v>
      </c>
      <c r="W180" s="200">
        <f t="shared" si="122"/>
        <v>1.008809312238909</v>
      </c>
      <c r="X180" s="200">
        <f t="shared" si="122"/>
        <v>1.0332754785427041</v>
      </c>
      <c r="Y180" s="200">
        <f t="shared" si="123"/>
        <v>1.0577416448464991</v>
      </c>
      <c r="Z180" s="200">
        <f t="shared" si="123"/>
        <v>1.0822078111502942</v>
      </c>
      <c r="AA180" s="200">
        <f t="shared" si="123"/>
        <v>1.1066739774540892</v>
      </c>
      <c r="AB180" s="200">
        <f t="shared" si="122"/>
        <v>1.1311401437578843</v>
      </c>
      <c r="AC180" s="200">
        <f t="shared" si="122"/>
        <v>1.1556063100616794</v>
      </c>
      <c r="AD180" s="200">
        <f t="shared" si="122"/>
        <v>1.1949735178996208</v>
      </c>
      <c r="AE180" s="200">
        <f t="shared" si="122"/>
        <v>1.2343407257375623</v>
      </c>
      <c r="AF180" s="200">
        <f t="shared" si="122"/>
        <v>1.2737079335755037</v>
      </c>
      <c r="AG180" s="200">
        <f t="shared" si="122"/>
        <v>1.3130751414134452</v>
      </c>
      <c r="AH180" s="200">
        <f t="shared" si="122"/>
        <v>1.3524423492513866</v>
      </c>
      <c r="AI180" s="200">
        <f t="shared" si="122"/>
        <v>1.3918095570893281</v>
      </c>
      <c r="AJ180" s="200">
        <f t="shared" si="122"/>
        <v>1.4311767649272695</v>
      </c>
      <c r="AK180" s="200">
        <f t="shared" si="122"/>
        <v>1.470543972765211</v>
      </c>
      <c r="AL180" s="200">
        <f t="shared" si="122"/>
        <v>1.5099111806031524</v>
      </c>
      <c r="AM180" s="200">
        <f t="shared" si="122"/>
        <v>1.5492783884410937</v>
      </c>
      <c r="AN180" s="200">
        <f t="shared" si="122"/>
        <v>1.6098489694951275</v>
      </c>
      <c r="AO180" s="200">
        <f t="shared" si="122"/>
        <v>2.1549841989814307</v>
      </c>
      <c r="AP180" s="200">
        <f t="shared" si="122"/>
        <v>2.1549841989814307</v>
      </c>
      <c r="AQ180" s="200">
        <f t="shared" ref="AQ180" si="124">IF(AQ$169=-1,AR180,IF(AQ$169=99,AP180,IF(AQ$169=0,INDEX($F58:$L58,0,AQ$167),(INDEX($F58:$L58,0,AQ$169+1)-INDEX($F58:$L58,0,AQ$169))/(INDEX($F$4:$L$4,0,AQ$169+1)-INDEX($F$4:$L$4,0,AQ$169))+AP180)))</f>
        <v>2.1549841989814307</v>
      </c>
      <c r="AZ180" s="200"/>
      <c r="BA180" s="200"/>
      <c r="BB180" s="200"/>
      <c r="BC180" s="200"/>
      <c r="BD180" s="200"/>
      <c r="BE180" s="200"/>
    </row>
    <row r="181" spans="1:57">
      <c r="A181" s="199" t="s">
        <v>16</v>
      </c>
      <c r="B181" s="22"/>
      <c r="C181" s="23"/>
      <c r="D181" s="61"/>
      <c r="E181" s="23"/>
      <c r="F181" s="23"/>
      <c r="G181" s="23"/>
      <c r="H181" s="23"/>
      <c r="I181" s="23"/>
      <c r="J181" s="145" t="str">
        <f t="shared" si="118"/>
        <v>TFRCO</v>
      </c>
      <c r="K181" s="200">
        <f t="shared" ref="K181:AQ183" si="125">J142</f>
        <v>22</v>
      </c>
      <c r="L181" s="200">
        <f t="shared" si="125"/>
        <v>22.407647056507475</v>
      </c>
      <c r="M181" s="200">
        <f t="shared" si="125"/>
        <v>22.81529411301495</v>
      </c>
      <c r="N181" s="200">
        <f t="shared" si="125"/>
        <v>23.222941169522429</v>
      </c>
      <c r="O181" s="200">
        <f t="shared" si="125"/>
        <v>23.45448568927641</v>
      </c>
      <c r="P181" s="200">
        <f t="shared" si="125"/>
        <v>23.686030209030392</v>
      </c>
      <c r="Q181" s="200">
        <f t="shared" si="125"/>
        <v>23.419954144818554</v>
      </c>
      <c r="R181" s="200">
        <f t="shared" si="125"/>
        <v>23.153878080606717</v>
      </c>
      <c r="S181" s="200">
        <f t="shared" si="125"/>
        <v>22.887802016394883</v>
      </c>
      <c r="T181" s="200">
        <f t="shared" si="125"/>
        <v>25.487568601803119</v>
      </c>
      <c r="U181" s="200">
        <f t="shared" si="125"/>
        <v>28.087335187211355</v>
      </c>
      <c r="V181" s="200">
        <f t="shared" si="125"/>
        <v>30.687101772619592</v>
      </c>
      <c r="W181" s="200">
        <f t="shared" si="125"/>
        <v>33.286868358027832</v>
      </c>
      <c r="X181" s="200">
        <f t="shared" si="125"/>
        <v>35.886634943436071</v>
      </c>
      <c r="Y181" s="200">
        <f t="shared" si="125"/>
        <v>38.486401528844311</v>
      </c>
      <c r="Z181" s="200">
        <f t="shared" ref="Z181:AA183" si="126">Y142</f>
        <v>41.086168114252551</v>
      </c>
      <c r="AA181" s="200">
        <f t="shared" si="126"/>
        <v>43.685934699660791</v>
      </c>
      <c r="AB181" s="200">
        <f t="shared" si="125"/>
        <v>46.285701285069031</v>
      </c>
      <c r="AC181" s="200">
        <f t="shared" si="125"/>
        <v>48.88546787047725</v>
      </c>
      <c r="AD181" s="200">
        <f t="shared" si="125"/>
        <v>53.054703373493318</v>
      </c>
      <c r="AE181" s="200">
        <f t="shared" si="125"/>
        <v>57.223938876509386</v>
      </c>
      <c r="AF181" s="200">
        <f t="shared" si="125"/>
        <v>61.393174379525455</v>
      </c>
      <c r="AG181" s="200">
        <f t="shared" si="125"/>
        <v>65.562409882541516</v>
      </c>
      <c r="AH181" s="200">
        <f t="shared" si="125"/>
        <v>69.731645385557584</v>
      </c>
      <c r="AI181" s="200">
        <f t="shared" si="125"/>
        <v>73.900880888573653</v>
      </c>
      <c r="AJ181" s="200">
        <f t="shared" si="125"/>
        <v>78.070116391589721</v>
      </c>
      <c r="AK181" s="200">
        <f t="shared" si="125"/>
        <v>82.23935189460579</v>
      </c>
      <c r="AL181" s="200">
        <f t="shared" si="125"/>
        <v>86.408587397621858</v>
      </c>
      <c r="AM181" s="200">
        <f t="shared" si="125"/>
        <v>90.577822900637926</v>
      </c>
      <c r="AN181" s="200">
        <f t="shared" si="125"/>
        <v>127.00875867012493</v>
      </c>
      <c r="AO181" s="200">
        <f t="shared" si="125"/>
        <v>163.43969443961191</v>
      </c>
      <c r="AP181" s="200">
        <f t="shared" si="125"/>
        <v>163.43969443961191</v>
      </c>
      <c r="AQ181" s="200">
        <f t="shared" si="125"/>
        <v>163.43969443961191</v>
      </c>
      <c r="AZ181" s="200"/>
      <c r="BA181" s="200"/>
      <c r="BB181" s="200"/>
      <c r="BC181" s="200"/>
      <c r="BD181" s="200"/>
      <c r="BE181" s="200"/>
    </row>
    <row r="182" spans="1:57">
      <c r="A182" s="199" t="s">
        <v>16</v>
      </c>
      <c r="B182" s="22"/>
      <c r="C182" s="23"/>
      <c r="D182" s="61"/>
      <c r="E182" s="23"/>
      <c r="F182" s="23"/>
      <c r="G182" s="23"/>
      <c r="H182" s="23"/>
      <c r="I182" s="23"/>
      <c r="J182" s="145" t="str">
        <f t="shared" si="118"/>
        <v>TFROT</v>
      </c>
      <c r="K182" s="200">
        <f t="shared" si="125"/>
        <v>25.1</v>
      </c>
      <c r="L182" s="200">
        <f t="shared" si="125"/>
        <v>25.565088232651718</v>
      </c>
      <c r="M182" s="200">
        <f t="shared" si="125"/>
        <v>26.030176465303434</v>
      </c>
      <c r="N182" s="200">
        <f t="shared" si="125"/>
        <v>26.495264697955154</v>
      </c>
      <c r="O182" s="200">
        <f t="shared" si="125"/>
        <v>26.891657045383518</v>
      </c>
      <c r="P182" s="200">
        <f t="shared" si="125"/>
        <v>27.288049392811885</v>
      </c>
      <c r="Q182" s="200">
        <f t="shared" si="125"/>
        <v>26.981510191502863</v>
      </c>
      <c r="R182" s="200">
        <f t="shared" si="125"/>
        <v>26.674970990193842</v>
      </c>
      <c r="S182" s="200">
        <f t="shared" si="125"/>
        <v>26.368431788884816</v>
      </c>
      <c r="T182" s="200">
        <f t="shared" si="125"/>
        <v>27.40098233685374</v>
      </c>
      <c r="U182" s="200">
        <f t="shared" si="125"/>
        <v>28.433532884822664</v>
      </c>
      <c r="V182" s="200">
        <f t="shared" si="125"/>
        <v>29.466083432791589</v>
      </c>
      <c r="W182" s="200">
        <f t="shared" si="125"/>
        <v>30.498633980760513</v>
      </c>
      <c r="X182" s="200">
        <f t="shared" si="125"/>
        <v>31.531184528729437</v>
      </c>
      <c r="Y182" s="200">
        <f t="shared" si="125"/>
        <v>32.563735076698357</v>
      </c>
      <c r="Z182" s="200">
        <f t="shared" si="126"/>
        <v>33.596285624667281</v>
      </c>
      <c r="AA182" s="200">
        <f t="shared" si="126"/>
        <v>34.628836172636206</v>
      </c>
      <c r="AB182" s="200">
        <f t="shared" si="125"/>
        <v>35.66138672060513</v>
      </c>
      <c r="AC182" s="200">
        <f t="shared" si="125"/>
        <v>36.693937268574047</v>
      </c>
      <c r="AD182" s="200">
        <f t="shared" si="125"/>
        <v>38.360083352691525</v>
      </c>
      <c r="AE182" s="200">
        <f t="shared" si="125"/>
        <v>40.026229436809004</v>
      </c>
      <c r="AF182" s="200">
        <f t="shared" si="125"/>
        <v>41.692375520926483</v>
      </c>
      <c r="AG182" s="200">
        <f t="shared" si="125"/>
        <v>43.358521605043961</v>
      </c>
      <c r="AH182" s="200">
        <f t="shared" si="125"/>
        <v>45.02466768916144</v>
      </c>
      <c r="AI182" s="200">
        <f t="shared" si="125"/>
        <v>46.690813773278919</v>
      </c>
      <c r="AJ182" s="200">
        <f t="shared" si="125"/>
        <v>48.356959857396397</v>
      </c>
      <c r="AK182" s="200">
        <f t="shared" si="125"/>
        <v>50.023105941513876</v>
      </c>
      <c r="AL182" s="200">
        <f t="shared" si="125"/>
        <v>51.689252025631355</v>
      </c>
      <c r="AM182" s="200">
        <f t="shared" si="125"/>
        <v>53.355398109748847</v>
      </c>
      <c r="AN182" s="200">
        <f t="shared" si="125"/>
        <v>66.904029164859097</v>
      </c>
      <c r="AO182" s="200">
        <f t="shared" si="125"/>
        <v>80.452660219969331</v>
      </c>
      <c r="AP182" s="200">
        <f t="shared" si="125"/>
        <v>80.452660219969331</v>
      </c>
      <c r="AQ182" s="200">
        <f t="shared" si="125"/>
        <v>80.452660219969331</v>
      </c>
      <c r="AZ182" s="200"/>
      <c r="BA182" s="200"/>
      <c r="BB182" s="200"/>
      <c r="BC182" s="200"/>
      <c r="BD182" s="200"/>
      <c r="BE182" s="200"/>
    </row>
    <row r="183" spans="1:57">
      <c r="A183" s="199" t="s">
        <v>16</v>
      </c>
      <c r="J183" s="145" t="str">
        <f t="shared" si="118"/>
        <v>TFREX</v>
      </c>
      <c r="K183" s="200">
        <f t="shared" si="125"/>
        <v>82</v>
      </c>
      <c r="L183" s="200">
        <f t="shared" si="125"/>
        <v>82</v>
      </c>
      <c r="M183" s="200">
        <f t="shared" si="125"/>
        <v>82</v>
      </c>
      <c r="N183" s="200">
        <f t="shared" si="125"/>
        <v>82</v>
      </c>
      <c r="O183" s="200">
        <f t="shared" si="125"/>
        <v>82</v>
      </c>
      <c r="P183" s="200">
        <f t="shared" si="125"/>
        <v>82</v>
      </c>
      <c r="Q183" s="200">
        <f t="shared" si="125"/>
        <v>80.333090323072156</v>
      </c>
      <c r="R183" s="200">
        <f t="shared" si="125"/>
        <v>78.666180646144312</v>
      </c>
      <c r="S183" s="200">
        <f t="shared" si="125"/>
        <v>76.999270969216482</v>
      </c>
      <c r="T183" s="200">
        <f t="shared" si="125"/>
        <v>79.135375281788185</v>
      </c>
      <c r="U183" s="200">
        <f t="shared" si="125"/>
        <v>81.271479594359903</v>
      </c>
      <c r="V183" s="200">
        <f t="shared" si="125"/>
        <v>83.40758390693162</v>
      </c>
      <c r="W183" s="200">
        <f t="shared" si="125"/>
        <v>85.543688219503338</v>
      </c>
      <c r="X183" s="200">
        <f t="shared" si="125"/>
        <v>87.679792532075055</v>
      </c>
      <c r="Y183" s="200">
        <f t="shared" si="125"/>
        <v>89.815896844646772</v>
      </c>
      <c r="Z183" s="200">
        <f t="shared" si="126"/>
        <v>91.95200115721849</v>
      </c>
      <c r="AA183" s="200">
        <f t="shared" si="126"/>
        <v>94.088105469790207</v>
      </c>
      <c r="AB183" s="200">
        <f t="shared" si="125"/>
        <v>96.224209782361925</v>
      </c>
      <c r="AC183" s="200">
        <f t="shared" si="125"/>
        <v>98.360314094933585</v>
      </c>
      <c r="AD183" s="200">
        <f t="shared" si="125"/>
        <v>101.69681486905661</v>
      </c>
      <c r="AE183" s="200">
        <f t="shared" si="125"/>
        <v>105.03331564317963</v>
      </c>
      <c r="AF183" s="200">
        <f t="shared" si="125"/>
        <v>108.36981641730266</v>
      </c>
      <c r="AG183" s="200">
        <f t="shared" si="125"/>
        <v>111.70631719142568</v>
      </c>
      <c r="AH183" s="200">
        <f t="shared" si="125"/>
        <v>115.04281796554871</v>
      </c>
      <c r="AI183" s="200">
        <f t="shared" si="125"/>
        <v>118.37931873967173</v>
      </c>
      <c r="AJ183" s="200">
        <f t="shared" si="125"/>
        <v>121.71581951379476</v>
      </c>
      <c r="AK183" s="200">
        <f t="shared" si="125"/>
        <v>125.05232028791778</v>
      </c>
      <c r="AL183" s="200">
        <f t="shared" si="125"/>
        <v>128.38882106204079</v>
      </c>
      <c r="AM183" s="200">
        <f t="shared" si="125"/>
        <v>131.72532183616377</v>
      </c>
      <c r="AN183" s="200">
        <f t="shared" si="125"/>
        <v>161.45807919856674</v>
      </c>
      <c r="AO183" s="200">
        <f t="shared" si="125"/>
        <v>191.19083656096981</v>
      </c>
      <c r="AP183" s="200">
        <f t="shared" si="125"/>
        <v>191.19083656096981</v>
      </c>
      <c r="AQ183" s="200">
        <f t="shared" si="125"/>
        <v>191.19083656096981</v>
      </c>
      <c r="AZ183" s="200"/>
      <c r="BA183" s="200"/>
      <c r="BB183" s="200"/>
      <c r="BC183" s="200"/>
      <c r="BD183" s="200"/>
      <c r="BE183" s="200"/>
    </row>
    <row r="184" spans="1:57">
      <c r="A184" s="199" t="s">
        <v>16</v>
      </c>
    </row>
  </sheetData>
  <mergeCells count="1">
    <mergeCell ref="B2:C2"/>
  </mergeCells>
  <phoneticPr fontId="167" type="noConversion"/>
  <pageMargins left="0.7" right="0.7" top="0.75" bottom="0.75" header="0.3" footer="0.3"/>
  <ignoredErrors>
    <ignoredError sqref="D134"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J277"/>
  <sheetViews>
    <sheetView topLeftCell="A201" zoomScale="76" zoomScaleNormal="76" workbookViewId="0">
      <selection activeCell="J221" sqref="J221"/>
    </sheetView>
  </sheetViews>
  <sheetFormatPr defaultColWidth="9.140625" defaultRowHeight="15"/>
  <cols>
    <col min="1" max="1" width="9" style="199" customWidth="1"/>
    <col min="2" max="2" width="11.140625" style="199" customWidth="1"/>
    <col min="3" max="3" width="42.85546875" style="199" customWidth="1"/>
    <col min="4" max="4" width="15.85546875" style="199" customWidth="1"/>
    <col min="5" max="5" width="10.140625" style="199" customWidth="1"/>
    <col min="6" max="7" width="7.42578125" style="199" customWidth="1"/>
    <col min="8" max="8" width="8.42578125" style="199" bestFit="1" customWidth="1"/>
    <col min="9" max="9" width="8.85546875" style="199" bestFit="1" customWidth="1"/>
    <col min="10" max="11" width="11.140625" style="199" bestFit="1" customWidth="1"/>
    <col min="12" max="12" width="9.140625" style="41" bestFit="1" customWidth="1"/>
    <col min="13" max="13" width="7.85546875" style="199" customWidth="1"/>
    <col min="14" max="14" width="7.7109375" style="199" customWidth="1"/>
    <col min="15" max="15" width="8.42578125" style="199" bestFit="1" customWidth="1"/>
    <col min="16" max="17" width="8.42578125" style="199" customWidth="1"/>
    <col min="18" max="18" width="7.5703125" style="199" customWidth="1"/>
    <col min="19" max="19" width="7.85546875" style="199" customWidth="1"/>
    <col min="20" max="20" width="9.42578125" style="199" customWidth="1"/>
    <col min="21" max="21" width="8.140625" style="199" customWidth="1"/>
    <col min="22" max="22" width="9.85546875" style="199" customWidth="1"/>
    <col min="23" max="23" width="9.42578125" style="199" customWidth="1"/>
    <col min="24" max="24" width="9.7109375" style="199" customWidth="1"/>
    <col min="25" max="42" width="7.7109375" style="199" customWidth="1"/>
    <col min="43" max="53" width="9.140625" style="199"/>
    <col min="54" max="54" width="19.140625" style="199" customWidth="1"/>
    <col min="55" max="16384" width="9.140625" style="199"/>
  </cols>
  <sheetData>
    <row r="1" spans="1:62">
      <c r="A1" s="199" t="str">
        <f>IF(TRA,"TS DATA","")</f>
        <v>TS DATA</v>
      </c>
      <c r="B1" s="199" t="s">
        <v>17</v>
      </c>
      <c r="D1" s="199">
        <f>DriversGams!C163</f>
        <v>2</v>
      </c>
      <c r="BA1" s="206" t="s">
        <v>223</v>
      </c>
      <c r="BB1" s="206" t="s">
        <v>540</v>
      </c>
      <c r="BC1" s="206" t="s">
        <v>197</v>
      </c>
      <c r="BD1" s="206" t="s">
        <v>544</v>
      </c>
      <c r="BE1" s="206"/>
      <c r="BF1" s="206"/>
      <c r="BG1" s="304" t="s">
        <v>624</v>
      </c>
      <c r="BH1" s="304"/>
      <c r="BI1" s="304"/>
      <c r="BJ1" s="206"/>
    </row>
    <row r="2" spans="1:62" ht="15.75" thickBot="1">
      <c r="A2" s="199" t="s">
        <v>16</v>
      </c>
      <c r="B2" s="301" t="s">
        <v>296</v>
      </c>
      <c r="C2" s="301"/>
      <c r="L2" s="150"/>
      <c r="M2" s="150"/>
      <c r="N2" s="150"/>
      <c r="O2" s="150"/>
      <c r="P2" s="34"/>
      <c r="Q2" s="34"/>
      <c r="R2" s="34"/>
      <c r="S2" s="34"/>
      <c r="T2" s="34"/>
      <c r="U2" s="34"/>
      <c r="V2" s="34"/>
      <c r="W2" s="34"/>
      <c r="X2" s="34"/>
      <c r="Y2" s="34"/>
      <c r="Z2" s="34"/>
      <c r="AA2" s="34"/>
      <c r="AB2" s="34"/>
      <c r="AC2" s="34"/>
      <c r="AD2" s="34"/>
      <c r="AE2" s="34"/>
      <c r="AF2" s="34"/>
      <c r="AG2" s="34"/>
      <c r="AH2" s="34"/>
      <c r="AI2" s="34"/>
      <c r="AJ2" s="34"/>
      <c r="BA2" s="206"/>
      <c r="BB2" s="206"/>
      <c r="BC2" s="206"/>
      <c r="BD2" s="206" t="s">
        <v>541</v>
      </c>
      <c r="BE2" s="206" t="s">
        <v>541</v>
      </c>
      <c r="BF2" s="206" t="s">
        <v>546</v>
      </c>
      <c r="BG2" s="206" t="s">
        <v>621</v>
      </c>
      <c r="BH2" s="206" t="s">
        <v>622</v>
      </c>
      <c r="BI2" s="206" t="s">
        <v>623</v>
      </c>
      <c r="BJ2" s="206"/>
    </row>
    <row r="3" spans="1:62">
      <c r="A3" s="199" t="s">
        <v>16</v>
      </c>
      <c r="B3" s="245"/>
      <c r="C3" s="206" t="str">
        <f>INDEX($BB$4:$BB$7,MATCH($D$3,$BA$4:$BA$7,0))</f>
        <v>NDC-PAMS-lo</v>
      </c>
      <c r="D3" s="210">
        <f>D1</f>
        <v>2</v>
      </c>
      <c r="L3" s="40"/>
      <c r="BA3" s="206"/>
      <c r="BB3" s="206"/>
      <c r="BC3" s="206"/>
      <c r="BD3" s="206" t="s">
        <v>542</v>
      </c>
      <c r="BE3" s="206" t="s">
        <v>543</v>
      </c>
      <c r="BF3" s="206"/>
      <c r="BG3" s="206"/>
      <c r="BH3" s="206"/>
      <c r="BI3" s="206"/>
      <c r="BJ3" s="206"/>
    </row>
    <row r="4" spans="1:62">
      <c r="A4" s="199" t="s">
        <v>16</v>
      </c>
      <c r="C4" s="5" t="s">
        <v>198</v>
      </c>
      <c r="D4" s="209">
        <f>INDEX($BC$4:$BC$7,MATCH($D$3,$BA$4:$BA$7,0))</f>
        <v>1</v>
      </c>
      <c r="E4" s="199">
        <v>2012</v>
      </c>
      <c r="F4" s="199">
        <v>2015</v>
      </c>
      <c r="G4" s="199">
        <v>2017</v>
      </c>
      <c r="H4" s="199">
        <v>2020</v>
      </c>
      <c r="I4" s="199">
        <v>2030</v>
      </c>
      <c r="J4" s="199">
        <v>2040</v>
      </c>
      <c r="K4" s="131">
        <v>2050</v>
      </c>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BA4" s="206">
        <v>-1</v>
      </c>
      <c r="BB4" s="206" t="s">
        <v>627</v>
      </c>
      <c r="BC4" s="206">
        <v>0</v>
      </c>
      <c r="BD4" s="197">
        <v>0.97499999999999998</v>
      </c>
      <c r="BE4" s="198">
        <v>0.95</v>
      </c>
      <c r="BF4" s="215">
        <v>1</v>
      </c>
      <c r="BG4" s="198">
        <v>0</v>
      </c>
      <c r="BH4" s="195">
        <v>0</v>
      </c>
      <c r="BI4" s="198">
        <v>0</v>
      </c>
      <c r="BJ4" s="206"/>
    </row>
    <row r="5" spans="1:62" ht="15.75" thickBot="1">
      <c r="A5" s="199" t="s">
        <v>16</v>
      </c>
      <c r="B5" s="244"/>
      <c r="C5" s="244"/>
      <c r="K5" s="131"/>
      <c r="L5" s="199"/>
      <c r="BA5" s="206">
        <v>1</v>
      </c>
      <c r="BB5" s="206" t="s">
        <v>628</v>
      </c>
      <c r="BC5" s="206">
        <v>1</v>
      </c>
      <c r="BD5" s="197">
        <v>0.97499999999999998</v>
      </c>
      <c r="BE5" s="198">
        <v>0.95</v>
      </c>
      <c r="BF5" s="215">
        <v>0</v>
      </c>
      <c r="BG5" s="198">
        <v>0</v>
      </c>
      <c r="BH5" s="195">
        <v>0</v>
      </c>
      <c r="BI5" s="198">
        <v>0</v>
      </c>
      <c r="BJ5" s="206"/>
    </row>
    <row r="6" spans="1:62">
      <c r="A6" s="199" t="s">
        <v>16</v>
      </c>
      <c r="E6" s="200"/>
      <c r="F6" s="200"/>
      <c r="G6" s="200"/>
      <c r="H6" s="200"/>
      <c r="I6" s="200"/>
      <c r="J6" s="200"/>
      <c r="K6" s="159"/>
      <c r="L6" s="256"/>
      <c r="M6" s="256"/>
      <c r="N6" s="256"/>
      <c r="O6" s="256"/>
      <c r="P6" s="256"/>
      <c r="Q6" s="256"/>
      <c r="R6" s="256"/>
      <c r="S6" s="256"/>
      <c r="T6" s="256"/>
      <c r="U6" s="256"/>
      <c r="V6" s="256"/>
      <c r="W6" s="256"/>
      <c r="X6" s="256"/>
      <c r="Y6" s="256"/>
      <c r="Z6" s="256"/>
      <c r="AA6" s="256"/>
      <c r="AB6" s="256"/>
      <c r="AC6" s="256"/>
      <c r="AD6" s="256"/>
      <c r="AE6" s="256"/>
      <c r="AF6" s="256"/>
      <c r="AG6" s="256"/>
      <c r="AH6" s="256"/>
      <c r="AI6" s="256"/>
      <c r="AJ6" s="256"/>
      <c r="AK6" s="256"/>
      <c r="AL6" s="256"/>
      <c r="AM6" s="256"/>
      <c r="AN6" s="256"/>
      <c r="AO6" s="256"/>
      <c r="AP6" s="256"/>
      <c r="BA6" s="206">
        <v>2</v>
      </c>
      <c r="BB6" s="206" t="s">
        <v>619</v>
      </c>
      <c r="BC6" s="206">
        <v>1</v>
      </c>
      <c r="BD6" s="197">
        <v>0.97499999999999998</v>
      </c>
      <c r="BE6" s="198">
        <v>0.95</v>
      </c>
      <c r="BF6" s="216">
        <v>1</v>
      </c>
      <c r="BG6" s="198">
        <v>0</v>
      </c>
      <c r="BH6" s="272">
        <v>0</v>
      </c>
      <c r="BI6" s="198">
        <v>0</v>
      </c>
      <c r="BJ6" s="206"/>
    </row>
    <row r="7" spans="1:62">
      <c r="A7" s="199" t="s">
        <v>16</v>
      </c>
      <c r="BA7" s="206">
        <v>3</v>
      </c>
      <c r="BB7" s="206" t="s">
        <v>629</v>
      </c>
      <c r="BC7" s="206">
        <v>1</v>
      </c>
      <c r="BD7" s="197">
        <v>0.97499999999999998</v>
      </c>
      <c r="BE7" s="198">
        <v>0.95</v>
      </c>
      <c r="BF7" s="216">
        <v>1</v>
      </c>
      <c r="BG7" s="197">
        <v>0.05</v>
      </c>
      <c r="BH7" s="197">
        <v>2.5000000000000001E-2</v>
      </c>
      <c r="BI7" s="197">
        <v>0.2</v>
      </c>
      <c r="BJ7" s="206"/>
    </row>
    <row r="8" spans="1:62">
      <c r="A8" s="199" t="s">
        <v>16</v>
      </c>
    </row>
    <row r="9" spans="1:62">
      <c r="A9" s="199" t="s">
        <v>16</v>
      </c>
    </row>
    <row r="10" spans="1:62">
      <c r="A10" s="199" t="s">
        <v>16</v>
      </c>
      <c r="B10" s="245"/>
      <c r="C10" s="245"/>
    </row>
    <row r="11" spans="1:62" ht="15.75" thickBot="1">
      <c r="A11" s="199" t="s">
        <v>16</v>
      </c>
      <c r="B11" s="244" t="s">
        <v>56</v>
      </c>
      <c r="E11" s="199">
        <f>MATCH(E12,Drivers!$C$5:$AG$5,0)</f>
        <v>1</v>
      </c>
      <c r="F11" s="199">
        <f>MATCH(F12,Drivers!$C$5:$AG$5,0)</f>
        <v>4</v>
      </c>
      <c r="G11" s="199">
        <f>MATCH(G12,Drivers!$C$5:$AG$5,0)</f>
        <v>6</v>
      </c>
      <c r="H11" s="199">
        <f>MATCH(H12,Drivers!$C$5:$AG$5,0)</f>
        <v>9</v>
      </c>
      <c r="I11" s="199">
        <f>MATCH(I12,Drivers!$C$5:$AG$5,0)</f>
        <v>19</v>
      </c>
      <c r="J11" s="199">
        <f>MATCH(J12,Drivers!$C$5:$AG$5,0)</f>
        <v>29</v>
      </c>
      <c r="K11" s="199">
        <f>MATCH(K12,Drivers!$C$5:$AG$5,0)</f>
        <v>31</v>
      </c>
      <c r="M11" s="5" t="s">
        <v>41</v>
      </c>
      <c r="S11" s="5" t="s">
        <v>197</v>
      </c>
    </row>
    <row r="12" spans="1:62" ht="15.75" thickBot="1">
      <c r="A12" s="199" t="s">
        <v>16</v>
      </c>
      <c r="D12" s="244"/>
      <c r="E12" s="7">
        <v>2012</v>
      </c>
      <c r="F12" s="7">
        <f>F4</f>
        <v>2015</v>
      </c>
      <c r="G12" s="7">
        <v>2017</v>
      </c>
      <c r="H12" s="7">
        <v>2020</v>
      </c>
      <c r="I12" s="7">
        <v>2030</v>
      </c>
      <c r="J12" s="7">
        <v>2040</v>
      </c>
      <c r="K12" s="7">
        <v>2050</v>
      </c>
      <c r="M12" s="7">
        <v>2015</v>
      </c>
      <c r="N12" s="7">
        <v>2020</v>
      </c>
      <c r="O12" s="7">
        <v>2030</v>
      </c>
      <c r="P12" s="7">
        <v>2040</v>
      </c>
      <c r="Q12" s="7">
        <v>2050</v>
      </c>
      <c r="S12" s="7">
        <v>2015</v>
      </c>
      <c r="T12" s="7">
        <v>2020</v>
      </c>
      <c r="U12" s="7">
        <v>2030</v>
      </c>
      <c r="V12" s="7">
        <v>2040</v>
      </c>
      <c r="W12" s="7">
        <v>2050</v>
      </c>
    </row>
    <row r="13" spans="1:62">
      <c r="A13" s="199" t="s">
        <v>16</v>
      </c>
      <c r="C13" s="199" t="s">
        <v>49</v>
      </c>
      <c r="D13" s="199" t="s">
        <v>47</v>
      </c>
      <c r="E13" s="200">
        <f>INDEX(Drivers!$C$31:$AG$33,1,E$11)</f>
        <v>26.515913112989015</v>
      </c>
      <c r="F13" s="200">
        <f>INDEX(Drivers!$C$31:$AG$33,1,F$11)</f>
        <v>25.512634009282493</v>
      </c>
      <c r="G13" s="200">
        <f>INDEX(Drivers!$C$31:$AG$33,1,G$11)</f>
        <v>25.186180047358391</v>
      </c>
      <c r="H13" s="200">
        <f>INDEX(Drivers!$C$31:$AG$33,1,H$11)</f>
        <v>25.4523243135</v>
      </c>
      <c r="I13" s="200">
        <f>INDEX(Drivers!$C$31:$AG$33,1,I$11)</f>
        <v>20.712850503599999</v>
      </c>
      <c r="J13" s="200">
        <f>INDEX(Drivers!$C$31:$AG$33,1,J$11)</f>
        <v>14.739000688999997</v>
      </c>
      <c r="K13" s="200">
        <f>INDEX(Drivers!$C$31:$AG$33,1,K$11)</f>
        <v>10.434309486529997</v>
      </c>
      <c r="M13" s="200">
        <f>E13</f>
        <v>26.515913112989015</v>
      </c>
      <c r="N13" s="200">
        <f t="shared" ref="N13:Q15" si="0">H13</f>
        <v>25.4523243135</v>
      </c>
      <c r="O13" s="200">
        <f t="shared" si="0"/>
        <v>20.712850503599999</v>
      </c>
      <c r="P13" s="200">
        <f t="shared" si="0"/>
        <v>14.739000688999997</v>
      </c>
      <c r="Q13" s="200">
        <f t="shared" si="0"/>
        <v>10.434309486529997</v>
      </c>
      <c r="S13" s="200">
        <f>E13</f>
        <v>26.515913112989015</v>
      </c>
      <c r="T13" s="200">
        <f t="shared" ref="T13:W15" si="1">H13</f>
        <v>25.4523243135</v>
      </c>
      <c r="U13" s="200">
        <f t="shared" si="1"/>
        <v>20.712850503599999</v>
      </c>
      <c r="V13" s="200">
        <f t="shared" si="1"/>
        <v>14.739000688999997</v>
      </c>
      <c r="W13" s="200">
        <f t="shared" si="1"/>
        <v>10.434309486529997</v>
      </c>
    </row>
    <row r="14" spans="1:62">
      <c r="A14" s="199" t="s">
        <v>16</v>
      </c>
      <c r="C14" s="199" t="s">
        <v>51</v>
      </c>
      <c r="D14" s="199" t="s">
        <v>47</v>
      </c>
      <c r="E14" s="200">
        <f>INDEX(Drivers!$C$31:$AG$33,2,E$11)</f>
        <v>15.909547867793409</v>
      </c>
      <c r="F14" s="200">
        <f>INDEX(Drivers!$C$31:$AG$33,2,F$11)</f>
        <v>16.599254000030616</v>
      </c>
      <c r="G14" s="200">
        <f>INDEX(Drivers!$C$31:$AG$33,2,G$11)</f>
        <v>17.161193864405195</v>
      </c>
      <c r="H14" s="200">
        <f>INDEX(Drivers!$C$31:$AG$33,2,H$11)</f>
        <v>18.6923198273</v>
      </c>
      <c r="I14" s="200">
        <f>INDEX(Drivers!$C$31:$AG$33,2,I$11)</f>
        <v>21.354603259300003</v>
      </c>
      <c r="J14" s="200">
        <f>INDEX(Drivers!$C$31:$AG$33,2,J$11)</f>
        <v>25.239021954659997</v>
      </c>
      <c r="K14" s="200">
        <f>INDEX(Drivers!$C$31:$AG$33,2,K$11)</f>
        <v>28.751933493569997</v>
      </c>
      <c r="M14" s="200">
        <f>E14</f>
        <v>15.909547867793409</v>
      </c>
      <c r="N14" s="200">
        <f t="shared" si="0"/>
        <v>18.6923198273</v>
      </c>
      <c r="O14" s="200">
        <f t="shared" si="0"/>
        <v>21.354603259300003</v>
      </c>
      <c r="P14" s="200">
        <f t="shared" si="0"/>
        <v>25.239021954659997</v>
      </c>
      <c r="Q14" s="200">
        <f t="shared" si="0"/>
        <v>28.751933493569997</v>
      </c>
      <c r="S14" s="200">
        <f>E14</f>
        <v>15.909547867793409</v>
      </c>
      <c r="T14" s="200">
        <f t="shared" si="1"/>
        <v>18.6923198273</v>
      </c>
      <c r="U14" s="200">
        <f t="shared" si="1"/>
        <v>21.354603259300003</v>
      </c>
      <c r="V14" s="200">
        <f t="shared" si="1"/>
        <v>25.239021954659997</v>
      </c>
      <c r="W14" s="200">
        <f t="shared" si="1"/>
        <v>28.751933493569997</v>
      </c>
    </row>
    <row r="15" spans="1:62">
      <c r="A15" s="199" t="s">
        <v>16</v>
      </c>
      <c r="C15" s="199" t="s">
        <v>50</v>
      </c>
      <c r="D15" s="199" t="s">
        <v>47</v>
      </c>
      <c r="E15" s="200">
        <f>INDEX(Drivers!$C$31:$AG$33,3,E$11)</f>
        <v>9.8999719012876621</v>
      </c>
      <c r="F15" s="200">
        <f>INDEX(Drivers!$C$31:$AG$33,3,F$11)</f>
        <v>12.638603448008004</v>
      </c>
      <c r="G15" s="200">
        <f>INDEX(Drivers!$C$31:$AG$33,3,G$11)</f>
        <v>14.17457412988451</v>
      </c>
      <c r="H15" s="200">
        <f>INDEX(Drivers!$C$31:$AG$33,3,H$11)</f>
        <v>15.164045859200005</v>
      </c>
      <c r="I15" s="200">
        <f>INDEX(Drivers!$C$31:$AG$33,3,I$11)</f>
        <v>23.888636237100002</v>
      </c>
      <c r="J15" s="200">
        <f>INDEX(Drivers!$C$31:$AG$33,3,J$11)</f>
        <v>31.397283356339997</v>
      </c>
      <c r="K15" s="200">
        <f>INDEX(Drivers!$C$31:$AG$33,3,K$11)</f>
        <v>36.331666019899991</v>
      </c>
      <c r="M15" s="200">
        <f>E15</f>
        <v>9.8999719012876621</v>
      </c>
      <c r="N15" s="200">
        <f t="shared" si="0"/>
        <v>15.164045859200005</v>
      </c>
      <c r="O15" s="200">
        <f t="shared" si="0"/>
        <v>23.888636237100002</v>
      </c>
      <c r="P15" s="200">
        <f t="shared" si="0"/>
        <v>31.397283356339997</v>
      </c>
      <c r="Q15" s="200">
        <f t="shared" si="0"/>
        <v>36.331666019899991</v>
      </c>
      <c r="S15" s="200">
        <f>E15</f>
        <v>9.8999719012876621</v>
      </c>
      <c r="T15" s="200">
        <f t="shared" si="1"/>
        <v>15.164045859200005</v>
      </c>
      <c r="U15" s="200">
        <f t="shared" si="1"/>
        <v>23.888636237100002</v>
      </c>
      <c r="V15" s="200">
        <f t="shared" si="1"/>
        <v>31.397283356339997</v>
      </c>
      <c r="W15" s="200">
        <f t="shared" si="1"/>
        <v>36.331666019899991</v>
      </c>
      <c r="BD15" s="30"/>
    </row>
    <row r="16" spans="1:62">
      <c r="A16" s="199" t="s">
        <v>16</v>
      </c>
      <c r="E16" s="3">
        <f t="shared" ref="E16:K16" si="2">SUM(E13:E15)</f>
        <v>52.325432882070089</v>
      </c>
      <c r="F16" s="3">
        <f>SUM(F13:F15)</f>
        <v>54.750491457321111</v>
      </c>
      <c r="G16" s="3">
        <f>SUM(G13:G15)</f>
        <v>56.521948041648095</v>
      </c>
      <c r="H16" s="3">
        <f t="shared" si="2"/>
        <v>59.308689999999999</v>
      </c>
      <c r="I16" s="3">
        <f t="shared" si="2"/>
        <v>65.956090000000003</v>
      </c>
      <c r="J16" s="3">
        <f t="shared" si="2"/>
        <v>71.375305999999995</v>
      </c>
      <c r="K16" s="3">
        <f t="shared" si="2"/>
        <v>75.517908999999975</v>
      </c>
      <c r="M16" s="3">
        <f>SUM(M13:M15)</f>
        <v>52.325432882070089</v>
      </c>
      <c r="N16" s="3">
        <f>SUM(N13:N15)</f>
        <v>59.308689999999999</v>
      </c>
      <c r="O16" s="3">
        <f>SUM(O13:O15)</f>
        <v>65.956090000000003</v>
      </c>
      <c r="P16" s="3">
        <f>SUM(P13:P15)</f>
        <v>71.375305999999995</v>
      </c>
      <c r="Q16" s="3">
        <f>SUM(Q13:Q15)</f>
        <v>75.517908999999975</v>
      </c>
      <c r="S16" s="49">
        <f>SUM(S13:S15)</f>
        <v>52.325432882070089</v>
      </c>
      <c r="T16" s="49">
        <f>SUM(T13:T15)</f>
        <v>59.308689999999999</v>
      </c>
      <c r="U16" s="49">
        <f>SUM(U13:U15)</f>
        <v>65.956090000000003</v>
      </c>
      <c r="V16" s="49">
        <f>SUM(V13:V15)</f>
        <v>71.375305999999995</v>
      </c>
      <c r="W16" s="49">
        <f>SUM(W13:W15)</f>
        <v>75.517908999999975</v>
      </c>
      <c r="BD16" s="30"/>
    </row>
    <row r="17" spans="1:56">
      <c r="A17" s="199" t="s">
        <v>16</v>
      </c>
      <c r="B17" s="245"/>
      <c r="BD17" s="30"/>
    </row>
    <row r="18" spans="1:56" ht="15.75" thickBot="1">
      <c r="A18" s="199" t="s">
        <v>16</v>
      </c>
      <c r="B18" s="28"/>
      <c r="C18" s="244" t="s">
        <v>58</v>
      </c>
      <c r="D18" s="244"/>
      <c r="E18" s="7">
        <v>2012</v>
      </c>
      <c r="F18" s="7">
        <v>2015</v>
      </c>
      <c r="G18" s="7">
        <f>G12</f>
        <v>2017</v>
      </c>
      <c r="H18" s="7">
        <v>2020</v>
      </c>
      <c r="I18" s="7">
        <v>2030</v>
      </c>
      <c r="J18" s="7">
        <v>2040</v>
      </c>
      <c r="K18" s="7">
        <v>2050</v>
      </c>
    </row>
    <row r="19" spans="1:56">
      <c r="A19" s="199" t="s">
        <v>16</v>
      </c>
      <c r="B19" s="245"/>
      <c r="C19" s="199" t="s">
        <v>7</v>
      </c>
      <c r="D19" s="36" t="s">
        <v>512</v>
      </c>
      <c r="E19" s="10">
        <f>RES!E43</f>
        <v>1</v>
      </c>
      <c r="F19" s="10">
        <f>RES!E43</f>
        <v>1</v>
      </c>
      <c r="G19" s="232">
        <f>AVERAGE(F19,H19)</f>
        <v>1</v>
      </c>
      <c r="H19" s="10">
        <f>RES!F43</f>
        <v>1</v>
      </c>
      <c r="I19" s="10">
        <f>RES!G43</f>
        <v>1</v>
      </c>
      <c r="J19" s="10">
        <f>RES!H43</f>
        <v>1</v>
      </c>
      <c r="K19" s="10">
        <f>RES!I43</f>
        <v>1</v>
      </c>
      <c r="L19" s="44"/>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1:56">
      <c r="A20" s="199" t="s">
        <v>16</v>
      </c>
      <c r="B20" s="245"/>
      <c r="C20" s="245" t="s">
        <v>8</v>
      </c>
      <c r="D20" s="36" t="s">
        <v>512</v>
      </c>
      <c r="E20" s="10">
        <f>RES!E44</f>
        <v>1</v>
      </c>
      <c r="F20" s="10">
        <f>RES!E44</f>
        <v>1</v>
      </c>
      <c r="G20" s="232">
        <f t="shared" ref="G20:G21" si="3">AVERAGE(F20,H20)</f>
        <v>1</v>
      </c>
      <c r="H20" s="10">
        <f>RES!F44</f>
        <v>1</v>
      </c>
      <c r="I20" s="10">
        <f>RES!G44</f>
        <v>1</v>
      </c>
      <c r="J20" s="10">
        <f>RES!H44</f>
        <v>1</v>
      </c>
      <c r="K20" s="10">
        <f>RES!I44</f>
        <v>1</v>
      </c>
      <c r="L20" s="44"/>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1:56">
      <c r="A21" s="199" t="s">
        <v>16</v>
      </c>
      <c r="C21" s="245" t="s">
        <v>406</v>
      </c>
      <c r="D21" s="36" t="s">
        <v>512</v>
      </c>
      <c r="E21" s="10">
        <f>RES!E45</f>
        <v>1</v>
      </c>
      <c r="F21" s="10">
        <f>RES!E45</f>
        <v>1</v>
      </c>
      <c r="G21" s="232">
        <f t="shared" si="3"/>
        <v>1.0055943820979771</v>
      </c>
      <c r="H21" s="10">
        <f>RES!F45</f>
        <v>1.0111887641959545</v>
      </c>
      <c r="I21" s="10">
        <f>RES!G45</f>
        <v>1.5435118607620457</v>
      </c>
      <c r="J21" s="10">
        <f>RES!H45</f>
        <v>2.4424769840736511</v>
      </c>
      <c r="K21" s="10">
        <f>RES!I45</f>
        <v>3.6720314494993618</v>
      </c>
      <c r="L21" s="44"/>
      <c r="M21" s="10"/>
      <c r="N21" s="47">
        <v>0.25</v>
      </c>
      <c r="O21" s="47">
        <f>N21</f>
        <v>0.25</v>
      </c>
      <c r="P21" s="47">
        <f>O21</f>
        <v>0.25</v>
      </c>
      <c r="Q21" s="47">
        <f>P21</f>
        <v>0.25</v>
      </c>
      <c r="R21" s="10"/>
      <c r="T21" s="118"/>
      <c r="U21" s="10"/>
      <c r="V21" s="10"/>
      <c r="W21" s="10"/>
      <c r="X21" s="10"/>
      <c r="Y21" s="10"/>
      <c r="Z21" s="10"/>
      <c r="AA21" s="10"/>
      <c r="AB21" s="10"/>
      <c r="AC21" s="10"/>
      <c r="AD21" s="10"/>
      <c r="AE21" s="10"/>
      <c r="AF21" s="10"/>
      <c r="AG21" s="10"/>
      <c r="AH21" s="10"/>
      <c r="AI21" s="10"/>
      <c r="AJ21" s="10"/>
      <c r="AK21" s="10"/>
      <c r="AL21" s="10"/>
      <c r="AM21" s="8"/>
      <c r="AN21" s="8"/>
      <c r="AO21" s="8"/>
      <c r="AP21" s="8"/>
    </row>
    <row r="22" spans="1:56">
      <c r="A22" s="199" t="s">
        <v>16</v>
      </c>
      <c r="C22" s="245"/>
      <c r="L22" s="44"/>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1:56">
      <c r="A23" s="199" t="s">
        <v>16</v>
      </c>
      <c r="B23" s="245"/>
      <c r="C23" s="245"/>
      <c r="S23" s="199" t="s">
        <v>199</v>
      </c>
    </row>
    <row r="24" spans="1:56" ht="15.75" thickBot="1">
      <c r="A24" s="199" t="s">
        <v>16</v>
      </c>
      <c r="B24" s="244" t="s">
        <v>160</v>
      </c>
      <c r="D24" s="244"/>
      <c r="E24" s="7">
        <v>2012</v>
      </c>
      <c r="F24" s="7">
        <f>F4</f>
        <v>2015</v>
      </c>
      <c r="G24" s="7">
        <f>G4</f>
        <v>2017</v>
      </c>
      <c r="H24" s="7">
        <v>2020</v>
      </c>
      <c r="I24" s="7">
        <v>2030</v>
      </c>
      <c r="J24" s="7">
        <v>2040</v>
      </c>
      <c r="K24" s="7">
        <v>2050</v>
      </c>
      <c r="M24" s="7">
        <f>F24</f>
        <v>2015</v>
      </c>
      <c r="N24" s="7">
        <f>H24</f>
        <v>2020</v>
      </c>
      <c r="O24" s="7">
        <f>I24</f>
        <v>2030</v>
      </c>
      <c r="P24" s="7">
        <f>J24</f>
        <v>2040</v>
      </c>
      <c r="Q24" s="7">
        <f>K24</f>
        <v>2050</v>
      </c>
      <c r="S24" s="7">
        <f>F24</f>
        <v>2015</v>
      </c>
      <c r="T24" s="7">
        <f>H24</f>
        <v>2020</v>
      </c>
      <c r="U24" s="7">
        <f>I24</f>
        <v>2030</v>
      </c>
      <c r="V24" s="7">
        <f>J24</f>
        <v>2040</v>
      </c>
      <c r="W24" s="7">
        <f>K24</f>
        <v>2050</v>
      </c>
    </row>
    <row r="25" spans="1:56">
      <c r="A25" s="199" t="s">
        <v>16</v>
      </c>
      <c r="B25" s="245"/>
      <c r="C25" s="245" t="str">
        <f>C19</f>
        <v>Low Income</v>
      </c>
      <c r="D25" s="199" t="s">
        <v>48</v>
      </c>
      <c r="E25" s="247">
        <f>[2]Calib_1011!$H$86</f>
        <v>0.02</v>
      </c>
      <c r="F25" s="66">
        <f t="shared" ref="F25:G27" si="4">IF($D$4,S25,M25)</f>
        <v>0.02</v>
      </c>
      <c r="G25" s="66">
        <f t="shared" si="4"/>
        <v>0.02</v>
      </c>
      <c r="H25" s="66">
        <f t="shared" ref="H25:K27" si="5">IF($D$4,T25,N25)</f>
        <v>0.02</v>
      </c>
      <c r="I25" s="66">
        <f t="shared" si="5"/>
        <v>0.05</v>
      </c>
      <c r="J25" s="66">
        <f t="shared" si="5"/>
        <v>0.04</v>
      </c>
      <c r="K25" s="66">
        <f t="shared" si="5"/>
        <v>0.04</v>
      </c>
      <c r="L25" s="257"/>
      <c r="M25" s="66">
        <f>E25</f>
        <v>0.02</v>
      </c>
      <c r="N25" s="35">
        <f>M25</f>
        <v>0.02</v>
      </c>
      <c r="O25" s="35">
        <f t="shared" ref="O25:Q26" si="6">N25</f>
        <v>0.02</v>
      </c>
      <c r="P25" s="35">
        <f t="shared" si="6"/>
        <v>0.02</v>
      </c>
      <c r="Q25" s="35">
        <f t="shared" si="6"/>
        <v>0.02</v>
      </c>
      <c r="R25" s="258"/>
      <c r="S25" s="66">
        <f>M25</f>
        <v>0.02</v>
      </c>
      <c r="T25" s="77">
        <f>N25</f>
        <v>0.02</v>
      </c>
      <c r="U25" s="77">
        <v>0.05</v>
      </c>
      <c r="V25" s="77">
        <v>0.04</v>
      </c>
      <c r="W25" s="77">
        <v>0.04</v>
      </c>
      <c r="X25" s="258"/>
      <c r="Y25" s="258"/>
      <c r="Z25" s="258"/>
      <c r="AA25" s="258"/>
      <c r="AB25" s="258"/>
      <c r="AC25" s="258"/>
      <c r="AD25" s="258"/>
      <c r="AE25" s="258"/>
      <c r="AF25" s="258"/>
      <c r="AG25" s="258"/>
      <c r="AH25" s="258"/>
      <c r="AI25" s="258"/>
      <c r="AJ25" s="258"/>
      <c r="AK25" s="258"/>
      <c r="AL25" s="258"/>
      <c r="AM25" s="258"/>
      <c r="AN25" s="258"/>
      <c r="AO25" s="258"/>
      <c r="AP25" s="258"/>
    </row>
    <row r="26" spans="1:56">
      <c r="A26" s="199" t="s">
        <v>16</v>
      </c>
      <c r="B26" s="207">
        <f>INDEX($BE$4:$BE$7,MATCH($D$3,$BA$4:$BA$7,0))</f>
        <v>0.95</v>
      </c>
      <c r="C26" s="245" t="str">
        <f>C20</f>
        <v>Middle Income</v>
      </c>
      <c r="D26" s="199" t="s">
        <v>48</v>
      </c>
      <c r="E26" s="247">
        <f>[2]Calib_1011!$I$86</f>
        <v>0.53</v>
      </c>
      <c r="F26" s="66">
        <f t="shared" si="4"/>
        <v>0.53</v>
      </c>
      <c r="G26" s="66">
        <f t="shared" si="4"/>
        <v>0.53</v>
      </c>
      <c r="H26" s="66">
        <f t="shared" si="5"/>
        <v>0.53</v>
      </c>
      <c r="I26" s="66">
        <f t="shared" si="5"/>
        <v>0.50349999999999995</v>
      </c>
      <c r="J26" s="66">
        <f t="shared" si="5"/>
        <v>0.47832499999999994</v>
      </c>
      <c r="K26" s="66">
        <f t="shared" si="5"/>
        <v>0.45440874999999992</v>
      </c>
      <c r="L26" s="257"/>
      <c r="M26" s="66">
        <f>E26</f>
        <v>0.53</v>
      </c>
      <c r="N26" s="35">
        <f>M26</f>
        <v>0.53</v>
      </c>
      <c r="O26" s="35">
        <f t="shared" si="6"/>
        <v>0.53</v>
      </c>
      <c r="P26" s="35">
        <f t="shared" si="6"/>
        <v>0.53</v>
      </c>
      <c r="Q26" s="35">
        <f t="shared" si="6"/>
        <v>0.53</v>
      </c>
      <c r="R26" s="258"/>
      <c r="S26" s="66">
        <f>M26</f>
        <v>0.53</v>
      </c>
      <c r="T26" s="77">
        <f t="shared" ref="T26:T27" si="7">N26</f>
        <v>0.53</v>
      </c>
      <c r="U26" s="77">
        <f>IF(INDEX($BF$4:$BF$7,MATCH($D$3,$BA$4:$BA$7,0)),T26*$B$26,T26)</f>
        <v>0.50349999999999995</v>
      </c>
      <c r="V26" s="77">
        <f>IF(INDEX($BF$4:$BF$7,MATCH($D$3,$BA$4:$BA$7,0)),U26*$B$26,U26)</f>
        <v>0.47832499999999994</v>
      </c>
      <c r="W26" s="77">
        <f>IF(INDEX($BF$4:$BF$7,MATCH($D$3,$BA$4:$BA$7,0)),V26*$B$26,V26)</f>
        <v>0.45440874999999992</v>
      </c>
      <c r="X26" s="258"/>
      <c r="Y26" s="258"/>
      <c r="Z26" s="258"/>
      <c r="AA26" s="258"/>
      <c r="AB26" s="258"/>
      <c r="AC26" s="258"/>
      <c r="AD26" s="258"/>
      <c r="AE26" s="258"/>
      <c r="AF26" s="258"/>
      <c r="AG26" s="258"/>
      <c r="AH26" s="258"/>
      <c r="AI26" s="258"/>
      <c r="AJ26" s="258"/>
      <c r="AK26" s="258"/>
      <c r="AL26" s="258"/>
      <c r="AM26" s="258"/>
      <c r="AN26" s="258"/>
      <c r="AO26" s="258"/>
      <c r="AP26" s="258"/>
    </row>
    <row r="27" spans="1:56">
      <c r="A27" s="199" t="s">
        <v>16</v>
      </c>
      <c r="B27" s="207">
        <f>INDEX($BD$4:$BD$7,MATCH($D$3,$BA$4:$BA$7,0))</f>
        <v>0.97499999999999998</v>
      </c>
      <c r="C27" s="245" t="str">
        <f>C21</f>
        <v>High Income</v>
      </c>
      <c r="D27" s="199" t="s">
        <v>48</v>
      </c>
      <c r="E27" s="299">
        <f>[2]Calib_1011!$J$86*0.98</f>
        <v>0.76810810810810803</v>
      </c>
      <c r="F27" s="66">
        <f t="shared" si="4"/>
        <v>0.76810810810810803</v>
      </c>
      <c r="G27" s="66">
        <f t="shared" si="4"/>
        <v>0.76810810810810803</v>
      </c>
      <c r="H27" s="66">
        <f t="shared" si="5"/>
        <v>0.76810810810810803</v>
      </c>
      <c r="I27" s="66">
        <f t="shared" si="5"/>
        <v>0.74890540540540529</v>
      </c>
      <c r="J27" s="66">
        <f t="shared" si="5"/>
        <v>0.73018277027027012</v>
      </c>
      <c r="K27" s="66">
        <f t="shared" si="5"/>
        <v>0.7119282010135134</v>
      </c>
      <c r="L27" s="257"/>
      <c r="M27" s="66">
        <f>E27</f>
        <v>0.76810810810810803</v>
      </c>
      <c r="N27" s="35">
        <f>M27</f>
        <v>0.76810810810810803</v>
      </c>
      <c r="O27" s="35">
        <f>N27</f>
        <v>0.76810810810810803</v>
      </c>
      <c r="P27" s="35">
        <f>O27</f>
        <v>0.76810810810810803</v>
      </c>
      <c r="Q27" s="35">
        <f>P27</f>
        <v>0.76810810810810803</v>
      </c>
      <c r="R27" s="258"/>
      <c r="S27" s="66">
        <f>M27</f>
        <v>0.76810810810810803</v>
      </c>
      <c r="T27" s="77">
        <f t="shared" si="7"/>
        <v>0.76810810810810803</v>
      </c>
      <c r="U27" s="77">
        <f>IF(INDEX($BF$4:$BF$7,MATCH($D$3,$BA$4:$BA$7,0)),T27*$B$27,T27)</f>
        <v>0.74890540540540529</v>
      </c>
      <c r="V27" s="77">
        <f>IF(INDEX($BF$4:$BF$7,MATCH($D$3,$BA$4:$BA$7,0)),U27*$B$27,U27)</f>
        <v>0.73018277027027012</v>
      </c>
      <c r="W27" s="77">
        <f>IF(INDEX($BF$4:$BF$7,MATCH($D$3,$BA$4:$BA$7,0)),V27*$B$27,V27)</f>
        <v>0.7119282010135134</v>
      </c>
      <c r="X27" s="258"/>
      <c r="Y27" s="258"/>
      <c r="Z27" s="258"/>
      <c r="AA27" s="258"/>
      <c r="AB27" s="258"/>
      <c r="AC27" s="258"/>
      <c r="AD27" s="258"/>
      <c r="AE27" s="258"/>
      <c r="AF27" s="258"/>
      <c r="AG27" s="258"/>
      <c r="AH27" s="258"/>
      <c r="AI27" s="258"/>
      <c r="AJ27" s="258"/>
      <c r="AK27" s="258"/>
      <c r="AL27" s="258"/>
      <c r="AM27" s="258"/>
      <c r="AN27" s="258"/>
      <c r="AO27" s="258"/>
      <c r="AP27" s="258"/>
    </row>
    <row r="28" spans="1:56">
      <c r="A28" s="199" t="s">
        <v>16</v>
      </c>
      <c r="B28" s="245"/>
      <c r="C28" s="245"/>
      <c r="S28" s="199" t="s">
        <v>200</v>
      </c>
      <c r="T28" s="204"/>
      <c r="U28" s="204"/>
      <c r="V28" s="34"/>
    </row>
    <row r="29" spans="1:56" ht="15.75" thickBot="1">
      <c r="A29" s="199" t="s">
        <v>16</v>
      </c>
      <c r="B29" s="244" t="s">
        <v>188</v>
      </c>
      <c r="D29" s="244"/>
      <c r="E29" s="7">
        <v>2012</v>
      </c>
      <c r="F29" s="7">
        <f>F4</f>
        <v>2015</v>
      </c>
      <c r="G29" s="7">
        <f>G4</f>
        <v>2017</v>
      </c>
      <c r="H29" s="7">
        <v>2020</v>
      </c>
      <c r="I29" s="7">
        <v>2030</v>
      </c>
      <c r="J29" s="7">
        <v>2040</v>
      </c>
      <c r="K29" s="7">
        <v>2050</v>
      </c>
      <c r="M29" s="7">
        <f>F29</f>
        <v>2015</v>
      </c>
      <c r="N29" s="7">
        <f>H29</f>
        <v>2020</v>
      </c>
      <c r="O29" s="7">
        <f>I29</f>
        <v>2030</v>
      </c>
      <c r="P29" s="7">
        <f>J29</f>
        <v>2040</v>
      </c>
      <c r="Q29" s="7">
        <f>K29</f>
        <v>2050</v>
      </c>
      <c r="S29" s="7">
        <f>F29</f>
        <v>2015</v>
      </c>
      <c r="T29" s="7">
        <f>H29</f>
        <v>2020</v>
      </c>
      <c r="U29" s="7">
        <f>I29</f>
        <v>2030</v>
      </c>
      <c r="V29" s="7">
        <f>J29</f>
        <v>2040</v>
      </c>
      <c r="W29" s="7">
        <f>K29</f>
        <v>2050</v>
      </c>
    </row>
    <row r="30" spans="1:56">
      <c r="A30" s="199" t="s">
        <v>16</v>
      </c>
      <c r="C30" s="245" t="str">
        <f>C25</f>
        <v>Low Income</v>
      </c>
      <c r="D30" s="199" t="s">
        <v>48</v>
      </c>
      <c r="E30" s="51">
        <f>[2]Calib_1011!$H$93</f>
        <v>0.25</v>
      </c>
      <c r="F30" s="65">
        <f t="shared" ref="F30:G32" si="8">IF($D$4,S30,M30)</f>
        <v>0.25</v>
      </c>
      <c r="G30" s="65">
        <f t="shared" si="8"/>
        <v>0.25</v>
      </c>
      <c r="H30" s="65">
        <f t="shared" ref="H30:K32" si="9">IF($D$4,T30,N30)</f>
        <v>0.25</v>
      </c>
      <c r="I30" s="65">
        <f t="shared" si="9"/>
        <v>0.23749999999999999</v>
      </c>
      <c r="J30" s="65">
        <f t="shared" si="9"/>
        <v>0.22562499999999999</v>
      </c>
      <c r="K30" s="65">
        <f t="shared" si="9"/>
        <v>0.21434374999999997</v>
      </c>
      <c r="L30" s="43"/>
      <c r="M30" s="65">
        <f>E30</f>
        <v>0.25</v>
      </c>
      <c r="N30" s="47">
        <f>M30</f>
        <v>0.25</v>
      </c>
      <c r="O30" s="47">
        <f t="shared" ref="O30:Q31" si="10">N30</f>
        <v>0.25</v>
      </c>
      <c r="P30" s="47">
        <f t="shared" si="10"/>
        <v>0.25</v>
      </c>
      <c r="Q30" s="47">
        <f t="shared" si="10"/>
        <v>0.25</v>
      </c>
      <c r="R30" s="246"/>
      <c r="S30" s="65">
        <f>M30</f>
        <v>0.25</v>
      </c>
      <c r="T30" s="78">
        <f>N30</f>
        <v>0.25</v>
      </c>
      <c r="U30" s="78">
        <f t="shared" ref="U30:W31" si="11">T30*0.95</f>
        <v>0.23749999999999999</v>
      </c>
      <c r="V30" s="78">
        <f t="shared" si="11"/>
        <v>0.22562499999999999</v>
      </c>
      <c r="W30" s="78">
        <f t="shared" si="11"/>
        <v>0.21434374999999997</v>
      </c>
      <c r="X30" s="246"/>
      <c r="Y30" s="246"/>
      <c r="Z30" s="246"/>
      <c r="AA30" s="246"/>
      <c r="AB30" s="246"/>
      <c r="AC30" s="246"/>
      <c r="AD30" s="246"/>
      <c r="AE30" s="246"/>
      <c r="AF30" s="246"/>
      <c r="AG30" s="246"/>
      <c r="AH30" s="246"/>
      <c r="AI30" s="246"/>
      <c r="AJ30" s="246"/>
      <c r="AK30" s="246"/>
      <c r="AL30" s="246"/>
      <c r="AM30" s="246"/>
      <c r="AN30" s="246"/>
      <c r="AO30" s="246"/>
      <c r="AP30" s="246"/>
    </row>
    <row r="31" spans="1:56">
      <c r="A31" s="199" t="s">
        <v>16</v>
      </c>
      <c r="C31" s="245" t="str">
        <f>C26</f>
        <v>Middle Income</v>
      </c>
      <c r="D31" s="199" t="s">
        <v>48</v>
      </c>
      <c r="E31" s="51">
        <f>[2]Calib_1011!$I$93</f>
        <v>0.31311637080867849</v>
      </c>
      <c r="F31" s="65">
        <f t="shared" si="8"/>
        <v>0.31311637080867849</v>
      </c>
      <c r="G31" s="65">
        <f t="shared" si="8"/>
        <v>0.31311637080867849</v>
      </c>
      <c r="H31" s="65">
        <f t="shared" si="9"/>
        <v>0.31311637080867849</v>
      </c>
      <c r="I31" s="65">
        <f t="shared" si="9"/>
        <v>0.29746055226824453</v>
      </c>
      <c r="J31" s="65">
        <f t="shared" si="9"/>
        <v>0.28258752465483228</v>
      </c>
      <c r="K31" s="65">
        <f t="shared" si="9"/>
        <v>0.26845814842209065</v>
      </c>
      <c r="L31" s="43"/>
      <c r="M31" s="65">
        <f>E31</f>
        <v>0.31311637080867849</v>
      </c>
      <c r="N31" s="47">
        <f>M31</f>
        <v>0.31311637080867849</v>
      </c>
      <c r="O31" s="47">
        <f t="shared" si="10"/>
        <v>0.31311637080867849</v>
      </c>
      <c r="P31" s="47">
        <f t="shared" si="10"/>
        <v>0.31311637080867849</v>
      </c>
      <c r="Q31" s="47">
        <f t="shared" si="10"/>
        <v>0.31311637080867849</v>
      </c>
      <c r="R31" s="246"/>
      <c r="S31" s="65">
        <f>M31</f>
        <v>0.31311637080867849</v>
      </c>
      <c r="T31" s="78">
        <f t="shared" ref="T31:T32" si="12">N31</f>
        <v>0.31311637080867849</v>
      </c>
      <c r="U31" s="78">
        <f t="shared" si="11"/>
        <v>0.29746055226824453</v>
      </c>
      <c r="V31" s="78">
        <f t="shared" si="11"/>
        <v>0.28258752465483228</v>
      </c>
      <c r="W31" s="78">
        <f t="shared" si="11"/>
        <v>0.26845814842209065</v>
      </c>
      <c r="X31" s="246"/>
      <c r="Y31" s="246"/>
      <c r="Z31" s="246"/>
      <c r="AA31" s="246"/>
      <c r="AB31" s="246"/>
      <c r="AC31" s="246"/>
      <c r="AD31" s="246"/>
      <c r="AE31" s="246"/>
      <c r="AF31" s="246"/>
      <c r="AG31" s="246"/>
      <c r="AH31" s="246"/>
      <c r="AI31" s="246"/>
      <c r="AJ31" s="246"/>
      <c r="AK31" s="246"/>
      <c r="AL31" s="246"/>
      <c r="AM31" s="246"/>
      <c r="AN31" s="246"/>
      <c r="AO31" s="246"/>
      <c r="AP31" s="246"/>
    </row>
    <row r="32" spans="1:56">
      <c r="A32" s="199" t="s">
        <v>16</v>
      </c>
      <c r="C32" s="245" t="str">
        <f>C27</f>
        <v>High Income</v>
      </c>
      <c r="D32" s="199" t="s">
        <v>48</v>
      </c>
      <c r="E32" s="51">
        <f>[2]Calib_1011!$J$93</f>
        <v>0.41283463855351005</v>
      </c>
      <c r="F32" s="65">
        <f t="shared" si="8"/>
        <v>0.41283463855351005</v>
      </c>
      <c r="G32" s="65">
        <f t="shared" si="8"/>
        <v>0.41398941590918437</v>
      </c>
      <c r="H32" s="65">
        <f t="shared" si="9"/>
        <v>0.41398941590918437</v>
      </c>
      <c r="I32" s="65">
        <f t="shared" si="9"/>
        <v>0.40363968051145477</v>
      </c>
      <c r="J32" s="65">
        <f t="shared" si="9"/>
        <v>0.39354868849866836</v>
      </c>
      <c r="K32" s="65">
        <f t="shared" si="9"/>
        <v>0.38370997128620166</v>
      </c>
      <c r="L32" s="43"/>
      <c r="M32" s="65">
        <f>E32</f>
        <v>0.41283463855351005</v>
      </c>
      <c r="N32" s="47">
        <f>M32*(1+N21*(H21/F21-1))</f>
        <v>0.41398941590918437</v>
      </c>
      <c r="O32" s="47">
        <f>N32*(1+O21*(I21/H21-1))</f>
        <v>0.4684738345522248</v>
      </c>
      <c r="P32" s="47">
        <f>O32*(1+P21*(J21/I21-1))</f>
        <v>0.53668543194134044</v>
      </c>
      <c r="Q32" s="47">
        <f>P32*(1+Q21*(K21/J21-1))</f>
        <v>0.60422792811174686</v>
      </c>
      <c r="R32" s="246"/>
      <c r="S32" s="65">
        <f>M32</f>
        <v>0.41283463855351005</v>
      </c>
      <c r="T32" s="78">
        <f t="shared" si="12"/>
        <v>0.41398941590918437</v>
      </c>
      <c r="U32" s="77">
        <f>IF(INDEX($BF$4:$BF$7,MATCH($D$3,$BA$4:$BA$7,0)),T32*$B$27,T32)</f>
        <v>0.40363968051145477</v>
      </c>
      <c r="V32" s="77">
        <f>IF(INDEX($BF$4:$BF$7,MATCH($D$3,$BA$4:$BA$7,0)),U32*$B$27,U32)</f>
        <v>0.39354868849866836</v>
      </c>
      <c r="W32" s="77">
        <f>IF(INDEX($BF$4:$BF$7,MATCH($D$3,$BA$4:$BA$7,0)),V32*$B$27,V32)</f>
        <v>0.38370997128620166</v>
      </c>
      <c r="X32" s="246"/>
      <c r="Y32" s="246"/>
      <c r="Z32" s="246"/>
      <c r="AA32" s="246"/>
      <c r="AB32" s="246"/>
      <c r="AC32" s="246"/>
      <c r="AD32" s="246"/>
      <c r="AE32" s="246"/>
      <c r="AF32" s="246"/>
      <c r="AG32" s="246"/>
      <c r="AH32" s="246"/>
      <c r="AI32" s="246"/>
      <c r="AJ32" s="246"/>
      <c r="AK32" s="246"/>
      <c r="AL32" s="246"/>
      <c r="AM32" s="246"/>
      <c r="AN32" s="246"/>
      <c r="AO32" s="246"/>
      <c r="AP32" s="246"/>
    </row>
    <row r="33" spans="1:42">
      <c r="A33" s="199" t="s">
        <v>16</v>
      </c>
      <c r="C33" s="245"/>
      <c r="L33" s="43"/>
      <c r="M33" s="200"/>
      <c r="R33" s="246"/>
      <c r="S33" s="199" t="s">
        <v>201</v>
      </c>
      <c r="X33" s="246"/>
      <c r="Y33" s="246"/>
      <c r="Z33" s="246"/>
      <c r="AA33" s="246"/>
      <c r="AB33" s="246"/>
      <c r="AC33" s="246"/>
      <c r="AD33" s="246"/>
      <c r="AE33" s="246"/>
      <c r="AF33" s="246"/>
      <c r="AG33" s="246"/>
      <c r="AH33" s="246"/>
      <c r="AI33" s="246"/>
      <c r="AJ33" s="246"/>
      <c r="AK33" s="246"/>
      <c r="AL33" s="246"/>
      <c r="AM33" s="246"/>
      <c r="AN33" s="246"/>
      <c r="AO33" s="246"/>
      <c r="AP33" s="246"/>
    </row>
    <row r="34" spans="1:42" ht="15.75" thickBot="1">
      <c r="A34" s="199" t="s">
        <v>16</v>
      </c>
      <c r="B34" s="244" t="s">
        <v>189</v>
      </c>
      <c r="D34" s="273">
        <f>INDEX($BH$4:$BH$7,MATCH($D$3,$BA$4:$BA$7,0))</f>
        <v>0</v>
      </c>
      <c r="E34" s="7">
        <v>2012</v>
      </c>
      <c r="F34" s="7">
        <f>F4</f>
        <v>2015</v>
      </c>
      <c r="G34" s="7">
        <f>G4</f>
        <v>2017</v>
      </c>
      <c r="H34" s="7">
        <v>2020</v>
      </c>
      <c r="I34" s="7">
        <v>2030</v>
      </c>
      <c r="J34" s="7">
        <v>2040</v>
      </c>
      <c r="K34" s="7">
        <v>2050</v>
      </c>
      <c r="M34" s="7">
        <f>F34</f>
        <v>2015</v>
      </c>
      <c r="N34" s="7">
        <f>H34</f>
        <v>2020</v>
      </c>
      <c r="O34" s="7">
        <f>I34</f>
        <v>2030</v>
      </c>
      <c r="P34" s="7">
        <f>J34</f>
        <v>2040</v>
      </c>
      <c r="Q34" s="7">
        <f>K34</f>
        <v>2050</v>
      </c>
      <c r="S34" s="7">
        <f>F34</f>
        <v>2015</v>
      </c>
      <c r="T34" s="7">
        <f>H34</f>
        <v>2020</v>
      </c>
      <c r="U34" s="7">
        <f>I34</f>
        <v>2030</v>
      </c>
      <c r="V34" s="7">
        <f>J34</f>
        <v>2040</v>
      </c>
      <c r="W34" s="7">
        <f>K34</f>
        <v>2050</v>
      </c>
    </row>
    <row r="35" spans="1:42">
      <c r="A35" s="199" t="s">
        <v>16</v>
      </c>
      <c r="C35" s="245" t="str">
        <f>C30</f>
        <v>Low Income</v>
      </c>
      <c r="D35" s="199" t="s">
        <v>96</v>
      </c>
      <c r="E35" s="51">
        <f>[2]Calib_1011!$H$113</f>
        <v>1.4</v>
      </c>
      <c r="F35" s="65">
        <f t="shared" ref="F35:G38" si="13">IF($D$4,S35,M35)</f>
        <v>1.4</v>
      </c>
      <c r="G35" s="65">
        <f t="shared" si="13"/>
        <v>1.4</v>
      </c>
      <c r="H35" s="65">
        <f t="shared" ref="H35:K38" si="14">IF($D$4,T35,N35)</f>
        <v>1.4</v>
      </c>
      <c r="I35" s="65">
        <f t="shared" si="14"/>
        <v>1.4</v>
      </c>
      <c r="J35" s="65">
        <f t="shared" si="14"/>
        <v>1.4</v>
      </c>
      <c r="K35" s="65">
        <f t="shared" si="14"/>
        <v>1.4</v>
      </c>
      <c r="L35" s="43"/>
      <c r="M35" s="65">
        <f>E35</f>
        <v>1.4</v>
      </c>
      <c r="N35" s="47">
        <f>M35</f>
        <v>1.4</v>
      </c>
      <c r="O35" s="47">
        <f t="shared" ref="O35:Q38" si="15">N35</f>
        <v>1.4</v>
      </c>
      <c r="P35" s="47">
        <f t="shared" si="15"/>
        <v>1.4</v>
      </c>
      <c r="Q35" s="47">
        <f t="shared" si="15"/>
        <v>1.4</v>
      </c>
      <c r="R35" s="246"/>
      <c r="S35" s="65">
        <f>M35</f>
        <v>1.4</v>
      </c>
      <c r="T35" s="78">
        <f>N35</f>
        <v>1.4</v>
      </c>
      <c r="U35" s="78">
        <f>T35*(1+$D$34)</f>
        <v>1.4</v>
      </c>
      <c r="V35" s="78">
        <f>U35*(1+$D$34)</f>
        <v>1.4</v>
      </c>
      <c r="W35" s="78">
        <f>V35*(1+$D$34)</f>
        <v>1.4</v>
      </c>
      <c r="X35" s="246"/>
      <c r="Y35" s="246"/>
      <c r="Z35" s="246"/>
      <c r="AA35" s="246"/>
      <c r="AB35" s="246"/>
      <c r="AC35" s="246"/>
      <c r="AD35" s="246"/>
      <c r="AE35" s="246"/>
      <c r="AF35" s="246"/>
      <c r="AG35" s="246"/>
      <c r="AH35" s="246"/>
      <c r="AI35" s="246"/>
      <c r="AJ35" s="246"/>
      <c r="AK35" s="246"/>
      <c r="AL35" s="246"/>
      <c r="AM35" s="246"/>
      <c r="AN35" s="246"/>
      <c r="AO35" s="246"/>
      <c r="AP35" s="246"/>
    </row>
    <row r="36" spans="1:42">
      <c r="A36" s="199" t="s">
        <v>16</v>
      </c>
      <c r="C36" s="245" t="str">
        <f>C31</f>
        <v>Middle Income</v>
      </c>
      <c r="D36" s="199" t="s">
        <v>96</v>
      </c>
      <c r="E36" s="51">
        <f>[2]Calib_1011!$I$113</f>
        <v>1.4</v>
      </c>
      <c r="F36" s="65">
        <f t="shared" si="13"/>
        <v>1.4</v>
      </c>
      <c r="G36" s="65">
        <f t="shared" si="13"/>
        <v>1.4</v>
      </c>
      <c r="H36" s="65">
        <f t="shared" si="14"/>
        <v>1.4</v>
      </c>
      <c r="I36" s="65">
        <f t="shared" si="14"/>
        <v>1.4</v>
      </c>
      <c r="J36" s="65">
        <f t="shared" si="14"/>
        <v>1.4</v>
      </c>
      <c r="K36" s="65">
        <f t="shared" si="14"/>
        <v>1.4</v>
      </c>
      <c r="L36" s="43"/>
      <c r="M36" s="65">
        <f>E36</f>
        <v>1.4</v>
      </c>
      <c r="N36" s="47">
        <f>M36</f>
        <v>1.4</v>
      </c>
      <c r="O36" s="47">
        <f t="shared" si="15"/>
        <v>1.4</v>
      </c>
      <c r="P36" s="47">
        <f t="shared" si="15"/>
        <v>1.4</v>
      </c>
      <c r="Q36" s="47">
        <f t="shared" si="15"/>
        <v>1.4</v>
      </c>
      <c r="R36" s="246"/>
      <c r="S36" s="65">
        <f>M36</f>
        <v>1.4</v>
      </c>
      <c r="T36" s="78">
        <f t="shared" ref="T36:T38" si="16">N36</f>
        <v>1.4</v>
      </c>
      <c r="U36" s="78">
        <f t="shared" ref="U36:W38" si="17">T36*(1+$D$34)</f>
        <v>1.4</v>
      </c>
      <c r="V36" s="78">
        <f t="shared" si="17"/>
        <v>1.4</v>
      </c>
      <c r="W36" s="78">
        <f t="shared" si="17"/>
        <v>1.4</v>
      </c>
      <c r="X36" s="246"/>
      <c r="Y36" s="246"/>
      <c r="Z36" s="246"/>
      <c r="AA36" s="246"/>
      <c r="AB36" s="246"/>
      <c r="AC36" s="246"/>
      <c r="AD36" s="246"/>
      <c r="AE36" s="246"/>
      <c r="AF36" s="246"/>
      <c r="AG36" s="246"/>
      <c r="AH36" s="246"/>
      <c r="AI36" s="246"/>
      <c r="AJ36" s="246"/>
      <c r="AK36" s="246"/>
      <c r="AL36" s="246"/>
      <c r="AM36" s="246"/>
      <c r="AN36" s="246"/>
      <c r="AO36" s="246"/>
      <c r="AP36" s="246"/>
    </row>
    <row r="37" spans="1:42">
      <c r="A37" s="199" t="s">
        <v>16</v>
      </c>
      <c r="C37" s="245" t="str">
        <f>C32</f>
        <v>High Income</v>
      </c>
      <c r="D37" s="199" t="s">
        <v>96</v>
      </c>
      <c r="E37" s="51">
        <f>[2]Calib_1011!$J$113</f>
        <v>1.4</v>
      </c>
      <c r="F37" s="65">
        <f t="shared" si="13"/>
        <v>1.4</v>
      </c>
      <c r="G37" s="65">
        <f t="shared" si="13"/>
        <v>1.4</v>
      </c>
      <c r="H37" s="65">
        <f t="shared" si="14"/>
        <v>1.4</v>
      </c>
      <c r="I37" s="65">
        <f t="shared" si="14"/>
        <v>1.4</v>
      </c>
      <c r="J37" s="65">
        <f t="shared" si="14"/>
        <v>1.4</v>
      </c>
      <c r="K37" s="65">
        <f t="shared" si="14"/>
        <v>1.4</v>
      </c>
      <c r="L37" s="43"/>
      <c r="M37" s="65">
        <f>E37</f>
        <v>1.4</v>
      </c>
      <c r="N37" s="47">
        <f>M37</f>
        <v>1.4</v>
      </c>
      <c r="O37" s="47">
        <f t="shared" si="15"/>
        <v>1.4</v>
      </c>
      <c r="P37" s="47">
        <f t="shared" si="15"/>
        <v>1.4</v>
      </c>
      <c r="Q37" s="47">
        <f t="shared" si="15"/>
        <v>1.4</v>
      </c>
      <c r="R37" s="246"/>
      <c r="S37" s="65">
        <f>M37</f>
        <v>1.4</v>
      </c>
      <c r="T37" s="78">
        <f t="shared" si="16"/>
        <v>1.4</v>
      </c>
      <c r="U37" s="78">
        <f t="shared" si="17"/>
        <v>1.4</v>
      </c>
      <c r="V37" s="78">
        <f t="shared" si="17"/>
        <v>1.4</v>
      </c>
      <c r="W37" s="78">
        <f t="shared" si="17"/>
        <v>1.4</v>
      </c>
      <c r="X37" s="246"/>
      <c r="Y37" s="246"/>
      <c r="Z37" s="246"/>
      <c r="AA37" s="246"/>
      <c r="AB37" s="246"/>
      <c r="AC37" s="246"/>
      <c r="AD37" s="246"/>
      <c r="AE37" s="246"/>
      <c r="AF37" s="246"/>
      <c r="AG37" s="246"/>
      <c r="AH37" s="246"/>
      <c r="AI37" s="246"/>
      <c r="AJ37" s="246"/>
      <c r="AK37" s="246"/>
      <c r="AL37" s="246"/>
      <c r="AM37" s="246"/>
      <c r="AN37" s="246"/>
      <c r="AO37" s="246"/>
      <c r="AP37" s="246"/>
    </row>
    <row r="38" spans="1:42">
      <c r="A38" s="199" t="s">
        <v>16</v>
      </c>
      <c r="C38" s="245" t="s">
        <v>195</v>
      </c>
      <c r="D38" s="199" t="s">
        <v>96</v>
      </c>
      <c r="E38" s="51">
        <f>[2]Calib_1011!K113</f>
        <v>1.4</v>
      </c>
      <c r="F38" s="65">
        <f t="shared" si="13"/>
        <v>1.4</v>
      </c>
      <c r="G38" s="65">
        <f t="shared" si="13"/>
        <v>1.4</v>
      </c>
      <c r="H38" s="65">
        <f t="shared" si="14"/>
        <v>1.4</v>
      </c>
      <c r="I38" s="65">
        <f t="shared" si="14"/>
        <v>1.4</v>
      </c>
      <c r="J38" s="65">
        <f t="shared" si="14"/>
        <v>1.4</v>
      </c>
      <c r="K38" s="65">
        <f t="shared" si="14"/>
        <v>1.4</v>
      </c>
      <c r="M38" s="65">
        <f>E38</f>
        <v>1.4</v>
      </c>
      <c r="N38" s="47">
        <f>M38</f>
        <v>1.4</v>
      </c>
      <c r="O38" s="47">
        <f t="shared" si="15"/>
        <v>1.4</v>
      </c>
      <c r="P38" s="47">
        <f t="shared" si="15"/>
        <v>1.4</v>
      </c>
      <c r="Q38" s="47">
        <f t="shared" si="15"/>
        <v>1.4</v>
      </c>
      <c r="S38" s="65">
        <f>M38</f>
        <v>1.4</v>
      </c>
      <c r="T38" s="78">
        <f t="shared" si="16"/>
        <v>1.4</v>
      </c>
      <c r="U38" s="78">
        <f t="shared" si="17"/>
        <v>1.4</v>
      </c>
      <c r="V38" s="78">
        <f t="shared" si="17"/>
        <v>1.4</v>
      </c>
      <c r="W38" s="78">
        <f t="shared" si="17"/>
        <v>1.4</v>
      </c>
    </row>
    <row r="39" spans="1:42">
      <c r="A39" s="199" t="s">
        <v>16</v>
      </c>
      <c r="C39" s="245"/>
      <c r="L39" s="43"/>
      <c r="M39" s="200"/>
      <c r="R39" s="246"/>
      <c r="S39" s="199" t="s">
        <v>202</v>
      </c>
      <c r="X39" s="246"/>
      <c r="Y39" s="246"/>
      <c r="Z39" s="246"/>
      <c r="AA39" s="246"/>
      <c r="AB39" s="246"/>
      <c r="AC39" s="246"/>
      <c r="AD39" s="246"/>
      <c r="AE39" s="246"/>
      <c r="AF39" s="246"/>
      <c r="AG39" s="246"/>
      <c r="AH39" s="246"/>
      <c r="AI39" s="246"/>
      <c r="AJ39" s="246"/>
      <c r="AK39" s="246"/>
      <c r="AL39" s="246"/>
      <c r="AM39" s="246"/>
      <c r="AN39" s="246"/>
      <c r="AO39" s="246"/>
      <c r="AP39" s="246"/>
    </row>
    <row r="40" spans="1:42" ht="15.75" thickBot="1">
      <c r="A40" s="199" t="s">
        <v>16</v>
      </c>
      <c r="B40" s="244" t="s">
        <v>190</v>
      </c>
      <c r="D40" s="244"/>
      <c r="E40" s="7">
        <v>2012</v>
      </c>
      <c r="F40" s="7">
        <f>F4</f>
        <v>2015</v>
      </c>
      <c r="G40" s="7">
        <f>G4</f>
        <v>2017</v>
      </c>
      <c r="H40" s="7">
        <v>2020</v>
      </c>
      <c r="I40" s="7">
        <v>2030</v>
      </c>
      <c r="J40" s="7">
        <v>2040</v>
      </c>
      <c r="K40" s="7">
        <v>2050</v>
      </c>
      <c r="M40" s="7">
        <f>F40</f>
        <v>2015</v>
      </c>
      <c r="N40" s="7">
        <f>H40</f>
        <v>2020</v>
      </c>
      <c r="O40" s="7">
        <f>I40</f>
        <v>2030</v>
      </c>
      <c r="P40" s="7">
        <f>J40</f>
        <v>2040</v>
      </c>
      <c r="Q40" s="7">
        <f>K40</f>
        <v>2050</v>
      </c>
      <c r="S40" s="7">
        <f>F40</f>
        <v>2015</v>
      </c>
      <c r="T40" s="7">
        <f>H40</f>
        <v>2020</v>
      </c>
      <c r="U40" s="7">
        <f>I40</f>
        <v>2030</v>
      </c>
      <c r="V40" s="7">
        <f>J40</f>
        <v>2040</v>
      </c>
      <c r="W40" s="7">
        <f>K40</f>
        <v>2050</v>
      </c>
    </row>
    <row r="41" spans="1:42">
      <c r="A41" s="199" t="s">
        <v>16</v>
      </c>
      <c r="C41" s="245" t="str">
        <f>C35</f>
        <v>Low Income</v>
      </c>
      <c r="D41" s="36" t="s">
        <v>171</v>
      </c>
      <c r="E41" s="51">
        <f>[2]Calib_1011!$H$118</f>
        <v>8.0274119837508469</v>
      </c>
      <c r="F41" s="65">
        <f t="shared" ref="F41:G44" si="18">IF($D$4,S41,M41)</f>
        <v>8.0274119837508469</v>
      </c>
      <c r="G41" s="65">
        <f t="shared" si="18"/>
        <v>8.0274119837508469</v>
      </c>
      <c r="H41" s="65">
        <f t="shared" ref="H41:K44" si="19">IF($D$4,T41,N41)</f>
        <v>8.0274119837508469</v>
      </c>
      <c r="I41" s="65">
        <f t="shared" si="19"/>
        <v>7.6260413845633037</v>
      </c>
      <c r="J41" s="65">
        <f t="shared" si="19"/>
        <v>7.2447393153351385</v>
      </c>
      <c r="K41" s="65">
        <f t="shared" si="19"/>
        <v>6.882502349568381</v>
      </c>
      <c r="L41" s="43"/>
      <c r="M41" s="65">
        <f>E41</f>
        <v>8.0274119837508469</v>
      </c>
      <c r="N41" s="47">
        <f>M41</f>
        <v>8.0274119837508469</v>
      </c>
      <c r="O41" s="47">
        <f t="shared" ref="O41:Q44" si="20">N41</f>
        <v>8.0274119837508469</v>
      </c>
      <c r="P41" s="47">
        <f t="shared" si="20"/>
        <v>8.0274119837508469</v>
      </c>
      <c r="Q41" s="47">
        <f t="shared" si="20"/>
        <v>8.0274119837508469</v>
      </c>
      <c r="R41" s="246"/>
      <c r="S41" s="65">
        <f>M41</f>
        <v>8.0274119837508469</v>
      </c>
      <c r="T41" s="78">
        <f>N41</f>
        <v>8.0274119837508469</v>
      </c>
      <c r="U41" s="78">
        <f>T41*0.95</f>
        <v>7.6260413845633037</v>
      </c>
      <c r="V41" s="78">
        <f>U41*0.95</f>
        <v>7.2447393153351385</v>
      </c>
      <c r="W41" s="78">
        <f>V41*0.95</f>
        <v>6.882502349568381</v>
      </c>
      <c r="X41" s="246"/>
      <c r="Y41" s="246"/>
      <c r="Z41" s="246"/>
      <c r="AA41" s="246"/>
      <c r="AB41" s="246"/>
      <c r="AC41" s="246"/>
      <c r="AD41" s="246"/>
      <c r="AE41" s="246"/>
      <c r="AF41" s="246"/>
      <c r="AG41" s="246"/>
      <c r="AH41" s="246"/>
      <c r="AI41" s="246"/>
      <c r="AJ41" s="246"/>
      <c r="AK41" s="246"/>
      <c r="AL41" s="246"/>
      <c r="AM41" s="246"/>
      <c r="AN41" s="246"/>
      <c r="AO41" s="246"/>
      <c r="AP41" s="246"/>
    </row>
    <row r="42" spans="1:42">
      <c r="A42" s="199" t="s">
        <v>16</v>
      </c>
      <c r="B42" s="207">
        <f>INDEX($BE$4:$BE$7,MATCH($D$3,$BA$4:$BA$7,0))</f>
        <v>0.95</v>
      </c>
      <c r="C42" s="245" t="str">
        <f>C36</f>
        <v>Middle Income</v>
      </c>
      <c r="D42" s="36" t="s">
        <v>171</v>
      </c>
      <c r="E42" s="51">
        <f>[2]Calib_1011!$I$118</f>
        <v>13.418073439870216</v>
      </c>
      <c r="F42" s="65">
        <f t="shared" si="18"/>
        <v>13.418073439870216</v>
      </c>
      <c r="G42" s="65">
        <f t="shared" si="18"/>
        <v>13.418073439870216</v>
      </c>
      <c r="H42" s="65">
        <f t="shared" si="19"/>
        <v>13.418073439870216</v>
      </c>
      <c r="I42" s="65">
        <f t="shared" si="19"/>
        <v>12.747169767876706</v>
      </c>
      <c r="J42" s="65">
        <f t="shared" si="19"/>
        <v>12.109811279482869</v>
      </c>
      <c r="K42" s="65">
        <f t="shared" si="19"/>
        <v>11.504320715508726</v>
      </c>
      <c r="L42" s="43"/>
      <c r="M42" s="65">
        <f>E42</f>
        <v>13.418073439870216</v>
      </c>
      <c r="N42" s="194">
        <f>M42</f>
        <v>13.418073439870216</v>
      </c>
      <c r="O42" s="194">
        <f>N42</f>
        <v>13.418073439870216</v>
      </c>
      <c r="P42" s="194">
        <f>O42</f>
        <v>13.418073439870216</v>
      </c>
      <c r="Q42" s="194">
        <f>P42</f>
        <v>13.418073439870216</v>
      </c>
      <c r="R42" s="246"/>
      <c r="S42" s="65">
        <f>M42</f>
        <v>13.418073439870216</v>
      </c>
      <c r="T42" s="78">
        <f t="shared" ref="T42:T44" si="21">N42</f>
        <v>13.418073439870216</v>
      </c>
      <c r="U42" s="78">
        <f>T42*$B42</f>
        <v>12.747169767876706</v>
      </c>
      <c r="V42" s="78">
        <f t="shared" ref="V42:W42" si="22">U42*$B42</f>
        <v>12.109811279482869</v>
      </c>
      <c r="W42" s="78">
        <f t="shared" si="22"/>
        <v>11.504320715508726</v>
      </c>
      <c r="X42" s="246"/>
      <c r="Y42" s="246"/>
      <c r="Z42" s="246"/>
      <c r="AA42" s="246"/>
      <c r="AB42" s="246"/>
      <c r="AC42" s="246"/>
      <c r="AD42" s="246"/>
      <c r="AE42" s="246"/>
      <c r="AF42" s="246"/>
      <c r="AG42" s="246"/>
      <c r="AH42" s="246"/>
      <c r="AI42" s="246"/>
      <c r="AJ42" s="246"/>
      <c r="AK42" s="246"/>
      <c r="AL42" s="246"/>
      <c r="AM42" s="246"/>
      <c r="AN42" s="246"/>
      <c r="AO42" s="246"/>
      <c r="AP42" s="246"/>
    </row>
    <row r="43" spans="1:42">
      <c r="A43" s="199" t="s">
        <v>16</v>
      </c>
      <c r="B43" s="207">
        <f>INDEX($BD$4:$BD$7,MATCH($D$3,$BA$4:$BA$7,0))</f>
        <v>0.97499999999999998</v>
      </c>
      <c r="C43" s="245" t="str">
        <f>C37</f>
        <v>High Income</v>
      </c>
      <c r="D43" s="36" t="s">
        <v>171</v>
      </c>
      <c r="E43" s="51">
        <f>[2]Calib_1011!$J$118</f>
        <v>15.663966300310799</v>
      </c>
      <c r="F43" s="65">
        <f t="shared" si="18"/>
        <v>15.663966300310799</v>
      </c>
      <c r="G43" s="65">
        <f t="shared" si="18"/>
        <v>15.663966300310799</v>
      </c>
      <c r="H43" s="65">
        <f t="shared" si="19"/>
        <v>15.663966300310799</v>
      </c>
      <c r="I43" s="65">
        <f t="shared" si="19"/>
        <v>15.272367142803029</v>
      </c>
      <c r="J43" s="65">
        <f t="shared" si="19"/>
        <v>14.890557964232952</v>
      </c>
      <c r="K43" s="65">
        <f t="shared" si="19"/>
        <v>14.518294015127129</v>
      </c>
      <c r="L43" s="43"/>
      <c r="M43" s="65">
        <f>E43</f>
        <v>15.663966300310799</v>
      </c>
      <c r="N43" s="47">
        <f>M43</f>
        <v>15.663966300310799</v>
      </c>
      <c r="O43" s="47">
        <f>N43</f>
        <v>15.663966300310799</v>
      </c>
      <c r="P43" s="47">
        <f t="shared" si="20"/>
        <v>15.663966300310799</v>
      </c>
      <c r="Q43" s="47">
        <f t="shared" si="20"/>
        <v>15.663966300310799</v>
      </c>
      <c r="R43" s="246"/>
      <c r="S43" s="65">
        <f>M43</f>
        <v>15.663966300310799</v>
      </c>
      <c r="T43" s="78">
        <f t="shared" si="21"/>
        <v>15.663966300310799</v>
      </c>
      <c r="U43" s="78">
        <f>T43*$B43</f>
        <v>15.272367142803029</v>
      </c>
      <c r="V43" s="78">
        <f t="shared" ref="V43:W43" si="23">U43*$B43</f>
        <v>14.890557964232952</v>
      </c>
      <c r="W43" s="78">
        <f t="shared" si="23"/>
        <v>14.518294015127129</v>
      </c>
      <c r="X43" s="246"/>
      <c r="Y43" s="246"/>
      <c r="Z43" s="246"/>
      <c r="AA43" s="246"/>
      <c r="AB43" s="246"/>
      <c r="AC43" s="246"/>
      <c r="AD43" s="246"/>
      <c r="AE43" s="246"/>
      <c r="AF43" s="246"/>
      <c r="AG43" s="246"/>
      <c r="AH43" s="246"/>
      <c r="AI43" s="246"/>
      <c r="AJ43" s="246"/>
      <c r="AK43" s="246"/>
      <c r="AL43" s="246"/>
      <c r="AM43" s="246"/>
      <c r="AN43" s="246"/>
      <c r="AO43" s="246"/>
      <c r="AP43" s="246"/>
    </row>
    <row r="44" spans="1:42">
      <c r="A44" s="199" t="s">
        <v>16</v>
      </c>
      <c r="C44" s="245" t="s">
        <v>195</v>
      </c>
      <c r="D44" s="36" t="s">
        <v>171</v>
      </c>
      <c r="E44" s="51">
        <f>[2]Calib_1011!$K$118</f>
        <v>13.5</v>
      </c>
      <c r="F44" s="65">
        <f t="shared" si="18"/>
        <v>13.5</v>
      </c>
      <c r="G44" s="65">
        <f t="shared" si="18"/>
        <v>13.5</v>
      </c>
      <c r="H44" s="65">
        <f t="shared" si="19"/>
        <v>13.5</v>
      </c>
      <c r="I44" s="65">
        <f t="shared" si="19"/>
        <v>12.824999999999999</v>
      </c>
      <c r="J44" s="65">
        <f t="shared" si="19"/>
        <v>12.183749999999998</v>
      </c>
      <c r="K44" s="65">
        <f t="shared" si="19"/>
        <v>11.574562499999997</v>
      </c>
      <c r="L44" s="43"/>
      <c r="M44" s="65">
        <f>E44</f>
        <v>13.5</v>
      </c>
      <c r="N44" s="47">
        <f>M44</f>
        <v>13.5</v>
      </c>
      <c r="O44" s="47">
        <f t="shared" si="20"/>
        <v>13.5</v>
      </c>
      <c r="P44" s="47">
        <f t="shared" si="20"/>
        <v>13.5</v>
      </c>
      <c r="Q44" s="47">
        <f t="shared" si="20"/>
        <v>13.5</v>
      </c>
      <c r="R44" s="246"/>
      <c r="S44" s="65">
        <f>M44</f>
        <v>13.5</v>
      </c>
      <c r="T44" s="78">
        <f t="shared" si="21"/>
        <v>13.5</v>
      </c>
      <c r="U44" s="78">
        <f t="shared" ref="U44:W44" si="24">T44*0.95</f>
        <v>12.824999999999999</v>
      </c>
      <c r="V44" s="78">
        <f t="shared" si="24"/>
        <v>12.183749999999998</v>
      </c>
      <c r="W44" s="78">
        <f t="shared" si="24"/>
        <v>11.574562499999997</v>
      </c>
      <c r="X44" s="246"/>
      <c r="Y44" s="246"/>
      <c r="Z44" s="246"/>
      <c r="AA44" s="246"/>
      <c r="AB44" s="246"/>
      <c r="AC44" s="246"/>
      <c r="AD44" s="246"/>
      <c r="AE44" s="246"/>
      <c r="AF44" s="246"/>
      <c r="AG44" s="246"/>
      <c r="AH44" s="246"/>
      <c r="AI44" s="246"/>
      <c r="AJ44" s="246"/>
      <c r="AK44" s="246"/>
      <c r="AL44" s="246"/>
      <c r="AM44" s="246"/>
      <c r="AN44" s="246"/>
      <c r="AO44" s="246"/>
      <c r="AP44" s="246"/>
    </row>
    <row r="45" spans="1:42">
      <c r="A45" s="199" t="s">
        <v>16</v>
      </c>
      <c r="C45" s="245" t="s">
        <v>6</v>
      </c>
      <c r="D45" s="36" t="s">
        <v>171</v>
      </c>
      <c r="E45" s="200">
        <f t="shared" ref="E45:K45" si="25">SUMPRODUCT(E41:E44,E54:E57)/SUM(E54:E57)</f>
        <v>14.41994663279465</v>
      </c>
      <c r="F45" s="200">
        <f t="shared" si="25"/>
        <v>14.417687958361624</v>
      </c>
      <c r="G45" s="200">
        <f t="shared" ref="G45" si="26">SUMPRODUCT(G41:G44,G54:G57)/SUM(G54:G57)</f>
        <v>14.614284902932971</v>
      </c>
      <c r="H45" s="200">
        <f t="shared" si="25"/>
        <v>14.614284902932971</v>
      </c>
      <c r="I45" s="200">
        <f t="shared" si="25"/>
        <v>14.261584643607955</v>
      </c>
      <c r="J45" s="200">
        <f t="shared" si="25"/>
        <v>13.9553133185912</v>
      </c>
      <c r="K45" s="200">
        <f t="shared" si="25"/>
        <v>13.562085524587159</v>
      </c>
      <c r="L45" s="43"/>
      <c r="M45" s="200"/>
      <c r="R45" s="246"/>
      <c r="S45" s="246"/>
      <c r="T45" s="246"/>
      <c r="U45" s="246"/>
      <c r="V45" s="246"/>
      <c r="W45" s="246"/>
      <c r="X45" s="246"/>
      <c r="Y45" s="246"/>
      <c r="Z45" s="246"/>
      <c r="AA45" s="246"/>
      <c r="AB45" s="246"/>
      <c r="AC45" s="246"/>
      <c r="AD45" s="246"/>
      <c r="AE45" s="246"/>
      <c r="AF45" s="246"/>
      <c r="AG45" s="246"/>
      <c r="AH45" s="246"/>
      <c r="AI45" s="246"/>
      <c r="AJ45" s="246"/>
      <c r="AK45" s="246"/>
      <c r="AL45" s="246"/>
      <c r="AM45" s="246"/>
      <c r="AN45" s="246"/>
      <c r="AO45" s="246"/>
      <c r="AP45" s="246"/>
    </row>
    <row r="46" spans="1:42" ht="15.75" thickBot="1">
      <c r="A46" s="199" t="s">
        <v>16</v>
      </c>
      <c r="C46" s="244" t="s">
        <v>161</v>
      </c>
      <c r="D46" s="244"/>
      <c r="E46" s="7">
        <v>2012</v>
      </c>
      <c r="F46" s="7">
        <v>2015</v>
      </c>
      <c r="G46" s="7">
        <v>2016</v>
      </c>
      <c r="H46" s="7">
        <v>2020</v>
      </c>
      <c r="I46" s="7">
        <v>2030</v>
      </c>
      <c r="J46" s="7">
        <v>2040</v>
      </c>
      <c r="K46" s="7">
        <v>2050</v>
      </c>
      <c r="L46" s="43"/>
      <c r="M46" s="7">
        <f>F46</f>
        <v>2015</v>
      </c>
      <c r="N46" s="7">
        <f>H46</f>
        <v>2020</v>
      </c>
      <c r="O46" s="7">
        <f>I46</f>
        <v>2030</v>
      </c>
      <c r="P46" s="7">
        <f>J46</f>
        <v>2040</v>
      </c>
      <c r="Q46" s="7">
        <f>K46</f>
        <v>2050</v>
      </c>
      <c r="S46" s="7">
        <f>F46</f>
        <v>2015</v>
      </c>
      <c r="T46" s="7">
        <f>H46</f>
        <v>2020</v>
      </c>
      <c r="U46" s="7">
        <f>I46</f>
        <v>2030</v>
      </c>
      <c r="V46" s="7">
        <f>J46</f>
        <v>2040</v>
      </c>
      <c r="W46" s="7">
        <f>K46</f>
        <v>2050</v>
      </c>
      <c r="X46" s="246"/>
      <c r="Y46" s="246"/>
      <c r="Z46" s="246"/>
      <c r="AA46" s="246"/>
      <c r="AB46" s="246"/>
      <c r="AC46" s="246"/>
      <c r="AD46" s="246"/>
      <c r="AE46" s="246"/>
      <c r="AF46" s="246"/>
      <c r="AG46" s="246"/>
      <c r="AH46" s="246"/>
      <c r="AI46" s="246"/>
      <c r="AJ46" s="246"/>
      <c r="AK46" s="246"/>
      <c r="AL46" s="246"/>
      <c r="AM46" s="246"/>
      <c r="AN46" s="246"/>
      <c r="AO46" s="246"/>
      <c r="AP46" s="246"/>
    </row>
    <row r="47" spans="1:42">
      <c r="A47" s="199" t="s">
        <v>16</v>
      </c>
      <c r="C47" s="199" t="s">
        <v>13</v>
      </c>
      <c r="E47" s="200">
        <f>FTRA!F7</f>
        <v>135.96</v>
      </c>
      <c r="F47" s="200">
        <f>FTRA!G7</f>
        <v>145.44999999999999</v>
      </c>
      <c r="G47" s="200">
        <f>FTRA!I7</f>
        <v>142.83000000000001</v>
      </c>
      <c r="H47" s="200">
        <f>FTRA!I7</f>
        <v>142.83000000000001</v>
      </c>
      <c r="I47" s="200">
        <f>FTRA!J7</f>
        <v>213.08</v>
      </c>
      <c r="J47" s="200">
        <f>FTRA!K7</f>
        <v>335.89</v>
      </c>
      <c r="K47" s="200">
        <f>FTRA!L7</f>
        <v>554.19000000000005</v>
      </c>
      <c r="L47" s="43"/>
      <c r="M47" s="200">
        <f>SUMIF(FTRA!$N$4:$AR$4,M46,FTRA!$N$7:$AR$7)</f>
        <v>290.89999999999998</v>
      </c>
      <c r="N47" s="200">
        <f>SUMIF(FTRA!$N$4:$AR$4,N46,FTRA!$N$7:$AR$7)</f>
        <v>285.66000000000003</v>
      </c>
      <c r="O47" s="200">
        <f>SUMIF(FTRA!$N$4:$AR$4,O46,FTRA!$N$7:$AR$7)</f>
        <v>426.16</v>
      </c>
      <c r="P47" s="200">
        <f>SUMIF(FTRA!$N$4:$AR$4,P46,FTRA!$N$7:$AR$7)</f>
        <v>671.78</v>
      </c>
      <c r="Q47" s="200">
        <f>SUMIF(FTRA!$N$4:$AR$4,Q46,FTRA!$N$7:$AR$7)</f>
        <v>1108.3800000000001</v>
      </c>
      <c r="R47" s="246"/>
      <c r="S47" s="200">
        <f>SUMIF(FTRA!$N$4:$AR$4,S46,FTRA!$N$7:$AR$7)</f>
        <v>290.89999999999998</v>
      </c>
      <c r="T47" s="200">
        <f>SUMIF(FTRA!$N$4:$AR$4,T46,FTRA!$N$7:$AR$7)</f>
        <v>285.66000000000003</v>
      </c>
      <c r="U47" s="200">
        <f>SUMIF(FTRA!$N$4:$AR$4,U46,FTRA!$N$7:$AR$7)</f>
        <v>426.16</v>
      </c>
      <c r="V47" s="200">
        <f>SUMIF(FTRA!$N$4:$AR$4,V46,FTRA!$N$7:$AR$7)</f>
        <v>671.78</v>
      </c>
      <c r="W47" s="200">
        <f>SUMIF(FTRA!$N$4:$AR$4,W46,FTRA!$N$7:$AR$7)</f>
        <v>1108.3800000000001</v>
      </c>
      <c r="X47" s="246"/>
      <c r="Y47" s="246"/>
      <c r="Z47" s="246"/>
      <c r="AA47" s="246"/>
      <c r="AB47" s="246"/>
      <c r="AC47" s="246"/>
      <c r="AD47" s="246"/>
      <c r="AE47" s="246"/>
      <c r="AF47" s="246"/>
      <c r="AG47" s="246"/>
      <c r="AH47" s="246"/>
      <c r="AI47" s="246"/>
      <c r="AJ47" s="246"/>
      <c r="AK47" s="246"/>
      <c r="AL47" s="246"/>
      <c r="AM47" s="246"/>
      <c r="AN47" s="246"/>
      <c r="AO47" s="246"/>
      <c r="AP47" s="246"/>
    </row>
    <row r="48" spans="1:42">
      <c r="A48" s="199" t="s">
        <v>16</v>
      </c>
      <c r="C48" s="199" t="s">
        <v>163</v>
      </c>
      <c r="E48" s="48">
        <v>0.5</v>
      </c>
      <c r="F48" s="80">
        <f>E48</f>
        <v>0.5</v>
      </c>
      <c r="G48" s="80">
        <f>F48</f>
        <v>0.5</v>
      </c>
      <c r="H48" s="80">
        <f>IF($D$4,T48,N48)</f>
        <v>0.5</v>
      </c>
      <c r="I48" s="80">
        <f>IF($D$4,U48,O48)</f>
        <v>0.5</v>
      </c>
      <c r="J48" s="80">
        <f>IF($D$4,V48,P48)</f>
        <v>0.4</v>
      </c>
      <c r="K48" s="80">
        <f>IF($D$4,W48,Q48)</f>
        <v>0.3</v>
      </c>
      <c r="L48" s="43"/>
      <c r="M48" s="80">
        <f>$F48</f>
        <v>0.5</v>
      </c>
      <c r="N48" s="48">
        <f>M48</f>
        <v>0.5</v>
      </c>
      <c r="O48" s="48">
        <f>N48</f>
        <v>0.5</v>
      </c>
      <c r="P48" s="48">
        <v>0.4</v>
      </c>
      <c r="Q48" s="48">
        <v>0.3</v>
      </c>
      <c r="R48" s="246"/>
      <c r="S48" s="80">
        <f>$F48</f>
        <v>0.5</v>
      </c>
      <c r="T48" s="48">
        <f>S48</f>
        <v>0.5</v>
      </c>
      <c r="U48" s="48">
        <f>T48</f>
        <v>0.5</v>
      </c>
      <c r="V48" s="48">
        <v>0.4</v>
      </c>
      <c r="W48" s="48">
        <v>0.3</v>
      </c>
      <c r="X48" s="246"/>
      <c r="Y48" s="246"/>
      <c r="Z48" s="246"/>
      <c r="AA48" s="246"/>
      <c r="AB48" s="246"/>
      <c r="AC48" s="246"/>
      <c r="AD48" s="246"/>
      <c r="AE48" s="246"/>
      <c r="AF48" s="246"/>
      <c r="AG48" s="246"/>
      <c r="AH48" s="246"/>
      <c r="AI48" s="246"/>
      <c r="AJ48" s="246"/>
      <c r="AK48" s="246"/>
      <c r="AL48" s="246"/>
      <c r="AM48" s="246"/>
      <c r="AN48" s="246"/>
      <c r="AO48" s="246"/>
      <c r="AP48" s="246"/>
    </row>
    <row r="49" spans="1:42">
      <c r="A49" s="199" t="s">
        <v>16</v>
      </c>
      <c r="C49" s="245" t="s">
        <v>162</v>
      </c>
      <c r="D49" s="199" t="s">
        <v>164</v>
      </c>
      <c r="E49" s="76">
        <f>[2]Calib_1011!$K$116</f>
        <v>0.44857633535499813</v>
      </c>
      <c r="F49" s="24">
        <f>E49*(1+(F48*(F47/E47-1)))</f>
        <v>0.46423163626158442</v>
      </c>
      <c r="G49" s="24">
        <f>F49*(1+(G48*(G47/F47-1)))</f>
        <v>0.4600505194276025</v>
      </c>
      <c r="H49" s="200">
        <f>F49*(1+(H48*(H47/F47-1)))</f>
        <v>0.4600505194276025</v>
      </c>
      <c r="I49" s="200">
        <f>H49*(1+(I48*(I47/H47-1)))</f>
        <v>0.57318693681116717</v>
      </c>
      <c r="J49" s="200">
        <f>I49*(1+(J48*(J47/I47-1)))</f>
        <v>0.70533089721998898</v>
      </c>
      <c r="K49" s="200">
        <f>J49*(1+(K48*(K47/J47-1)))</f>
        <v>0.84285246814778414</v>
      </c>
      <c r="L49" s="43"/>
      <c r="M49" s="200">
        <f>$F49</f>
        <v>0.46423163626158442</v>
      </c>
      <c r="N49" s="200">
        <f>M49*(1+(N48*(N47/M47-1)))</f>
        <v>0.4600505194276025</v>
      </c>
      <c r="O49" s="200">
        <f>N49*(1+(O48*(O47/N47-1)))</f>
        <v>0.57318693681116717</v>
      </c>
      <c r="P49" s="200">
        <f>O49*(1+(P48*(P47/O47-1)))</f>
        <v>0.70533089721998898</v>
      </c>
      <c r="Q49" s="200">
        <f>P49*(1+(Q48*(Q47/P47-1)))</f>
        <v>0.84285246814778414</v>
      </c>
      <c r="R49" s="246"/>
      <c r="S49" s="200">
        <f>$F49</f>
        <v>0.46423163626158442</v>
      </c>
      <c r="T49" s="200">
        <f>S49*(1+(T48*(T47/S47-1)))</f>
        <v>0.4600505194276025</v>
      </c>
      <c r="U49" s="200">
        <f>T49*(1+(U48*(U47/T47-1)))</f>
        <v>0.57318693681116717</v>
      </c>
      <c r="V49" s="200">
        <f>U49*(1+(V48*(V47/U47-1)))</f>
        <v>0.70533089721998898</v>
      </c>
      <c r="W49" s="200">
        <f>V49*(1+(W48*(W47/V47-1)))</f>
        <v>0.84285246814778414</v>
      </c>
      <c r="X49" s="246"/>
      <c r="Y49" s="246"/>
      <c r="Z49" s="246"/>
      <c r="AA49" s="246"/>
      <c r="AB49" s="246"/>
      <c r="AC49" s="246"/>
      <c r="AD49" s="246"/>
      <c r="AE49" s="246"/>
      <c r="AF49" s="246"/>
      <c r="AG49" s="246"/>
      <c r="AH49" s="246"/>
      <c r="AI49" s="246"/>
      <c r="AJ49" s="246"/>
      <c r="AK49" s="246"/>
      <c r="AL49" s="246"/>
      <c r="AM49" s="246"/>
      <c r="AN49" s="246"/>
      <c r="AO49" s="246"/>
      <c r="AP49" s="246"/>
    </row>
    <row r="50" spans="1:42">
      <c r="A50" s="199" t="s">
        <v>16</v>
      </c>
      <c r="C50" s="245" t="s">
        <v>172</v>
      </c>
      <c r="D50" s="199" t="s">
        <v>173</v>
      </c>
      <c r="E50" s="200">
        <f t="shared" ref="E50:K50" si="27">E49*E44</f>
        <v>6.055780527292475</v>
      </c>
      <c r="F50" s="200">
        <f t="shared" si="27"/>
        <v>6.2671270895313897</v>
      </c>
      <c r="G50" s="200">
        <f t="shared" si="27"/>
        <v>6.2106820122726338</v>
      </c>
      <c r="H50" s="200">
        <f t="shared" si="27"/>
        <v>6.2106820122726338</v>
      </c>
      <c r="I50" s="200">
        <f>I49*I44</f>
        <v>7.3511224646032183</v>
      </c>
      <c r="J50" s="200">
        <f t="shared" si="27"/>
        <v>8.5935753190040387</v>
      </c>
      <c r="K50" s="200">
        <f t="shared" si="27"/>
        <v>9.7556485708557847</v>
      </c>
      <c r="L50" s="43"/>
      <c r="M50" s="200">
        <f>M49*M44</f>
        <v>6.2671270895313897</v>
      </c>
      <c r="N50" s="200">
        <f>N49*N44</f>
        <v>6.2106820122726338</v>
      </c>
      <c r="O50" s="200">
        <f>O49*O44</f>
        <v>7.7380236469507571</v>
      </c>
      <c r="P50" s="200">
        <f>P49*P44</f>
        <v>9.5219671124698522</v>
      </c>
      <c r="Q50" s="200">
        <f>Q49*Q44</f>
        <v>11.378508319995086</v>
      </c>
      <c r="R50" s="246"/>
      <c r="S50" s="200">
        <f>S49*S44</f>
        <v>6.2671270895313897</v>
      </c>
      <c r="T50" s="200">
        <f>T49*T44</f>
        <v>6.2106820122726338</v>
      </c>
      <c r="U50" s="200">
        <f>U49*U44</f>
        <v>7.3511224646032183</v>
      </c>
      <c r="V50" s="200">
        <f>V49*V44</f>
        <v>8.5935753190040387</v>
      </c>
      <c r="W50" s="200">
        <f>W49*W44</f>
        <v>9.7556485708557847</v>
      </c>
      <c r="X50" s="246"/>
      <c r="Y50" s="246"/>
      <c r="Z50" s="246"/>
      <c r="AA50" s="246"/>
      <c r="AB50" s="246"/>
      <c r="AC50" s="246"/>
      <c r="AD50" s="246"/>
      <c r="AE50" s="246"/>
      <c r="AF50" s="246"/>
      <c r="AG50" s="246"/>
      <c r="AH50" s="246"/>
      <c r="AI50" s="246"/>
      <c r="AJ50" s="246"/>
      <c r="AK50" s="246"/>
      <c r="AL50" s="246"/>
      <c r="AM50" s="246"/>
      <c r="AN50" s="246"/>
      <c r="AO50" s="246"/>
      <c r="AP50" s="246"/>
    </row>
    <row r="51" spans="1:42">
      <c r="A51" s="199" t="s">
        <v>16</v>
      </c>
      <c r="C51" s="245" t="s">
        <v>174</v>
      </c>
      <c r="D51" s="199" t="s">
        <v>136</v>
      </c>
      <c r="E51" s="200">
        <f t="shared" ref="E51:K51" si="28">E50*E38</f>
        <v>8.4780927382094635</v>
      </c>
      <c r="F51" s="200">
        <f t="shared" si="28"/>
        <v>8.7739779253439458</v>
      </c>
      <c r="G51" s="200">
        <f t="shared" si="28"/>
        <v>8.6949548171816868</v>
      </c>
      <c r="H51" s="200">
        <f t="shared" si="28"/>
        <v>8.6949548171816868</v>
      </c>
      <c r="I51" s="200">
        <f t="shared" si="28"/>
        <v>10.291571450444504</v>
      </c>
      <c r="J51" s="200">
        <f t="shared" si="28"/>
        <v>12.031005446605654</v>
      </c>
      <c r="K51" s="200">
        <f t="shared" si="28"/>
        <v>13.657907999198098</v>
      </c>
      <c r="L51" s="43"/>
      <c r="M51" s="200">
        <f>M50*M38</f>
        <v>8.7739779253439458</v>
      </c>
      <c r="N51" s="200">
        <f>N50*N38</f>
        <v>8.6949548171816868</v>
      </c>
      <c r="O51" s="200">
        <f>O50*O38</f>
        <v>10.833233105731059</v>
      </c>
      <c r="P51" s="200">
        <f>P50*P38</f>
        <v>13.330753957457793</v>
      </c>
      <c r="Q51" s="200">
        <f>Q50*Q38</f>
        <v>15.929911647993119</v>
      </c>
      <c r="R51" s="246"/>
      <c r="S51" s="200">
        <f>S50*S38</f>
        <v>8.7739779253439458</v>
      </c>
      <c r="T51" s="200">
        <f>T50*T38</f>
        <v>8.6949548171816868</v>
      </c>
      <c r="U51" s="200">
        <f>U50*U38</f>
        <v>10.291571450444504</v>
      </c>
      <c r="V51" s="200">
        <f>V50*V38</f>
        <v>12.031005446605654</v>
      </c>
      <c r="W51" s="200">
        <f>W50*W38</f>
        <v>13.657907999198098</v>
      </c>
      <c r="X51" s="246"/>
      <c r="Y51" s="246"/>
      <c r="Z51" s="246"/>
      <c r="AA51" s="246"/>
      <c r="AB51" s="246"/>
      <c r="AC51" s="246"/>
      <c r="AD51" s="246"/>
      <c r="AE51" s="246"/>
      <c r="AF51" s="246"/>
      <c r="AG51" s="246"/>
      <c r="AH51" s="246"/>
      <c r="AI51" s="246"/>
      <c r="AJ51" s="246"/>
      <c r="AK51" s="246"/>
      <c r="AL51" s="246"/>
      <c r="AM51" s="246"/>
      <c r="AN51" s="246"/>
      <c r="AO51" s="246"/>
      <c r="AP51" s="246"/>
    </row>
    <row r="52" spans="1:42">
      <c r="A52" s="199" t="s">
        <v>16</v>
      </c>
      <c r="C52" s="245"/>
      <c r="E52" s="30"/>
    </row>
    <row r="53" spans="1:42" ht="15.75" thickBot="1">
      <c r="A53" s="199" t="s">
        <v>16</v>
      </c>
      <c r="B53" s="244" t="s">
        <v>84</v>
      </c>
      <c r="D53" s="244"/>
      <c r="E53" s="7">
        <v>2012</v>
      </c>
      <c r="F53" s="7">
        <f>F12</f>
        <v>2015</v>
      </c>
      <c r="G53" s="7">
        <f>G12</f>
        <v>2017</v>
      </c>
      <c r="H53" s="7">
        <v>2020</v>
      </c>
      <c r="I53" s="7">
        <v>2030</v>
      </c>
      <c r="J53" s="7">
        <v>2040</v>
      </c>
      <c r="K53" s="7">
        <v>2050</v>
      </c>
      <c r="M53" s="7">
        <f>F53</f>
        <v>2015</v>
      </c>
      <c r="N53" s="7">
        <f>H53</f>
        <v>2020</v>
      </c>
      <c r="O53" s="7">
        <f>I53</f>
        <v>2030</v>
      </c>
      <c r="P53" s="7">
        <f>J53</f>
        <v>2040</v>
      </c>
      <c r="Q53" s="7">
        <f>K53</f>
        <v>2050</v>
      </c>
      <c r="S53" s="7">
        <f>F53</f>
        <v>2015</v>
      </c>
      <c r="T53" s="7">
        <f>H53</f>
        <v>2020</v>
      </c>
      <c r="U53" s="7">
        <f>I53</f>
        <v>2030</v>
      </c>
      <c r="V53" s="7">
        <f>J53</f>
        <v>2040</v>
      </c>
      <c r="W53" s="7">
        <f>K53</f>
        <v>2050</v>
      </c>
    </row>
    <row r="54" spans="1:42">
      <c r="A54" s="199" t="s">
        <v>16</v>
      </c>
      <c r="C54" s="245" t="str">
        <f>C30</f>
        <v>Low Income</v>
      </c>
      <c r="D54" s="199" t="s">
        <v>67</v>
      </c>
      <c r="E54" s="200">
        <f>E30*E25*E13</f>
        <v>0.13257956556494507</v>
      </c>
      <c r="F54" s="65">
        <f t="shared" ref="F54:G61" si="29">IF($D$4,S54,M54)</f>
        <v>0.13257956556494507</v>
      </c>
      <c r="G54" s="65">
        <f t="shared" si="29"/>
        <v>0.12726162156750001</v>
      </c>
      <c r="H54" s="200">
        <f t="shared" ref="H54:K61" si="30">IF($D$4,T54,N54)</f>
        <v>0.12726162156750001</v>
      </c>
      <c r="I54" s="200">
        <f t="shared" si="30"/>
        <v>0.24596509973024999</v>
      </c>
      <c r="J54" s="200">
        <f t="shared" si="30"/>
        <v>0.13301948121822499</v>
      </c>
      <c r="K54" s="200">
        <f t="shared" si="30"/>
        <v>8.9461160960136565E-2</v>
      </c>
      <c r="L54" s="43"/>
      <c r="M54" s="200">
        <f t="shared" ref="M54:Q56" si="31">M30*M25*M13</f>
        <v>0.13257956556494507</v>
      </c>
      <c r="N54" s="200">
        <f t="shared" si="31"/>
        <v>0.12726162156750001</v>
      </c>
      <c r="O54" s="200">
        <f t="shared" si="31"/>
        <v>0.103564252518</v>
      </c>
      <c r="P54" s="200">
        <f t="shared" si="31"/>
        <v>7.369500344499999E-2</v>
      </c>
      <c r="Q54" s="200">
        <f t="shared" si="31"/>
        <v>5.2171547432649991E-2</v>
      </c>
      <c r="R54" s="246"/>
      <c r="S54" s="200">
        <f t="shared" ref="S54:W56" si="32">S30*S25*S13</f>
        <v>0.13257956556494507</v>
      </c>
      <c r="T54" s="200">
        <f>T30*T25*T13</f>
        <v>0.12726162156750001</v>
      </c>
      <c r="U54" s="200">
        <f t="shared" si="32"/>
        <v>0.24596509973024999</v>
      </c>
      <c r="V54" s="200">
        <f t="shared" si="32"/>
        <v>0.13301948121822499</v>
      </c>
      <c r="W54" s="200">
        <f t="shared" si="32"/>
        <v>8.9461160960136565E-2</v>
      </c>
      <c r="X54" s="246"/>
      <c r="Y54" s="246"/>
      <c r="Z54" s="246"/>
      <c r="AA54" s="246"/>
      <c r="AB54" s="246"/>
      <c r="AC54" s="246"/>
      <c r="AD54" s="246"/>
      <c r="AE54" s="246"/>
      <c r="AF54" s="246"/>
      <c r="AG54" s="246"/>
      <c r="AH54" s="246"/>
      <c r="AI54" s="246"/>
      <c r="AJ54" s="246"/>
      <c r="AK54" s="246"/>
      <c r="AL54" s="246"/>
      <c r="AM54" s="246"/>
      <c r="AN54" s="246"/>
      <c r="AO54" s="246"/>
      <c r="AP54" s="246"/>
    </row>
    <row r="55" spans="1:42">
      <c r="A55" s="199" t="s">
        <v>16</v>
      </c>
      <c r="C55" s="245" t="str">
        <f>C31</f>
        <v>Middle Income</v>
      </c>
      <c r="D55" s="199" t="s">
        <v>67</v>
      </c>
      <c r="E55" s="200">
        <f>E31*E26*E14</f>
        <v>2.6402161414723233</v>
      </c>
      <c r="F55" s="200">
        <f t="shared" si="29"/>
        <v>2.6402161414723233</v>
      </c>
      <c r="G55" s="200">
        <f t="shared" si="29"/>
        <v>3.1020218135492184</v>
      </c>
      <c r="H55" s="200">
        <f t="shared" si="30"/>
        <v>3.1020218135492184</v>
      </c>
      <c r="I55" s="200">
        <f t="shared" si="30"/>
        <v>3.198308571766749</v>
      </c>
      <c r="J55" s="200">
        <f t="shared" si="30"/>
        <v>3.4115252248230226</v>
      </c>
      <c r="K55" s="200">
        <f t="shared" si="30"/>
        <v>3.5074406513509082</v>
      </c>
      <c r="L55" s="43"/>
      <c r="M55" s="200">
        <f t="shared" si="31"/>
        <v>2.6402161414723233</v>
      </c>
      <c r="N55" s="200">
        <f t="shared" si="31"/>
        <v>3.1020218135492184</v>
      </c>
      <c r="O55" s="200">
        <f t="shared" si="31"/>
        <v>3.5438322124839328</v>
      </c>
      <c r="P55" s="200">
        <f t="shared" si="31"/>
        <v>4.1884580073179594</v>
      </c>
      <c r="Q55" s="200">
        <f t="shared" si="31"/>
        <v>4.7714315666967364</v>
      </c>
      <c r="R55" s="246"/>
      <c r="S55" s="200">
        <f t="shared" si="32"/>
        <v>2.6402161414723233</v>
      </c>
      <c r="T55" s="200">
        <f t="shared" si="32"/>
        <v>3.1020218135492184</v>
      </c>
      <c r="U55" s="200">
        <f t="shared" si="32"/>
        <v>3.198308571766749</v>
      </c>
      <c r="V55" s="200">
        <f t="shared" si="32"/>
        <v>3.4115252248230226</v>
      </c>
      <c r="W55" s="200">
        <f t="shared" si="32"/>
        <v>3.5074406513509082</v>
      </c>
      <c r="X55" s="246"/>
      <c r="Y55" s="246"/>
      <c r="Z55" s="246"/>
      <c r="AA55" s="246"/>
      <c r="AB55" s="246"/>
      <c r="AC55" s="246"/>
      <c r="AD55" s="246"/>
      <c r="AE55" s="246"/>
      <c r="AF55" s="246"/>
      <c r="AG55" s="246"/>
      <c r="AH55" s="246"/>
      <c r="AI55" s="246"/>
      <c r="AJ55" s="246"/>
      <c r="AK55" s="246"/>
      <c r="AL55" s="246"/>
      <c r="AM55" s="246"/>
      <c r="AN55" s="246"/>
      <c r="AO55" s="246"/>
      <c r="AP55" s="246"/>
    </row>
    <row r="56" spans="1:42">
      <c r="A56" s="199" t="s">
        <v>16</v>
      </c>
      <c r="C56" s="245" t="str">
        <f>C32</f>
        <v>High Income</v>
      </c>
      <c r="D56" s="199" t="s">
        <v>67</v>
      </c>
      <c r="E56" s="200">
        <f>E32*E27*E15</f>
        <v>3.1392972583426562</v>
      </c>
      <c r="F56" s="200">
        <f t="shared" si="29"/>
        <v>3.1392972583426562</v>
      </c>
      <c r="G56" s="200">
        <f t="shared" si="29"/>
        <v>4.8219941229988592</v>
      </c>
      <c r="H56" s="200">
        <f t="shared" si="30"/>
        <v>4.8219941229988592</v>
      </c>
      <c r="I56" s="200">
        <f t="shared" si="30"/>
        <v>7.221246603388777</v>
      </c>
      <c r="J56" s="200">
        <f t="shared" si="30"/>
        <v>9.0224009469349369</v>
      </c>
      <c r="K56" s="200">
        <f t="shared" si="30"/>
        <v>9.9248647010681896</v>
      </c>
      <c r="L56" s="43"/>
      <c r="M56" s="200">
        <f t="shared" si="31"/>
        <v>3.1392972583426562</v>
      </c>
      <c r="N56" s="200">
        <f t="shared" si="31"/>
        <v>4.8219941229988592</v>
      </c>
      <c r="O56" s="200">
        <f t="shared" si="31"/>
        <v>8.5960522430967679</v>
      </c>
      <c r="P56" s="200">
        <f t="shared" si="31"/>
        <v>12.942978469195841</v>
      </c>
      <c r="Q56" s="200">
        <f t="shared" si="31"/>
        <v>16.86197564899355</v>
      </c>
      <c r="R56" s="246"/>
      <c r="S56" s="200">
        <f t="shared" si="32"/>
        <v>3.1392972583426562</v>
      </c>
      <c r="T56" s="200">
        <f t="shared" si="32"/>
        <v>4.8219941229988592</v>
      </c>
      <c r="U56" s="200">
        <f t="shared" si="32"/>
        <v>7.221246603388777</v>
      </c>
      <c r="V56" s="200">
        <f t="shared" si="32"/>
        <v>9.0224009469349369</v>
      </c>
      <c r="W56" s="200">
        <f t="shared" si="32"/>
        <v>9.9248647010681896</v>
      </c>
      <c r="X56" s="246"/>
      <c r="Y56" s="246"/>
      <c r="Z56" s="246"/>
      <c r="AA56" s="246"/>
      <c r="AB56" s="246"/>
      <c r="AC56" s="246"/>
      <c r="AD56" s="246"/>
      <c r="AE56" s="246"/>
      <c r="AF56" s="246"/>
      <c r="AG56" s="246"/>
      <c r="AH56" s="246"/>
      <c r="AI56" s="246"/>
      <c r="AJ56" s="246"/>
      <c r="AK56" s="246"/>
      <c r="AL56" s="246"/>
      <c r="AM56" s="246"/>
      <c r="AN56" s="246"/>
      <c r="AO56" s="246"/>
      <c r="AP56" s="246"/>
    </row>
    <row r="57" spans="1:42">
      <c r="A57" s="199" t="s">
        <v>16</v>
      </c>
      <c r="C57" s="245" t="s">
        <v>165</v>
      </c>
      <c r="D57" s="199" t="s">
        <v>67</v>
      </c>
      <c r="E57" s="200">
        <f>E49</f>
        <v>0.44857633535499813</v>
      </c>
      <c r="F57" s="200">
        <f t="shared" si="29"/>
        <v>0.46423163626158442</v>
      </c>
      <c r="G57" s="200">
        <f t="shared" si="29"/>
        <v>0.4600505194276025</v>
      </c>
      <c r="H57" s="200">
        <f t="shared" si="30"/>
        <v>0.4600505194276025</v>
      </c>
      <c r="I57" s="200">
        <f t="shared" si="30"/>
        <v>0.57318693681116717</v>
      </c>
      <c r="J57" s="200">
        <f t="shared" si="30"/>
        <v>0.70533089721998898</v>
      </c>
      <c r="K57" s="200">
        <f t="shared" si="30"/>
        <v>0.84285246814778414</v>
      </c>
      <c r="L57" s="43"/>
      <c r="M57" s="200">
        <f>M49</f>
        <v>0.46423163626158442</v>
      </c>
      <c r="N57" s="200">
        <f>N49</f>
        <v>0.4600505194276025</v>
      </c>
      <c r="O57" s="200">
        <f>O49</f>
        <v>0.57318693681116717</v>
      </c>
      <c r="P57" s="200">
        <f>P49</f>
        <v>0.70533089721998898</v>
      </c>
      <c r="Q57" s="200">
        <f>Q49</f>
        <v>0.84285246814778414</v>
      </c>
      <c r="R57" s="246"/>
      <c r="S57" s="200">
        <f>S49</f>
        <v>0.46423163626158442</v>
      </c>
      <c r="T57" s="200">
        <f>T49</f>
        <v>0.4600505194276025</v>
      </c>
      <c r="U57" s="200">
        <f>U49</f>
        <v>0.57318693681116717</v>
      </c>
      <c r="V57" s="200">
        <f>V49</f>
        <v>0.70533089721998898</v>
      </c>
      <c r="W57" s="200">
        <f>W49</f>
        <v>0.84285246814778414</v>
      </c>
      <c r="X57" s="246"/>
      <c r="Y57" s="246"/>
      <c r="Z57" s="246"/>
      <c r="AA57" s="246"/>
      <c r="AB57" s="246"/>
      <c r="AC57" s="246"/>
      <c r="AD57" s="246"/>
      <c r="AE57" s="246"/>
      <c r="AF57" s="246"/>
      <c r="AG57" s="246"/>
      <c r="AH57" s="246"/>
      <c r="AI57" s="246"/>
      <c r="AJ57" s="246"/>
      <c r="AK57" s="246"/>
      <c r="AL57" s="246"/>
      <c r="AM57" s="246"/>
      <c r="AN57" s="246"/>
      <c r="AO57" s="246"/>
      <c r="AP57" s="246"/>
    </row>
    <row r="58" spans="1:42">
      <c r="A58" s="199" t="s">
        <v>16</v>
      </c>
      <c r="C58" s="245" t="s">
        <v>64</v>
      </c>
      <c r="D58" s="199" t="s">
        <v>67</v>
      </c>
      <c r="E58" s="200">
        <f>SUM(E54:E57)</f>
        <v>6.3606693007349229</v>
      </c>
      <c r="F58" s="200">
        <f t="shared" si="29"/>
        <v>6.3763246016415094</v>
      </c>
      <c r="G58" s="200">
        <f t="shared" si="29"/>
        <v>8.5113280775431797</v>
      </c>
      <c r="H58" s="200">
        <f t="shared" si="30"/>
        <v>8.5113280775431797</v>
      </c>
      <c r="I58" s="200">
        <f t="shared" si="30"/>
        <v>11.238707211696942</v>
      </c>
      <c r="J58" s="200">
        <f t="shared" si="30"/>
        <v>13.272276550196173</v>
      </c>
      <c r="K58" s="200">
        <f t="shared" si="30"/>
        <v>14.364618981527018</v>
      </c>
      <c r="L58" s="43"/>
      <c r="M58" s="200">
        <f>SUM(M54:M57)</f>
        <v>6.3763246016415094</v>
      </c>
      <c r="N58" s="200">
        <f>SUM(N54:N57)</f>
        <v>8.5113280775431797</v>
      </c>
      <c r="O58" s="200">
        <f>SUM(O54:O57)</f>
        <v>12.816635644909868</v>
      </c>
      <c r="P58" s="200">
        <f>SUM(P54:P57)</f>
        <v>17.910462377178789</v>
      </c>
      <c r="Q58" s="200">
        <f>SUM(Q54:Q57)</f>
        <v>22.528431231270719</v>
      </c>
      <c r="R58" s="246"/>
      <c r="S58" s="200">
        <f>SUM(S54:S57)</f>
        <v>6.3763246016415094</v>
      </c>
      <c r="T58" s="200">
        <f>SUM(T54:T57)</f>
        <v>8.5113280775431797</v>
      </c>
      <c r="U58" s="200">
        <f>SUM(U54:U57)</f>
        <v>11.238707211696942</v>
      </c>
      <c r="V58" s="200">
        <f>SUM(V54:V57)</f>
        <v>13.272276550196173</v>
      </c>
      <c r="W58" s="200">
        <f>SUM(W54:W57)</f>
        <v>14.364618981527018</v>
      </c>
      <c r="X58" s="246"/>
      <c r="Y58" s="246"/>
      <c r="Z58" s="246"/>
      <c r="AA58" s="246"/>
      <c r="AB58" s="246"/>
      <c r="AC58" s="246"/>
      <c r="AD58" s="246"/>
      <c r="AE58" s="246"/>
      <c r="AF58" s="246"/>
      <c r="AG58" s="246"/>
      <c r="AH58" s="246"/>
      <c r="AI58" s="246"/>
      <c r="AJ58" s="246"/>
      <c r="AK58" s="246"/>
      <c r="AL58" s="246"/>
      <c r="AM58" s="246"/>
      <c r="AN58" s="246"/>
      <c r="AO58" s="246"/>
      <c r="AP58" s="246"/>
    </row>
    <row r="59" spans="1:42">
      <c r="A59" s="199" t="s">
        <v>16</v>
      </c>
      <c r="C59" s="245" t="s">
        <v>65</v>
      </c>
      <c r="D59" s="199" t="s">
        <v>66</v>
      </c>
      <c r="E59" s="49">
        <f>E16/E58</f>
        <v>8.2264036075612861</v>
      </c>
      <c r="F59" s="49">
        <f t="shared" si="29"/>
        <v>8.2062059495213795</v>
      </c>
      <c r="G59" s="49">
        <f t="shared" si="29"/>
        <v>6.9682063080712107</v>
      </c>
      <c r="H59" s="49">
        <f t="shared" si="30"/>
        <v>6.9682063080712107</v>
      </c>
      <c r="I59" s="49">
        <f t="shared" si="30"/>
        <v>5.8686545309548315</v>
      </c>
      <c r="J59" s="49">
        <f t="shared" si="30"/>
        <v>5.3777741693413574</v>
      </c>
      <c r="K59" s="49">
        <f t="shared" si="30"/>
        <v>5.2572162963122402</v>
      </c>
      <c r="L59" s="43"/>
      <c r="M59" s="49">
        <f>F16/M58</f>
        <v>8.5865282710397537</v>
      </c>
      <c r="N59" s="49">
        <f>H16/N58</f>
        <v>6.9682063080712107</v>
      </c>
      <c r="O59" s="49">
        <f>I16/O58</f>
        <v>5.1461313114720939</v>
      </c>
      <c r="P59" s="49">
        <f>J16/P58</f>
        <v>3.9851179995746628</v>
      </c>
      <c r="Q59" s="49">
        <f>K16/Q58</f>
        <v>3.3521157432026119</v>
      </c>
      <c r="R59" s="246"/>
      <c r="S59" s="49">
        <f>S16/S58</f>
        <v>8.2062059495213795</v>
      </c>
      <c r="T59" s="49">
        <f>T16/T58</f>
        <v>6.9682063080712107</v>
      </c>
      <c r="U59" s="49">
        <f>U16/U58</f>
        <v>5.8686545309548315</v>
      </c>
      <c r="V59" s="49">
        <f>V16/V58</f>
        <v>5.3777741693413574</v>
      </c>
      <c r="W59" s="49">
        <f>W16/W58</f>
        <v>5.2572162963122402</v>
      </c>
      <c r="X59" s="246"/>
      <c r="Y59" s="246"/>
      <c r="Z59" s="246"/>
      <c r="AA59" s="246"/>
      <c r="AB59" s="246"/>
      <c r="AC59" s="246"/>
      <c r="AD59" s="246"/>
      <c r="AE59" s="246"/>
      <c r="AF59" s="246"/>
      <c r="AG59" s="246"/>
      <c r="AH59" s="246"/>
      <c r="AI59" s="246"/>
      <c r="AJ59" s="246"/>
      <c r="AK59" s="246"/>
      <c r="AL59" s="246"/>
      <c r="AM59" s="246"/>
      <c r="AN59" s="246"/>
      <c r="AO59" s="246"/>
      <c r="AP59" s="246"/>
    </row>
    <row r="60" spans="1:42">
      <c r="A60" s="199" t="s">
        <v>16</v>
      </c>
      <c r="C60" s="245" t="s">
        <v>166</v>
      </c>
      <c r="D60" s="199" t="s">
        <v>144</v>
      </c>
      <c r="E60" s="200">
        <f>1000/E59</f>
        <v>121.55980276494719</v>
      </c>
      <c r="F60" s="200">
        <f t="shared" si="29"/>
        <v>121.85899380923095</v>
      </c>
      <c r="G60" s="200">
        <f t="shared" si="29"/>
        <v>143.50895421131676</v>
      </c>
      <c r="H60" s="200">
        <f t="shared" si="30"/>
        <v>143.50895421131676</v>
      </c>
      <c r="I60" s="200">
        <f t="shared" si="30"/>
        <v>170.3968081142612</v>
      </c>
      <c r="J60" s="200">
        <f t="shared" si="30"/>
        <v>185.95053799413725</v>
      </c>
      <c r="K60" s="200">
        <f t="shared" si="30"/>
        <v>190.21473411726777</v>
      </c>
      <c r="M60" s="200">
        <f>1000/M59</f>
        <v>116.4615043978547</v>
      </c>
      <c r="N60" s="200">
        <f>1000/N59</f>
        <v>143.50895421131676</v>
      </c>
      <c r="O60" s="200">
        <f>1000/O59</f>
        <v>194.32073133671003</v>
      </c>
      <c r="P60" s="200">
        <f>1000/P59</f>
        <v>250.93359847982705</v>
      </c>
      <c r="Q60" s="200">
        <f>1000/Q59</f>
        <v>298.31905477243453</v>
      </c>
      <c r="S60" s="200">
        <f>1000/S59</f>
        <v>121.85899380923095</v>
      </c>
      <c r="T60" s="200">
        <f>1000/T59</f>
        <v>143.50895421131676</v>
      </c>
      <c r="U60" s="200">
        <f>1000/U59</f>
        <v>170.3968081142612</v>
      </c>
      <c r="V60" s="200">
        <f>1000/V59</f>
        <v>185.95053799413725</v>
      </c>
      <c r="W60" s="200">
        <f>1000/W59</f>
        <v>190.21473411726777</v>
      </c>
    </row>
    <row r="61" spans="1:42">
      <c r="A61" s="199" t="s">
        <v>16</v>
      </c>
      <c r="C61" s="245" t="s">
        <v>167</v>
      </c>
      <c r="E61" s="249">
        <f>E57/E58</f>
        <v>7.0523448735680824E-2</v>
      </c>
      <c r="F61" s="249">
        <f t="shared" si="29"/>
        <v>7.2805521246843904E-2</v>
      </c>
      <c r="G61" s="249">
        <f t="shared" si="29"/>
        <v>5.4051555202228492E-2</v>
      </c>
      <c r="H61" s="249">
        <f t="shared" si="30"/>
        <v>5.4051555202228492E-2</v>
      </c>
      <c r="I61" s="249">
        <f t="shared" si="30"/>
        <v>5.1001145061827902E-2</v>
      </c>
      <c r="J61" s="249">
        <f t="shared" si="30"/>
        <v>5.3143173633581627E-2</v>
      </c>
      <c r="K61" s="249">
        <f t="shared" si="30"/>
        <v>5.8675588209593114E-2</v>
      </c>
      <c r="M61" s="249">
        <f>M57/M58</f>
        <v>7.2805521246843904E-2</v>
      </c>
      <c r="N61" s="249">
        <f>N57/N58</f>
        <v>5.4051555202228492E-2</v>
      </c>
      <c r="O61" s="249">
        <f>O57/O58</f>
        <v>4.4722105916993014E-2</v>
      </c>
      <c r="P61" s="249">
        <f>P57/P58</f>
        <v>3.9380942957603922E-2</v>
      </c>
      <c r="Q61" s="249">
        <f>Q57/Q58</f>
        <v>3.741283445328665E-2</v>
      </c>
      <c r="S61" s="249">
        <f>S57/S58</f>
        <v>7.2805521246843904E-2</v>
      </c>
      <c r="T61" s="249">
        <f>T57/T58</f>
        <v>5.4051555202228492E-2</v>
      </c>
      <c r="U61" s="249">
        <f>U57/U58</f>
        <v>5.1001145061827902E-2</v>
      </c>
      <c r="V61" s="249">
        <f>V57/V58</f>
        <v>5.3143173633581627E-2</v>
      </c>
      <c r="W61" s="249">
        <f>W57/W58</f>
        <v>5.8675588209593114E-2</v>
      </c>
    </row>
    <row r="62" spans="1:42">
      <c r="A62" s="199" t="s">
        <v>16</v>
      </c>
      <c r="C62" s="245"/>
      <c r="E62" s="249"/>
      <c r="F62" s="249"/>
      <c r="G62" s="249"/>
      <c r="H62" s="249"/>
      <c r="I62" s="249"/>
      <c r="J62" s="249"/>
      <c r="K62" s="249"/>
    </row>
    <row r="63" spans="1:42" ht="15.75" thickBot="1">
      <c r="A63" s="199" t="s">
        <v>16</v>
      </c>
      <c r="C63" s="244" t="s">
        <v>80</v>
      </c>
      <c r="E63" s="249"/>
      <c r="F63" s="249"/>
      <c r="G63" s="249"/>
      <c r="H63" s="249"/>
      <c r="I63" s="249"/>
      <c r="J63" s="249"/>
      <c r="K63" s="249"/>
    </row>
    <row r="64" spans="1:42">
      <c r="A64" s="199" t="s">
        <v>16</v>
      </c>
      <c r="C64" s="245" t="s">
        <v>168</v>
      </c>
      <c r="D64" s="199" t="s">
        <v>169</v>
      </c>
      <c r="E64" s="72">
        <f>[2]Calib_1011!$H$96*[2]Calib_1011!$H$97</f>
        <v>330</v>
      </c>
      <c r="F64" s="81">
        <f>E64</f>
        <v>330</v>
      </c>
      <c r="G64" s="81">
        <f>F64</f>
        <v>330</v>
      </c>
      <c r="H64" s="81">
        <f>IF($D$4,T64,N64)</f>
        <v>330</v>
      </c>
      <c r="I64" s="81">
        <f>IF($D$4,U64,O64)</f>
        <v>330</v>
      </c>
      <c r="J64" s="81">
        <f>IF($D$4,V64,P64)</f>
        <v>330</v>
      </c>
      <c r="K64" s="81">
        <f>IF($D$4,W64,Q64)</f>
        <v>330</v>
      </c>
      <c r="M64" s="81">
        <f>$F64</f>
        <v>330</v>
      </c>
      <c r="N64" s="64">
        <f>M64</f>
        <v>330</v>
      </c>
      <c r="O64" s="64">
        <f>N64</f>
        <v>330</v>
      </c>
      <c r="P64" s="64">
        <f>O64</f>
        <v>330</v>
      </c>
      <c r="Q64" s="64">
        <f>P64</f>
        <v>330</v>
      </c>
      <c r="S64" s="81">
        <f>$F64</f>
        <v>330</v>
      </c>
      <c r="T64" s="64">
        <f>S64</f>
        <v>330</v>
      </c>
      <c r="U64" s="64">
        <f>T64</f>
        <v>330</v>
      </c>
      <c r="V64" s="64">
        <f>U64</f>
        <v>330</v>
      </c>
      <c r="W64" s="64">
        <f>V64</f>
        <v>330</v>
      </c>
    </row>
    <row r="65" spans="1:42">
      <c r="A65" s="199" t="s">
        <v>16</v>
      </c>
      <c r="C65" s="245"/>
      <c r="M65" s="8"/>
    </row>
    <row r="66" spans="1:42" ht="15.75" thickBot="1">
      <c r="A66" s="199" t="s">
        <v>16</v>
      </c>
      <c r="C66" s="244" t="s">
        <v>178</v>
      </c>
      <c r="M66" s="8"/>
    </row>
    <row r="67" spans="1:42">
      <c r="A67" s="199" t="s">
        <v>16</v>
      </c>
      <c r="C67" s="245" t="s">
        <v>179</v>
      </c>
      <c r="D67" s="199" t="s">
        <v>170</v>
      </c>
      <c r="E67" s="214">
        <f>[2]Calib_1011!$H$102</f>
        <v>33.5</v>
      </c>
      <c r="F67" s="81">
        <f t="shared" ref="F67:G70" si="33">E67</f>
        <v>33.5</v>
      </c>
      <c r="G67" s="81">
        <f t="shared" si="33"/>
        <v>33.5</v>
      </c>
      <c r="H67" s="81">
        <f t="shared" ref="H67:K70" si="34">IF($D$4,T67,N67)</f>
        <v>33.5</v>
      </c>
      <c r="I67" s="81">
        <f t="shared" si="34"/>
        <v>33.5</v>
      </c>
      <c r="J67" s="81">
        <f t="shared" si="34"/>
        <v>33.5</v>
      </c>
      <c r="K67" s="81">
        <f t="shared" si="34"/>
        <v>33.5</v>
      </c>
      <c r="M67" s="81">
        <f>$F67</f>
        <v>33.5</v>
      </c>
      <c r="N67" s="64">
        <f>M67</f>
        <v>33.5</v>
      </c>
      <c r="O67" s="64">
        <f>N67</f>
        <v>33.5</v>
      </c>
      <c r="P67" s="64">
        <f>O67</f>
        <v>33.5</v>
      </c>
      <c r="Q67" s="64">
        <f>P67</f>
        <v>33.5</v>
      </c>
      <c r="S67" s="81">
        <f>$F67</f>
        <v>33.5</v>
      </c>
      <c r="T67" s="64">
        <f>S67</f>
        <v>33.5</v>
      </c>
      <c r="U67" s="64">
        <f>T67</f>
        <v>33.5</v>
      </c>
      <c r="V67" s="64">
        <f>U67</f>
        <v>33.5</v>
      </c>
      <c r="W67" s="64">
        <f>V67</f>
        <v>33.5</v>
      </c>
    </row>
    <row r="68" spans="1:42">
      <c r="A68" s="199" t="s">
        <v>16</v>
      </c>
      <c r="C68" s="245" t="s">
        <v>63</v>
      </c>
      <c r="D68" s="199" t="s">
        <v>170</v>
      </c>
      <c r="E68" s="64">
        <f>E70*1.5</f>
        <v>32.25</v>
      </c>
      <c r="F68" s="81">
        <f t="shared" si="33"/>
        <v>32.25</v>
      </c>
      <c r="G68" s="81">
        <f t="shared" si="33"/>
        <v>32.25</v>
      </c>
      <c r="H68" s="81">
        <f t="shared" si="34"/>
        <v>32.25</v>
      </c>
      <c r="I68" s="81">
        <f t="shared" si="34"/>
        <v>32.25</v>
      </c>
      <c r="J68" s="81">
        <f t="shared" si="34"/>
        <v>32.25</v>
      </c>
      <c r="K68" s="81">
        <f t="shared" si="34"/>
        <v>32.25</v>
      </c>
      <c r="M68" s="81">
        <f>$F68</f>
        <v>32.25</v>
      </c>
      <c r="N68" s="64">
        <f>N70*1.5</f>
        <v>32.25</v>
      </c>
      <c r="O68" s="64">
        <f>O70*1.5</f>
        <v>32.25</v>
      </c>
      <c r="P68" s="64">
        <f>P70*1.5</f>
        <v>32.25</v>
      </c>
      <c r="Q68" s="64">
        <f>Q70*1.5</f>
        <v>32.25</v>
      </c>
      <c r="S68" s="81">
        <f>$F68</f>
        <v>32.25</v>
      </c>
      <c r="T68" s="64">
        <f>T70*1.5</f>
        <v>32.25</v>
      </c>
      <c r="U68" s="64">
        <f>U70*1.5</f>
        <v>32.25</v>
      </c>
      <c r="V68" s="64">
        <f>V70*1.5</f>
        <v>32.25</v>
      </c>
      <c r="W68" s="64">
        <f>W70*1.5</f>
        <v>32.25</v>
      </c>
    </row>
    <row r="69" spans="1:42">
      <c r="A69" s="199" t="s">
        <v>16</v>
      </c>
      <c r="C69" s="245" t="s">
        <v>82</v>
      </c>
      <c r="D69" s="199" t="s">
        <v>170</v>
      </c>
      <c r="E69" s="64">
        <f>E70*2</f>
        <v>43</v>
      </c>
      <c r="F69" s="81">
        <f t="shared" si="33"/>
        <v>43</v>
      </c>
      <c r="G69" s="81">
        <f t="shared" si="33"/>
        <v>43</v>
      </c>
      <c r="H69" s="81">
        <f t="shared" si="34"/>
        <v>43</v>
      </c>
      <c r="I69" s="81">
        <f t="shared" si="34"/>
        <v>43</v>
      </c>
      <c r="J69" s="81">
        <f t="shared" si="34"/>
        <v>43</v>
      </c>
      <c r="K69" s="81">
        <f t="shared" si="34"/>
        <v>43</v>
      </c>
      <c r="M69" s="81">
        <f>$F69</f>
        <v>43</v>
      </c>
      <c r="N69" s="64">
        <f>N70*2</f>
        <v>43</v>
      </c>
      <c r="O69" s="64">
        <f>O70*2</f>
        <v>43</v>
      </c>
      <c r="P69" s="64">
        <f>P70*2</f>
        <v>43</v>
      </c>
      <c r="Q69" s="64">
        <f>Q70*2</f>
        <v>43</v>
      </c>
      <c r="S69" s="81">
        <f>$F69</f>
        <v>43</v>
      </c>
      <c r="T69" s="64">
        <f>T70*2</f>
        <v>43</v>
      </c>
      <c r="U69" s="64">
        <f>U70*2</f>
        <v>43</v>
      </c>
      <c r="V69" s="64">
        <f>V70*2</f>
        <v>43</v>
      </c>
      <c r="W69" s="64">
        <f>W70*2</f>
        <v>43</v>
      </c>
    </row>
    <row r="70" spans="1:42">
      <c r="A70" s="199" t="s">
        <v>16</v>
      </c>
      <c r="C70" s="245" t="s">
        <v>180</v>
      </c>
      <c r="D70" s="199" t="s">
        <v>170</v>
      </c>
      <c r="E70" s="72">
        <f>[2]Calib_1011!$H$101</f>
        <v>21.5</v>
      </c>
      <c r="F70" s="81">
        <f t="shared" si="33"/>
        <v>21.5</v>
      </c>
      <c r="G70" s="81">
        <f t="shared" si="33"/>
        <v>21.5</v>
      </c>
      <c r="H70" s="81">
        <f t="shared" si="34"/>
        <v>21.5</v>
      </c>
      <c r="I70" s="81">
        <f t="shared" si="34"/>
        <v>21.5</v>
      </c>
      <c r="J70" s="81">
        <f t="shared" si="34"/>
        <v>21.5</v>
      </c>
      <c r="K70" s="81">
        <f t="shared" si="34"/>
        <v>21.5</v>
      </c>
      <c r="M70" s="81">
        <f>$F70</f>
        <v>21.5</v>
      </c>
      <c r="N70" s="64">
        <f>M70</f>
        <v>21.5</v>
      </c>
      <c r="O70" s="64">
        <f>N70</f>
        <v>21.5</v>
      </c>
      <c r="P70" s="64">
        <f>O70</f>
        <v>21.5</v>
      </c>
      <c r="Q70" s="64">
        <f>P70</f>
        <v>21.5</v>
      </c>
      <c r="S70" s="81">
        <f>$F70</f>
        <v>21.5</v>
      </c>
      <c r="T70" s="64">
        <f>S70</f>
        <v>21.5</v>
      </c>
      <c r="U70" s="64">
        <f>T70</f>
        <v>21.5</v>
      </c>
      <c r="V70" s="64">
        <f>U70</f>
        <v>21.5</v>
      </c>
      <c r="W70" s="64">
        <f>V70</f>
        <v>21.5</v>
      </c>
    </row>
    <row r="71" spans="1:42">
      <c r="A71" s="199" t="s">
        <v>16</v>
      </c>
      <c r="C71" s="282" t="s">
        <v>634</v>
      </c>
    </row>
    <row r="72" spans="1:42" ht="15.75" thickBot="1">
      <c r="A72" s="199" t="s">
        <v>16</v>
      </c>
      <c r="C72" s="244" t="s">
        <v>177</v>
      </c>
      <c r="E72" s="7"/>
      <c r="F72" s="7"/>
      <c r="G72" s="7"/>
      <c r="H72" s="7"/>
      <c r="I72" s="7"/>
      <c r="J72" s="7"/>
      <c r="K72" s="7"/>
    </row>
    <row r="73" spans="1:42">
      <c r="A73" s="199" t="s">
        <v>16</v>
      </c>
      <c r="C73" s="245" t="s">
        <v>181</v>
      </c>
      <c r="E73" s="247">
        <f>[2]Calib_1011!$H$100</f>
        <v>0.55000000000000004</v>
      </c>
      <c r="F73" s="66">
        <f>E73</f>
        <v>0.55000000000000004</v>
      </c>
      <c r="G73" s="66">
        <f>F73</f>
        <v>0.55000000000000004</v>
      </c>
      <c r="H73" s="66">
        <f>IF($D$4,T73,N73)</f>
        <v>0.55000000000000004</v>
      </c>
      <c r="I73" s="66">
        <f>IF($D$4,U73,O73)</f>
        <v>0.55000000000000004</v>
      </c>
      <c r="J73" s="66">
        <f>IF($D$4,V73,P73)</f>
        <v>0.55000000000000004</v>
      </c>
      <c r="K73" s="66">
        <f>IF($D$4,W73,Q73)</f>
        <v>0.55000000000000004</v>
      </c>
      <c r="M73" s="248">
        <f>$F73</f>
        <v>0.55000000000000004</v>
      </c>
      <c r="N73" s="35">
        <f>M73</f>
        <v>0.55000000000000004</v>
      </c>
      <c r="O73" s="35">
        <f>N73</f>
        <v>0.55000000000000004</v>
      </c>
      <c r="P73" s="35">
        <f>O73</f>
        <v>0.55000000000000004</v>
      </c>
      <c r="Q73" s="35">
        <f>P73</f>
        <v>0.55000000000000004</v>
      </c>
      <c r="S73" s="248">
        <f>$F73</f>
        <v>0.55000000000000004</v>
      </c>
      <c r="T73" s="35">
        <f>S73</f>
        <v>0.55000000000000004</v>
      </c>
      <c r="U73" s="35">
        <f>T73</f>
        <v>0.55000000000000004</v>
      </c>
      <c r="V73" s="35">
        <f>U73</f>
        <v>0.55000000000000004</v>
      </c>
      <c r="W73" s="35">
        <f>V73</f>
        <v>0.55000000000000004</v>
      </c>
    </row>
    <row r="74" spans="1:42">
      <c r="A74" s="199" t="s">
        <v>16</v>
      </c>
      <c r="C74" s="75" t="s">
        <v>192</v>
      </c>
      <c r="E74" s="7"/>
      <c r="F74" s="7"/>
      <c r="G74" s="7"/>
      <c r="H74" s="7"/>
      <c r="I74" s="7"/>
      <c r="J74" s="7"/>
      <c r="K74" s="7"/>
      <c r="S74" s="199" t="s">
        <v>203</v>
      </c>
    </row>
    <row r="75" spans="1:42">
      <c r="A75" s="199" t="s">
        <v>16</v>
      </c>
      <c r="C75" s="39" t="str">
        <f>C54</f>
        <v>Low Income</v>
      </c>
      <c r="D75" s="199" t="s">
        <v>191</v>
      </c>
      <c r="E75" s="200">
        <f>E$25*E$13</f>
        <v>0.53031826225978029</v>
      </c>
      <c r="F75" s="200">
        <f t="shared" ref="F75:K75" si="35">F25*F13</f>
        <v>0.51025268018564984</v>
      </c>
      <c r="G75" s="200">
        <f t="shared" si="35"/>
        <v>0.50372360094716784</v>
      </c>
      <c r="H75" s="200">
        <f t="shared" si="35"/>
        <v>0.50904648627000004</v>
      </c>
      <c r="I75" s="200">
        <f t="shared" si="35"/>
        <v>1.0356425251799999</v>
      </c>
      <c r="J75" s="200">
        <f t="shared" si="35"/>
        <v>0.58956002755999992</v>
      </c>
      <c r="K75" s="200">
        <f t="shared" si="35"/>
        <v>0.41737237946119993</v>
      </c>
      <c r="M75" s="200">
        <f>M25*M13</f>
        <v>0.53031826225978029</v>
      </c>
      <c r="N75" s="200">
        <f>N25*N13</f>
        <v>0.50904648627000004</v>
      </c>
      <c r="O75" s="200">
        <f>O25*O13</f>
        <v>0.414257010072</v>
      </c>
      <c r="P75" s="200">
        <f>P25*P13</f>
        <v>0.29478001377999996</v>
      </c>
      <c r="Q75" s="200">
        <f>Q25*Q13</f>
        <v>0.20868618973059996</v>
      </c>
      <c r="S75" s="200">
        <f>S25*S13</f>
        <v>0.53031826225978029</v>
      </c>
      <c r="T75" s="200">
        <f>T25*T13</f>
        <v>0.50904648627000004</v>
      </c>
      <c r="U75" s="200">
        <f>U25*U13</f>
        <v>1.0356425251799999</v>
      </c>
      <c r="V75" s="200">
        <f>V25*V13</f>
        <v>0.58956002755999992</v>
      </c>
      <c r="W75" s="200">
        <f>W25*W13</f>
        <v>0.41737237946119993</v>
      </c>
    </row>
    <row r="76" spans="1:42">
      <c r="A76" s="199" t="s">
        <v>16</v>
      </c>
      <c r="C76" s="39"/>
      <c r="E76" s="200"/>
      <c r="F76" s="200"/>
      <c r="G76" s="200"/>
      <c r="H76" s="200"/>
      <c r="I76" s="200"/>
      <c r="J76" s="200"/>
      <c r="K76" s="200"/>
      <c r="M76" s="199">
        <f>M53</f>
        <v>2015</v>
      </c>
      <c r="N76" s="199">
        <f t="shared" ref="N76:W76" si="36">N53</f>
        <v>2020</v>
      </c>
      <c r="O76" s="199">
        <f t="shared" si="36"/>
        <v>2030</v>
      </c>
      <c r="P76" s="199">
        <f t="shared" si="36"/>
        <v>2040</v>
      </c>
      <c r="Q76" s="199">
        <f t="shared" si="36"/>
        <v>2050</v>
      </c>
      <c r="S76" s="199">
        <f t="shared" si="36"/>
        <v>2015</v>
      </c>
      <c r="T76" s="199">
        <f t="shared" si="36"/>
        <v>2020</v>
      </c>
      <c r="U76" s="199">
        <f t="shared" si="36"/>
        <v>2030</v>
      </c>
      <c r="V76" s="199">
        <f t="shared" si="36"/>
        <v>2040</v>
      </c>
      <c r="W76" s="199">
        <f t="shared" si="36"/>
        <v>2050</v>
      </c>
    </row>
    <row r="77" spans="1:42">
      <c r="A77" s="199" t="s">
        <v>16</v>
      </c>
      <c r="C77" s="199" t="s">
        <v>83</v>
      </c>
      <c r="D77" s="199" t="s">
        <v>48</v>
      </c>
      <c r="E77" s="247">
        <f>[2]Calib_1011!$H$92</f>
        <v>2.035E-2</v>
      </c>
      <c r="F77" s="66">
        <f t="shared" ref="F77:K77" si="37">F$41*1000*F$35*F$30/F$67/F$64</f>
        <v>0.25414691943127965</v>
      </c>
      <c r="G77" s="66">
        <f t="shared" si="37"/>
        <v>0.25414691943127965</v>
      </c>
      <c r="H77" s="66">
        <f t="shared" si="37"/>
        <v>0.25414691943127965</v>
      </c>
      <c r="I77" s="66">
        <f t="shared" si="37"/>
        <v>0.22936759478672983</v>
      </c>
      <c r="J77" s="66">
        <f t="shared" si="37"/>
        <v>0.20700425429502367</v>
      </c>
      <c r="K77" s="66">
        <f t="shared" si="37"/>
        <v>0.18682133950125882</v>
      </c>
      <c r="L77" s="259"/>
      <c r="M77" s="66">
        <f>M$41*1000*M$35*M$30/M$67/M$64</f>
        <v>0.25414691943127965</v>
      </c>
      <c r="N77" s="66">
        <f>N$41*1000*N$35*N$30/N$67/N$64</f>
        <v>0.25414691943127965</v>
      </c>
      <c r="O77" s="66">
        <f>O$41*1000*O$35*O$30/O$67/O$64</f>
        <v>0.25414691943127965</v>
      </c>
      <c r="P77" s="66">
        <f>P$41*1000*P$35*P$30/P$67/P$64</f>
        <v>0.25414691943127965</v>
      </c>
      <c r="Q77" s="66">
        <f>Q$41*1000*Q$35*Q$30/Q$67/Q$64</f>
        <v>0.25414691943127965</v>
      </c>
      <c r="R77" s="258"/>
      <c r="S77" s="66">
        <f>S$41*1000*S$35*S$30/S$67/S$64</f>
        <v>0.25414691943127965</v>
      </c>
      <c r="T77" s="66">
        <f>T$41*1000*T$35*T$30/T$67/T$64</f>
        <v>0.25414691943127965</v>
      </c>
      <c r="U77" s="66">
        <f>U$41*1000*U$35*U$30/U$67/U$64</f>
        <v>0.22936759478672983</v>
      </c>
      <c r="V77" s="66">
        <f>V$41*1000*V$35*V$30/V$67/V$64</f>
        <v>0.20700425429502367</v>
      </c>
      <c r="W77" s="66">
        <f>W$41*1000*W$35*W$30/W$67/W$64</f>
        <v>0.18682133950125882</v>
      </c>
      <c r="X77" s="258"/>
      <c r="Y77" s="258"/>
      <c r="Z77" s="258"/>
      <c r="AA77" s="258"/>
      <c r="AB77" s="258"/>
      <c r="AC77" s="258"/>
      <c r="AD77" s="258"/>
      <c r="AE77" s="258"/>
      <c r="AF77" s="258"/>
      <c r="AG77" s="258"/>
      <c r="AH77" s="258"/>
      <c r="AI77" s="258"/>
      <c r="AJ77" s="258"/>
      <c r="AK77" s="258"/>
      <c r="AL77" s="258"/>
      <c r="AM77" s="258"/>
      <c r="AN77" s="258"/>
      <c r="AO77" s="258"/>
      <c r="AP77" s="258"/>
    </row>
    <row r="78" spans="1:42">
      <c r="A78" s="199" t="s">
        <v>16</v>
      </c>
      <c r="C78" s="199" t="s">
        <v>63</v>
      </c>
      <c r="D78" s="199" t="s">
        <v>48</v>
      </c>
      <c r="E78" s="34">
        <v>5.0000000000000001E-3</v>
      </c>
      <c r="F78" s="66">
        <f>E78</f>
        <v>5.0000000000000001E-3</v>
      </c>
      <c r="G78" s="66">
        <f>F78</f>
        <v>5.0000000000000001E-3</v>
      </c>
      <c r="H78" s="66">
        <f t="shared" ref="H78:K79" si="38">IF($D$4,T78,N78)</f>
        <v>0.02</v>
      </c>
      <c r="I78" s="66">
        <f t="shared" si="38"/>
        <v>7.0000000000000007E-2</v>
      </c>
      <c r="J78" s="66">
        <f t="shared" si="38"/>
        <v>0.15</v>
      </c>
      <c r="K78" s="66">
        <f t="shared" si="38"/>
        <v>0.25</v>
      </c>
      <c r="L78" s="259"/>
      <c r="M78" s="248">
        <f>$F78</f>
        <v>5.0000000000000001E-3</v>
      </c>
      <c r="N78" s="35">
        <v>0.02</v>
      </c>
      <c r="O78" s="35">
        <v>0.05</v>
      </c>
      <c r="P78" s="35">
        <v>0.1</v>
      </c>
      <c r="Q78" s="35">
        <v>0.15</v>
      </c>
      <c r="R78" s="258"/>
      <c r="S78" s="248">
        <f>$F78</f>
        <v>5.0000000000000001E-3</v>
      </c>
      <c r="T78" s="35">
        <v>0.02</v>
      </c>
      <c r="U78" s="77">
        <v>7.0000000000000007E-2</v>
      </c>
      <c r="V78" s="77">
        <v>0.15</v>
      </c>
      <c r="W78" s="77">
        <v>0.25</v>
      </c>
      <c r="X78" s="258"/>
      <c r="Y78" s="258"/>
      <c r="Z78" s="258"/>
      <c r="AA78" s="258"/>
      <c r="AB78" s="258"/>
      <c r="AC78" s="258"/>
      <c r="AD78" s="258"/>
      <c r="AE78" s="258"/>
      <c r="AF78" s="258"/>
      <c r="AG78" s="258"/>
      <c r="AH78" s="258"/>
      <c r="AI78" s="258"/>
      <c r="AJ78" s="258"/>
      <c r="AK78" s="258"/>
      <c r="AL78" s="258"/>
      <c r="AM78" s="258"/>
      <c r="AN78" s="258"/>
      <c r="AO78" s="258"/>
      <c r="AP78" s="258"/>
    </row>
    <row r="79" spans="1:42">
      <c r="A79" s="199" t="s">
        <v>16</v>
      </c>
      <c r="C79" s="199" t="s">
        <v>82</v>
      </c>
      <c r="D79" s="199" t="s">
        <v>48</v>
      </c>
      <c r="E79" s="34">
        <v>0</v>
      </c>
      <c r="F79" s="66">
        <f>E79</f>
        <v>0</v>
      </c>
      <c r="G79" s="66">
        <f>F79</f>
        <v>0</v>
      </c>
      <c r="H79" s="66">
        <f t="shared" si="38"/>
        <v>0</v>
      </c>
      <c r="I79" s="66">
        <f t="shared" si="38"/>
        <v>0</v>
      </c>
      <c r="J79" s="66">
        <f t="shared" si="38"/>
        <v>0</v>
      </c>
      <c r="K79" s="66">
        <f t="shared" si="38"/>
        <v>0</v>
      </c>
      <c r="L79" s="259"/>
      <c r="M79" s="248">
        <f>$F79</f>
        <v>0</v>
      </c>
      <c r="N79" s="35">
        <v>0</v>
      </c>
      <c r="O79" s="35">
        <v>0</v>
      </c>
      <c r="P79" s="35">
        <v>0</v>
      </c>
      <c r="Q79" s="35">
        <v>0</v>
      </c>
      <c r="R79" s="258"/>
      <c r="S79" s="248">
        <f>$F79</f>
        <v>0</v>
      </c>
      <c r="T79" s="35">
        <v>0</v>
      </c>
      <c r="U79" s="35">
        <v>0</v>
      </c>
      <c r="V79" s="35">
        <v>0</v>
      </c>
      <c r="W79" s="35">
        <v>0</v>
      </c>
      <c r="X79" s="258"/>
      <c r="Y79" s="258"/>
      <c r="Z79" s="258"/>
      <c r="AA79" s="258"/>
      <c r="AB79" s="258"/>
      <c r="AC79" s="258"/>
      <c r="AD79" s="258"/>
      <c r="AE79" s="258"/>
      <c r="AF79" s="258"/>
      <c r="AG79" s="258"/>
      <c r="AH79" s="258"/>
      <c r="AI79" s="258"/>
      <c r="AJ79" s="258"/>
      <c r="AK79" s="258"/>
      <c r="AL79" s="258"/>
      <c r="AM79" s="258"/>
      <c r="AN79" s="258"/>
      <c r="AO79" s="258"/>
      <c r="AP79" s="258"/>
    </row>
    <row r="80" spans="1:42">
      <c r="A80" s="199" t="s">
        <v>16</v>
      </c>
      <c r="C80" s="199" t="s">
        <v>81</v>
      </c>
      <c r="D80" s="199" t="s">
        <v>48</v>
      </c>
      <c r="E80" s="34">
        <f t="shared" ref="E80:K80" si="39">1-SUM(E77:E79)</f>
        <v>0.97465000000000002</v>
      </c>
      <c r="F80" s="34">
        <f t="shared" si="39"/>
        <v>0.74085308056872035</v>
      </c>
      <c r="G80" s="34">
        <f t="shared" ref="G80" si="40">1-SUM(G77:G79)</f>
        <v>0.74085308056872035</v>
      </c>
      <c r="H80" s="34">
        <f t="shared" si="39"/>
        <v>0.72585308056872033</v>
      </c>
      <c r="I80" s="34">
        <f t="shared" si="39"/>
        <v>0.70063240521327019</v>
      </c>
      <c r="J80" s="34">
        <f t="shared" si="39"/>
        <v>0.64299574570497631</v>
      </c>
      <c r="K80" s="34">
        <f t="shared" si="39"/>
        <v>0.56317866049874121</v>
      </c>
      <c r="L80" s="259"/>
      <c r="M80" s="34">
        <f>1-SUM(M77:M79)</f>
        <v>0.74085308056872035</v>
      </c>
      <c r="N80" s="34">
        <f>1-SUM(N77:N79)</f>
        <v>0.72585308056872033</v>
      </c>
      <c r="O80" s="34">
        <f>1-SUM(O77:O79)</f>
        <v>0.69585308056872042</v>
      </c>
      <c r="P80" s="34">
        <f>1-SUM(P77:P79)</f>
        <v>0.64585308056872037</v>
      </c>
      <c r="Q80" s="34">
        <f>1-SUM(Q77:Q79)</f>
        <v>0.59585308056872033</v>
      </c>
      <c r="R80" s="258"/>
      <c r="S80" s="34">
        <f>1-SUM(S77:S79)</f>
        <v>0.74085308056872035</v>
      </c>
      <c r="T80" s="34">
        <f>1-SUM(T77:T79)</f>
        <v>0.72585308056872033</v>
      </c>
      <c r="U80" s="34">
        <f>1-SUM(U77:U79)</f>
        <v>0.70063240521327019</v>
      </c>
      <c r="V80" s="34">
        <f>1-SUM(V77:V79)</f>
        <v>0.64299574570497631</v>
      </c>
      <c r="W80" s="34">
        <f>1-SUM(W77:W79)</f>
        <v>0.56317866049874121</v>
      </c>
      <c r="X80" s="258"/>
      <c r="Y80" s="258"/>
      <c r="Z80" s="258"/>
      <c r="AA80" s="258"/>
      <c r="AB80" s="258"/>
      <c r="AC80" s="258"/>
      <c r="AD80" s="258"/>
      <c r="AE80" s="258"/>
      <c r="AF80" s="258"/>
      <c r="AG80" s="258"/>
      <c r="AH80" s="258"/>
      <c r="AI80" s="258"/>
      <c r="AJ80" s="258"/>
      <c r="AK80" s="258"/>
      <c r="AL80" s="258"/>
      <c r="AM80" s="258"/>
      <c r="AN80" s="258"/>
      <c r="AO80" s="258"/>
      <c r="AP80" s="258"/>
    </row>
    <row r="81" spans="1:42">
      <c r="A81" s="199" t="s">
        <v>16</v>
      </c>
      <c r="C81" s="39" t="str">
        <f>C55</f>
        <v>Middle Income</v>
      </c>
      <c r="D81" s="199" t="s">
        <v>191</v>
      </c>
      <c r="E81" s="200">
        <f t="shared" ref="E81:K81" si="41">E$26*E$14</f>
        <v>8.4320603699305074</v>
      </c>
      <c r="F81" s="200">
        <f t="shared" si="41"/>
        <v>8.7976046200162266</v>
      </c>
      <c r="G81" s="200">
        <f t="shared" si="41"/>
        <v>9.0954327481347548</v>
      </c>
      <c r="H81" s="200">
        <f t="shared" si="41"/>
        <v>9.9069295084690001</v>
      </c>
      <c r="I81" s="200">
        <f t="shared" si="41"/>
        <v>10.752042741057551</v>
      </c>
      <c r="J81" s="200">
        <f t="shared" si="41"/>
        <v>12.072455176462741</v>
      </c>
      <c r="K81" s="200">
        <f t="shared" si="41"/>
        <v>13.065130158896272</v>
      </c>
      <c r="M81" s="200">
        <f>M$26*M$14</f>
        <v>8.4320603699305074</v>
      </c>
      <c r="N81" s="200">
        <f>N$26*N$14</f>
        <v>9.9069295084690001</v>
      </c>
      <c r="O81" s="200">
        <f>O$26*O$14</f>
        <v>11.317939727429001</v>
      </c>
      <c r="P81" s="200">
        <f>P$26*P$14</f>
        <v>13.376681635969799</v>
      </c>
      <c r="Q81" s="200">
        <f>Q$26*Q$14</f>
        <v>15.238524751592099</v>
      </c>
      <c r="S81" s="200">
        <f>S$26*S$14</f>
        <v>8.4320603699305074</v>
      </c>
      <c r="T81" s="200">
        <f>T$26*T$14</f>
        <v>9.9069295084690001</v>
      </c>
      <c r="U81" s="200">
        <f>U$26*U$14</f>
        <v>10.752042741057551</v>
      </c>
      <c r="V81" s="200">
        <f>V$26*V$14</f>
        <v>12.072455176462741</v>
      </c>
      <c r="W81" s="200">
        <f>W$26*W$14</f>
        <v>13.065130158896272</v>
      </c>
    </row>
    <row r="82" spans="1:42">
      <c r="A82" s="199" t="s">
        <v>16</v>
      </c>
      <c r="C82" s="199" t="str">
        <f>C77</f>
        <v>Priv.veh.</v>
      </c>
      <c r="D82" s="199" t="s">
        <v>48</v>
      </c>
      <c r="E82" s="66">
        <f t="shared" ref="E82:M82" si="42">E$42*1000*E$36*E$31/E$67/E$64</f>
        <v>0.53206565737051803</v>
      </c>
      <c r="F82" s="66">
        <f t="shared" si="42"/>
        <v>0.53206565737051803</v>
      </c>
      <c r="G82" s="66">
        <f t="shared" si="42"/>
        <v>0.53206565737051803</v>
      </c>
      <c r="H82" s="66">
        <f t="shared" si="42"/>
        <v>0.53206565737051803</v>
      </c>
      <c r="I82" s="66">
        <f t="shared" si="42"/>
        <v>0.48018925577689242</v>
      </c>
      <c r="J82" s="66">
        <f t="shared" si="42"/>
        <v>0.43337080333864531</v>
      </c>
      <c r="K82" s="66">
        <f t="shared" si="42"/>
        <v>0.3911171500131273</v>
      </c>
      <c r="L82" s="259"/>
      <c r="M82" s="66">
        <f t="shared" si="42"/>
        <v>0.53206565737051803</v>
      </c>
      <c r="N82" s="66">
        <f>N$42*1000*N$36*N$31/N$67/N$64</f>
        <v>0.53206565737051803</v>
      </c>
      <c r="O82" s="66">
        <f>O$42*1000*O$36*O$31/O$67/O$64</f>
        <v>0.53206565737051803</v>
      </c>
      <c r="P82" s="66">
        <f>P$42*1000*P$36*P$31/P$67/P$64</f>
        <v>0.53206565737051803</v>
      </c>
      <c r="Q82" s="66">
        <f>Q$42*1000*Q$36*Q$31/Q$67/Q$64</f>
        <v>0.53206565737051803</v>
      </c>
      <c r="R82" s="258"/>
      <c r="S82" s="66">
        <f>S$42*1000*S$36*S$31/S$67/S$64</f>
        <v>0.53206565737051803</v>
      </c>
      <c r="T82" s="66">
        <f>T$42*1000*T$36*T$31/T$67/T$64</f>
        <v>0.53206565737051803</v>
      </c>
      <c r="U82" s="66">
        <f>U$42*1000*U$36*U$31/U$67/U$64</f>
        <v>0.48018925577689242</v>
      </c>
      <c r="V82" s="66">
        <f>V$42*1000*V$36*V$31/V$67/V$64</f>
        <v>0.43337080333864531</v>
      </c>
      <c r="W82" s="66">
        <f>W$42*1000*W$36*W$31/W$67/W$64</f>
        <v>0.3911171500131273</v>
      </c>
      <c r="X82" s="258"/>
      <c r="Y82" s="258"/>
      <c r="Z82" s="258"/>
      <c r="AA82" s="258"/>
      <c r="AB82" s="258"/>
      <c r="AC82" s="258"/>
      <c r="AD82" s="258"/>
      <c r="AE82" s="258"/>
      <c r="AF82" s="258"/>
      <c r="AG82" s="258"/>
      <c r="AH82" s="258"/>
      <c r="AI82" s="258"/>
      <c r="AJ82" s="258"/>
      <c r="AK82" s="258"/>
      <c r="AL82" s="258"/>
      <c r="AM82" s="258"/>
      <c r="AN82" s="258"/>
      <c r="AO82" s="258"/>
      <c r="AP82" s="258"/>
    </row>
    <row r="83" spans="1:42">
      <c r="A83" s="199" t="s">
        <v>16</v>
      </c>
      <c r="C83" s="199" t="str">
        <f>C78</f>
        <v>BRT</v>
      </c>
      <c r="D83" s="199" t="s">
        <v>48</v>
      </c>
      <c r="E83" s="258">
        <v>0.01</v>
      </c>
      <c r="F83" s="66">
        <f>E83</f>
        <v>0.01</v>
      </c>
      <c r="G83" s="66">
        <f>F83</f>
        <v>0.01</v>
      </c>
      <c r="H83" s="66">
        <f t="shared" ref="H83:K84" si="43">IF($D$4,T83,N83)</f>
        <v>0.02</v>
      </c>
      <c r="I83" s="66">
        <f t="shared" si="43"/>
        <v>7.0000000000000007E-2</v>
      </c>
      <c r="J83" s="66">
        <f t="shared" si="43"/>
        <v>0.15</v>
      </c>
      <c r="K83" s="66">
        <f t="shared" si="43"/>
        <v>0.25</v>
      </c>
      <c r="L83" s="259"/>
      <c r="M83" s="248">
        <f>$F83</f>
        <v>0.01</v>
      </c>
      <c r="N83" s="35">
        <v>0.02</v>
      </c>
      <c r="O83" s="35">
        <v>0.05</v>
      </c>
      <c r="P83" s="35">
        <v>0.1</v>
      </c>
      <c r="Q83" s="35">
        <v>0.15</v>
      </c>
      <c r="R83" s="258"/>
      <c r="S83" s="248">
        <f>$F83</f>
        <v>0.01</v>
      </c>
      <c r="T83" s="35">
        <v>0.02</v>
      </c>
      <c r="U83" s="77">
        <v>7.0000000000000007E-2</v>
      </c>
      <c r="V83" s="77">
        <v>0.15</v>
      </c>
      <c r="W83" s="77">
        <v>0.25</v>
      </c>
      <c r="X83" s="258"/>
      <c r="Y83" s="258"/>
      <c r="Z83" s="258"/>
      <c r="AA83" s="258"/>
      <c r="AB83" s="258"/>
      <c r="AC83" s="258"/>
      <c r="AD83" s="258"/>
      <c r="AE83" s="258"/>
      <c r="AF83" s="258"/>
      <c r="AG83" s="258"/>
      <c r="AH83" s="258"/>
      <c r="AI83" s="258"/>
      <c r="AJ83" s="258"/>
      <c r="AK83" s="258"/>
      <c r="AL83" s="258"/>
      <c r="AM83" s="258"/>
      <c r="AN83" s="258"/>
      <c r="AO83" s="258"/>
      <c r="AP83" s="258"/>
    </row>
    <row r="84" spans="1:42">
      <c r="A84" s="199" t="s">
        <v>16</v>
      </c>
      <c r="C84" s="199" t="str">
        <f>C79</f>
        <v>Gautrain</v>
      </c>
      <c r="D84" s="199" t="s">
        <v>48</v>
      </c>
      <c r="E84" s="260">
        <v>2E-3</v>
      </c>
      <c r="F84" s="149">
        <f>E84</f>
        <v>2E-3</v>
      </c>
      <c r="G84" s="149">
        <f>F84</f>
        <v>2E-3</v>
      </c>
      <c r="H84" s="149">
        <f t="shared" si="43"/>
        <v>2E-3</v>
      </c>
      <c r="I84" s="149">
        <f t="shared" si="43"/>
        <v>0.01</v>
      </c>
      <c r="J84" s="149">
        <f t="shared" si="43"/>
        <v>0.02</v>
      </c>
      <c r="K84" s="149">
        <f t="shared" si="43"/>
        <v>0.03</v>
      </c>
      <c r="L84" s="259"/>
      <c r="M84" s="248">
        <f>$F84</f>
        <v>2E-3</v>
      </c>
      <c r="N84" s="50">
        <v>2E-3</v>
      </c>
      <c r="O84" s="50">
        <f>N84</f>
        <v>2E-3</v>
      </c>
      <c r="P84" s="50">
        <f>O84</f>
        <v>2E-3</v>
      </c>
      <c r="Q84" s="50">
        <f>P84</f>
        <v>2E-3</v>
      </c>
      <c r="R84" s="258"/>
      <c r="S84" s="248">
        <f>$F84</f>
        <v>2E-3</v>
      </c>
      <c r="T84" s="50">
        <v>2E-3</v>
      </c>
      <c r="U84" s="79">
        <v>0.01</v>
      </c>
      <c r="V84" s="79">
        <v>0.02</v>
      </c>
      <c r="W84" s="79">
        <v>0.03</v>
      </c>
      <c r="X84" s="258"/>
      <c r="Y84" s="258"/>
      <c r="Z84" s="258"/>
      <c r="AA84" s="258"/>
      <c r="AB84" s="258"/>
      <c r="AC84" s="258"/>
      <c r="AD84" s="258"/>
      <c r="AE84" s="258"/>
      <c r="AF84" s="258"/>
      <c r="AG84" s="258"/>
      <c r="AH84" s="258"/>
      <c r="AI84" s="258"/>
      <c r="AJ84" s="258"/>
      <c r="AK84" s="258"/>
      <c r="AL84" s="258"/>
      <c r="AM84" s="258"/>
      <c r="AN84" s="258"/>
      <c r="AO84" s="258"/>
      <c r="AP84" s="258"/>
    </row>
    <row r="85" spans="1:42">
      <c r="A85" s="199" t="s">
        <v>16</v>
      </c>
      <c r="C85" s="199" t="str">
        <f>C80</f>
        <v>Bus, minibus, metro rail</v>
      </c>
      <c r="D85" s="199" t="s">
        <v>48</v>
      </c>
      <c r="E85" s="34">
        <f t="shared" ref="E85:K85" si="44">1-SUM(E82:E84)</f>
        <v>0.45593434262948196</v>
      </c>
      <c r="F85" s="34">
        <f t="shared" si="44"/>
        <v>0.45593434262948196</v>
      </c>
      <c r="G85" s="34">
        <f t="shared" ref="G85" si="45">1-SUM(G82:G84)</f>
        <v>0.45593434262948196</v>
      </c>
      <c r="H85" s="34">
        <f t="shared" si="44"/>
        <v>0.44593434262948195</v>
      </c>
      <c r="I85" s="34">
        <f t="shared" si="44"/>
        <v>0.43981074422310762</v>
      </c>
      <c r="J85" s="34">
        <f t="shared" si="44"/>
        <v>0.39662919666135465</v>
      </c>
      <c r="K85" s="34">
        <f t="shared" si="44"/>
        <v>0.32888284998687267</v>
      </c>
      <c r="L85" s="259"/>
      <c r="M85" s="34">
        <f>1-SUM(M82:M84)</f>
        <v>0.45593434262948196</v>
      </c>
      <c r="N85" s="34">
        <f>1-SUM(N82:N84)</f>
        <v>0.44593434262948195</v>
      </c>
      <c r="O85" s="34">
        <f>1-SUM(O82:O84)</f>
        <v>0.41593434262948192</v>
      </c>
      <c r="P85" s="34">
        <f>1-SUM(P82:P84)</f>
        <v>0.36593434262948199</v>
      </c>
      <c r="Q85" s="34">
        <f>1-SUM(Q82:Q84)</f>
        <v>0.31593434262948195</v>
      </c>
      <c r="R85" s="258"/>
      <c r="S85" s="34">
        <f>1-SUM(S82:S84)</f>
        <v>0.45593434262948196</v>
      </c>
      <c r="T85" s="34">
        <f>1-SUM(T82:T84)</f>
        <v>0.44593434262948195</v>
      </c>
      <c r="U85" s="34">
        <f>1-SUM(U82:U84)</f>
        <v>0.43981074422310762</v>
      </c>
      <c r="V85" s="34">
        <f>1-SUM(V82:V84)</f>
        <v>0.39662919666135465</v>
      </c>
      <c r="W85" s="34">
        <f>1-SUM(W82:W84)</f>
        <v>0.32888284998687267</v>
      </c>
      <c r="X85" s="258"/>
      <c r="Y85" s="258"/>
      <c r="Z85" s="258"/>
      <c r="AA85" s="258"/>
      <c r="AB85" s="258"/>
      <c r="AC85" s="258"/>
      <c r="AD85" s="258"/>
      <c r="AE85" s="258"/>
      <c r="AF85" s="258"/>
      <c r="AG85" s="258"/>
      <c r="AH85" s="258"/>
      <c r="AI85" s="258"/>
      <c r="AJ85" s="258"/>
      <c r="AK85" s="258"/>
      <c r="AL85" s="258"/>
      <c r="AM85" s="258"/>
      <c r="AN85" s="258"/>
      <c r="AO85" s="258"/>
      <c r="AP85" s="258"/>
    </row>
    <row r="86" spans="1:42">
      <c r="A86" s="199" t="s">
        <v>16</v>
      </c>
      <c r="C86" s="39" t="str">
        <f>C56</f>
        <v>High Income</v>
      </c>
      <c r="D86" s="199" t="s">
        <v>191</v>
      </c>
      <c r="E86" s="200">
        <f t="shared" ref="E86:M86" si="46">E$27*E$15</f>
        <v>7.6042486874214958</v>
      </c>
      <c r="F86" s="200">
        <f t="shared" si="46"/>
        <v>9.7078137835780396</v>
      </c>
      <c r="G86" s="200">
        <f t="shared" si="46"/>
        <v>10.887605318143722</v>
      </c>
      <c r="H86" s="200">
        <f t="shared" si="46"/>
        <v>11.647626576174705</v>
      </c>
      <c r="I86" s="200">
        <f t="shared" si="46"/>
        <v>17.890328805727631</v>
      </c>
      <c r="J86" s="200">
        <f t="shared" si="46"/>
        <v>22.925755340092984</v>
      </c>
      <c r="K86" s="200">
        <f t="shared" si="46"/>
        <v>25.865537629371197</v>
      </c>
      <c r="M86" s="200">
        <f t="shared" si="46"/>
        <v>7.6042486874214958</v>
      </c>
      <c r="N86" s="200">
        <f>N$27*N$15</f>
        <v>11.647626576174705</v>
      </c>
      <c r="O86" s="200">
        <f>O$27*O$15</f>
        <v>18.349055185361674</v>
      </c>
      <c r="P86" s="200">
        <f>P$27*P$15</f>
        <v>24.116507918572502</v>
      </c>
      <c r="Q86" s="200">
        <f>Q$27*Q$15</f>
        <v>27.906647250961019</v>
      </c>
      <c r="S86" s="200">
        <f>S$27*S$15</f>
        <v>7.6042486874214958</v>
      </c>
      <c r="T86" s="200">
        <f>T$27*T$15</f>
        <v>11.647626576174705</v>
      </c>
      <c r="U86" s="200">
        <f>U$27*U$15</f>
        <v>17.890328805727631</v>
      </c>
      <c r="V86" s="200">
        <f>V$27*V$15</f>
        <v>22.925755340092984</v>
      </c>
      <c r="W86" s="200">
        <f>W$27*W$15</f>
        <v>25.865537629371197</v>
      </c>
    </row>
    <row r="87" spans="1:42">
      <c r="A87" s="199" t="s">
        <v>16</v>
      </c>
      <c r="C87" s="199" t="str">
        <f>C82</f>
        <v>Priv.veh.</v>
      </c>
      <c r="D87" s="199" t="s">
        <v>48</v>
      </c>
      <c r="E87" s="66">
        <f t="shared" ref="E87:M87" si="47">E$43*1000*E$37*E$32/E$67/E$64</f>
        <v>0.81893071119533589</v>
      </c>
      <c r="F87" s="66">
        <f t="shared" si="47"/>
        <v>0.81893071119533589</v>
      </c>
      <c r="G87" s="66">
        <f t="shared" si="47"/>
        <v>0.82122141685043326</v>
      </c>
      <c r="H87" s="66">
        <f t="shared" si="47"/>
        <v>0.82122141685043326</v>
      </c>
      <c r="I87" s="66">
        <f t="shared" si="47"/>
        <v>0.7806736093934431</v>
      </c>
      <c r="J87" s="66">
        <f t="shared" si="47"/>
        <v>0.74212784992964187</v>
      </c>
      <c r="K87" s="66">
        <f t="shared" si="47"/>
        <v>0.70548528733936577</v>
      </c>
      <c r="L87" s="259"/>
      <c r="M87" s="66">
        <f t="shared" si="47"/>
        <v>0.81893071119533589</v>
      </c>
      <c r="N87" s="66">
        <f>N$43*1000*N$37*N$32/N$67/N$64</f>
        <v>0.82122141685043326</v>
      </c>
      <c r="O87" s="66">
        <f>O$43*1000*O$37*O$32/O$67/O$64</f>
        <v>0.92930092264177255</v>
      </c>
      <c r="P87" s="66">
        <f>P$43*1000*P$37*P$32/P$67/P$64</f>
        <v>1.0646107216386851</v>
      </c>
      <c r="Q87" s="66">
        <f>Q$43*1000*Q$37*Q$32/Q$67/Q$64</f>
        <v>1.1985932397203642</v>
      </c>
      <c r="R87" s="258"/>
      <c r="S87" s="66">
        <f>S$43*1000*S$37*S$32/S$67/S$64</f>
        <v>0.81893071119533589</v>
      </c>
      <c r="T87" s="66">
        <f>T$43*1000*T$37*T$32/T$67/T$64</f>
        <v>0.82122141685043326</v>
      </c>
      <c r="U87" s="66">
        <f>U$43*1000*U$37*U$32/U$67/U$64</f>
        <v>0.7806736093934431</v>
      </c>
      <c r="V87" s="66">
        <f>V$43*1000*V$37*V$32/V$67/V$64</f>
        <v>0.74212784992964187</v>
      </c>
      <c r="W87" s="66">
        <f>W$43*1000*W$37*W$32/W$67/W$64</f>
        <v>0.70548528733936577</v>
      </c>
      <c r="X87" s="258"/>
      <c r="Y87" s="258"/>
      <c r="Z87" s="258"/>
      <c r="AA87" s="258"/>
      <c r="AB87" s="258"/>
      <c r="AC87" s="258"/>
      <c r="AD87" s="258"/>
      <c r="AE87" s="258"/>
      <c r="AF87" s="258"/>
      <c r="AG87" s="258"/>
      <c r="AH87" s="258"/>
      <c r="AI87" s="258"/>
      <c r="AJ87" s="258"/>
      <c r="AK87" s="258"/>
      <c r="AL87" s="258"/>
      <c r="AM87" s="258"/>
      <c r="AN87" s="258"/>
      <c r="AO87" s="258"/>
      <c r="AP87" s="258"/>
    </row>
    <row r="88" spans="1:42">
      <c r="A88" s="199" t="s">
        <v>16</v>
      </c>
      <c r="C88" s="199" t="str">
        <f>C83</f>
        <v>BRT</v>
      </c>
      <c r="D88" s="199" t="s">
        <v>48</v>
      </c>
      <c r="E88" s="258">
        <v>0</v>
      </c>
      <c r="F88" s="66">
        <f>E88</f>
        <v>0</v>
      </c>
      <c r="G88" s="66">
        <f>F88</f>
        <v>0</v>
      </c>
      <c r="H88" s="66">
        <f t="shared" ref="H88:K89" si="48">IF($D$4,T88,N88)</f>
        <v>0.02</v>
      </c>
      <c r="I88" s="66">
        <f t="shared" si="48"/>
        <v>0.03</v>
      </c>
      <c r="J88" s="66">
        <f t="shared" si="48"/>
        <v>0.05</v>
      </c>
      <c r="K88" s="66">
        <f t="shared" si="48"/>
        <v>0.1</v>
      </c>
      <c r="L88" s="259"/>
      <c r="M88" s="248">
        <f>$F88</f>
        <v>0</v>
      </c>
      <c r="N88" s="35">
        <v>0.02</v>
      </c>
      <c r="O88" s="35">
        <v>0.03</v>
      </c>
      <c r="P88" s="35">
        <v>3.5000000000000003E-2</v>
      </c>
      <c r="Q88" s="35">
        <v>0.04</v>
      </c>
      <c r="R88" s="258"/>
      <c r="S88" s="248">
        <f>$F88</f>
        <v>0</v>
      </c>
      <c r="T88" s="35">
        <v>0.02</v>
      </c>
      <c r="U88" s="77">
        <v>0.03</v>
      </c>
      <c r="V88" s="77">
        <v>0.05</v>
      </c>
      <c r="W88" s="77">
        <v>0.1</v>
      </c>
      <c r="X88" s="258"/>
      <c r="Y88" s="258"/>
      <c r="Z88" s="258"/>
      <c r="AA88" s="258"/>
      <c r="AB88" s="258"/>
      <c r="AC88" s="258"/>
      <c r="AD88" s="258"/>
      <c r="AE88" s="258"/>
      <c r="AF88" s="258"/>
      <c r="AG88" s="258"/>
      <c r="AH88" s="258"/>
      <c r="AI88" s="258"/>
      <c r="AJ88" s="258"/>
      <c r="AK88" s="258"/>
      <c r="AL88" s="258"/>
      <c r="AM88" s="258"/>
      <c r="AN88" s="258"/>
      <c r="AO88" s="258"/>
      <c r="AP88" s="258"/>
    </row>
    <row r="89" spans="1:42">
      <c r="A89" s="199" t="s">
        <v>16</v>
      </c>
      <c r="C89" s="199" t="str">
        <f>C84</f>
        <v>Gautrain</v>
      </c>
      <c r="D89" s="199" t="s">
        <v>48</v>
      </c>
      <c r="E89" s="258">
        <v>5.0000000000000001E-3</v>
      </c>
      <c r="F89" s="66">
        <f>E89</f>
        <v>5.0000000000000001E-3</v>
      </c>
      <c r="G89" s="66">
        <f>F89</f>
        <v>5.0000000000000001E-3</v>
      </c>
      <c r="H89" s="66">
        <f t="shared" si="48"/>
        <v>5.0000000000000001E-3</v>
      </c>
      <c r="I89" s="66">
        <f t="shared" si="48"/>
        <v>0.01</v>
      </c>
      <c r="J89" s="66">
        <f t="shared" si="48"/>
        <v>0.03</v>
      </c>
      <c r="K89" s="66">
        <f t="shared" si="48"/>
        <v>0.05</v>
      </c>
      <c r="L89" s="259"/>
      <c r="M89" s="248">
        <f>$F89</f>
        <v>5.0000000000000001E-3</v>
      </c>
      <c r="N89" s="50">
        <v>5.0000000000000001E-3</v>
      </c>
      <c r="O89" s="50">
        <f>N89</f>
        <v>5.0000000000000001E-3</v>
      </c>
      <c r="P89" s="50">
        <f>O89</f>
        <v>5.0000000000000001E-3</v>
      </c>
      <c r="Q89" s="50">
        <f>P89</f>
        <v>5.0000000000000001E-3</v>
      </c>
      <c r="R89" s="258"/>
      <c r="S89" s="248">
        <f>$F89</f>
        <v>5.0000000000000001E-3</v>
      </c>
      <c r="T89" s="50">
        <v>5.0000000000000001E-3</v>
      </c>
      <c r="U89" s="79">
        <v>0.01</v>
      </c>
      <c r="V89" s="79">
        <v>0.03</v>
      </c>
      <c r="W89" s="79">
        <v>0.05</v>
      </c>
      <c r="X89" s="258"/>
      <c r="Y89" s="258"/>
      <c r="Z89" s="258"/>
      <c r="AA89" s="258"/>
      <c r="AB89" s="258"/>
      <c r="AC89" s="258"/>
      <c r="AD89" s="258"/>
      <c r="AE89" s="258"/>
      <c r="AF89" s="258"/>
      <c r="AG89" s="258"/>
      <c r="AH89" s="258"/>
      <c r="AI89" s="258"/>
      <c r="AJ89" s="258"/>
      <c r="AK89" s="258"/>
      <c r="AL89" s="258"/>
      <c r="AM89" s="258"/>
      <c r="AN89" s="258"/>
      <c r="AO89" s="258"/>
      <c r="AP89" s="258"/>
    </row>
    <row r="90" spans="1:42">
      <c r="A90" s="199" t="s">
        <v>16</v>
      </c>
      <c r="C90" s="199" t="str">
        <f>C85</f>
        <v>Bus, minibus, metro rail</v>
      </c>
      <c r="D90" s="199" t="s">
        <v>48</v>
      </c>
      <c r="E90" s="34">
        <f t="shared" ref="E90:K90" si="49">1-SUM(E87:E89)</f>
        <v>0.1760692888046641</v>
      </c>
      <c r="F90" s="34">
        <f t="shared" si="49"/>
        <v>0.1760692888046641</v>
      </c>
      <c r="G90" s="34">
        <f t="shared" ref="G90" si="50">1-SUM(G87:G89)</f>
        <v>0.17377858314956673</v>
      </c>
      <c r="H90" s="34">
        <f t="shared" si="49"/>
        <v>0.15377858314956672</v>
      </c>
      <c r="I90" s="34">
        <f t="shared" si="49"/>
        <v>0.17932639060655686</v>
      </c>
      <c r="J90" s="34">
        <f t="shared" si="49"/>
        <v>0.17787215007035806</v>
      </c>
      <c r="K90" s="34">
        <f t="shared" si="49"/>
        <v>0.1445147126606342</v>
      </c>
      <c r="L90" s="259"/>
      <c r="M90" s="248">
        <f>$F90</f>
        <v>0.1760692888046641</v>
      </c>
      <c r="N90" s="34">
        <f>1-SUM(N87:N89)</f>
        <v>0.15377858314956672</v>
      </c>
      <c r="O90" s="34">
        <f>1-SUM(O87:O89)</f>
        <v>3.5699077358227416E-2</v>
      </c>
      <c r="P90" s="34">
        <f>1-SUM(P87:P89)</f>
        <v>-0.1046107216386849</v>
      </c>
      <c r="Q90" s="34">
        <f>1-SUM(Q87:Q89)</f>
        <v>-0.24359323972036417</v>
      </c>
      <c r="R90" s="258"/>
      <c r="S90" s="248">
        <f>$F90</f>
        <v>0.1760692888046641</v>
      </c>
      <c r="T90" s="34">
        <f>1-SUM(T87:T89)</f>
        <v>0.15377858314956672</v>
      </c>
      <c r="U90" s="34">
        <f>1-SUM(U87:U89)</f>
        <v>0.17932639060655686</v>
      </c>
      <c r="V90" s="34">
        <f>1-SUM(V87:V89)</f>
        <v>0.17787215007035806</v>
      </c>
      <c r="W90" s="34">
        <f>1-SUM(W87:W89)</f>
        <v>0.1445147126606342</v>
      </c>
      <c r="X90" s="258"/>
      <c r="Y90" s="258"/>
      <c r="Z90" s="258"/>
      <c r="AA90" s="258"/>
      <c r="AB90" s="258"/>
      <c r="AC90" s="258"/>
      <c r="AD90" s="258"/>
      <c r="AE90" s="258"/>
      <c r="AF90" s="258"/>
      <c r="AG90" s="258"/>
      <c r="AH90" s="258"/>
      <c r="AI90" s="258"/>
      <c r="AJ90" s="258"/>
      <c r="AK90" s="258"/>
      <c r="AL90" s="258"/>
      <c r="AM90" s="258"/>
      <c r="AN90" s="258"/>
      <c r="AO90" s="258"/>
      <c r="AP90" s="258"/>
    </row>
    <row r="91" spans="1:42">
      <c r="A91" s="199" t="s">
        <v>16</v>
      </c>
      <c r="C91" s="245"/>
      <c r="E91" s="249"/>
      <c r="F91" s="249"/>
      <c r="G91" s="249"/>
      <c r="H91" s="249"/>
      <c r="I91" s="249"/>
      <c r="J91" s="249"/>
      <c r="K91" s="249"/>
      <c r="N91" s="249"/>
      <c r="O91" s="249"/>
      <c r="P91" s="249"/>
      <c r="Q91" s="249"/>
      <c r="T91" s="249"/>
      <c r="U91" s="249"/>
      <c r="V91" s="249"/>
      <c r="W91" s="249"/>
    </row>
    <row r="92" spans="1:42">
      <c r="A92" s="199" t="s">
        <v>16</v>
      </c>
      <c r="C92" s="75" t="s">
        <v>193</v>
      </c>
      <c r="E92" s="7"/>
      <c r="F92" s="7"/>
      <c r="G92" s="7"/>
      <c r="H92" s="7"/>
      <c r="I92" s="7"/>
      <c r="J92" s="7"/>
      <c r="K92" s="7"/>
      <c r="N92" s="7"/>
      <c r="O92" s="7"/>
      <c r="P92" s="7"/>
      <c r="Q92" s="7"/>
      <c r="T92" s="7"/>
      <c r="U92" s="7"/>
      <c r="V92" s="7"/>
      <c r="W92" s="7"/>
    </row>
    <row r="93" spans="1:42">
      <c r="A93" s="199" t="s">
        <v>16</v>
      </c>
      <c r="C93" s="39" t="str">
        <f>C75</f>
        <v>Low Income</v>
      </c>
      <c r="D93" s="199" t="s">
        <v>191</v>
      </c>
      <c r="E93" s="200">
        <f t="shared" ref="E93:M93" si="51">(1-E$25)*E$13</f>
        <v>25.985594850729235</v>
      </c>
      <c r="F93" s="200">
        <f t="shared" si="51"/>
        <v>25.002381329096842</v>
      </c>
      <c r="G93" s="200">
        <f t="shared" si="51"/>
        <v>24.682456446411223</v>
      </c>
      <c r="H93" s="200">
        <f t="shared" si="51"/>
        <v>24.943277827229998</v>
      </c>
      <c r="I93" s="200">
        <f t="shared" si="51"/>
        <v>19.677207978419997</v>
      </c>
      <c r="J93" s="200">
        <f t="shared" si="51"/>
        <v>14.149440661439996</v>
      </c>
      <c r="K93" s="200">
        <f t="shared" si="51"/>
        <v>10.016937107068797</v>
      </c>
      <c r="M93" s="200">
        <f t="shared" si="51"/>
        <v>25.985594850729235</v>
      </c>
      <c r="N93" s="200">
        <f>(1-N$25)*N$13</f>
        <v>24.943277827229998</v>
      </c>
      <c r="O93" s="200">
        <f>(1-O$25)*O$13</f>
        <v>20.298593493527999</v>
      </c>
      <c r="P93" s="200">
        <f>(1-P$25)*P$13</f>
        <v>14.444220675219997</v>
      </c>
      <c r="Q93" s="200">
        <f>(1-Q$25)*Q$13</f>
        <v>10.225623296799398</v>
      </c>
      <c r="S93" s="200">
        <f>(1-S$25)*S$13</f>
        <v>25.985594850729235</v>
      </c>
      <c r="T93" s="200">
        <f>(1-T$25)*T$13</f>
        <v>24.943277827229998</v>
      </c>
      <c r="U93" s="200">
        <f>(1-U$25)*U$13</f>
        <v>19.677207978419997</v>
      </c>
      <c r="V93" s="200">
        <f>(1-V$25)*V$13</f>
        <v>14.149440661439996</v>
      </c>
      <c r="W93" s="200">
        <f>(1-W$25)*W$13</f>
        <v>10.016937107068797</v>
      </c>
    </row>
    <row r="94" spans="1:42">
      <c r="A94" s="199" t="s">
        <v>16</v>
      </c>
      <c r="C94" s="199" t="s">
        <v>63</v>
      </c>
      <c r="D94" s="199" t="s">
        <v>48</v>
      </c>
      <c r="E94" s="34">
        <v>0</v>
      </c>
      <c r="F94" s="66">
        <f>E94</f>
        <v>0</v>
      </c>
      <c r="G94" s="66">
        <f>F94</f>
        <v>0</v>
      </c>
      <c r="H94" s="66">
        <f t="shared" ref="H94:K95" si="52">IF($D$4,T94,N94)</f>
        <v>0.02</v>
      </c>
      <c r="I94" s="66">
        <f t="shared" si="52"/>
        <v>7.0000000000000007E-2</v>
      </c>
      <c r="J94" s="66">
        <f t="shared" si="52"/>
        <v>0.2</v>
      </c>
      <c r="K94" s="66">
        <f t="shared" si="52"/>
        <v>0.4</v>
      </c>
      <c r="L94" s="259"/>
      <c r="M94" s="248">
        <f>$F94</f>
        <v>0</v>
      </c>
      <c r="N94" s="35">
        <v>0.02</v>
      </c>
      <c r="O94" s="35">
        <v>0.05</v>
      </c>
      <c r="P94" s="35">
        <v>0.1</v>
      </c>
      <c r="Q94" s="35">
        <v>0.15</v>
      </c>
      <c r="R94" s="258"/>
      <c r="S94" s="248">
        <f>$F94</f>
        <v>0</v>
      </c>
      <c r="T94" s="35">
        <v>0.02</v>
      </c>
      <c r="U94" s="77">
        <f>U78</f>
        <v>7.0000000000000007E-2</v>
      </c>
      <c r="V94" s="77">
        <v>0.2</v>
      </c>
      <c r="W94" s="77">
        <v>0.4</v>
      </c>
      <c r="X94" s="258"/>
      <c r="Y94" s="258"/>
      <c r="Z94" s="258"/>
      <c r="AA94" s="258"/>
      <c r="AB94" s="258"/>
      <c r="AC94" s="258"/>
      <c r="AD94" s="258"/>
      <c r="AE94" s="258"/>
      <c r="AF94" s="258"/>
      <c r="AG94" s="258"/>
      <c r="AH94" s="258"/>
      <c r="AI94" s="258"/>
      <c r="AJ94" s="258"/>
      <c r="AK94" s="258"/>
      <c r="AL94" s="258"/>
      <c r="AM94" s="258"/>
      <c r="AN94" s="258"/>
      <c r="AO94" s="258"/>
      <c r="AP94" s="258"/>
    </row>
    <row r="95" spans="1:42">
      <c r="A95" s="199" t="s">
        <v>16</v>
      </c>
      <c r="C95" s="199" t="s">
        <v>82</v>
      </c>
      <c r="D95" s="199" t="s">
        <v>48</v>
      </c>
      <c r="E95" s="34">
        <v>0</v>
      </c>
      <c r="F95" s="66">
        <f>E95</f>
        <v>0</v>
      </c>
      <c r="G95" s="66">
        <f>F95</f>
        <v>0</v>
      </c>
      <c r="H95" s="66">
        <f t="shared" si="52"/>
        <v>0</v>
      </c>
      <c r="I95" s="66">
        <f t="shared" si="52"/>
        <v>0</v>
      </c>
      <c r="J95" s="66">
        <f t="shared" si="52"/>
        <v>0</v>
      </c>
      <c r="K95" s="66">
        <f t="shared" si="52"/>
        <v>0</v>
      </c>
      <c r="L95" s="259"/>
      <c r="M95" s="248">
        <f>$F95</f>
        <v>0</v>
      </c>
      <c r="N95" s="35">
        <v>0</v>
      </c>
      <c r="O95" s="35">
        <v>0</v>
      </c>
      <c r="P95" s="35">
        <v>0</v>
      </c>
      <c r="Q95" s="35">
        <v>0</v>
      </c>
      <c r="R95" s="258"/>
      <c r="S95" s="248">
        <f>$F95</f>
        <v>0</v>
      </c>
      <c r="T95" s="35">
        <v>0</v>
      </c>
      <c r="U95" s="35">
        <v>0</v>
      </c>
      <c r="V95" s="35">
        <v>0</v>
      </c>
      <c r="W95" s="35">
        <v>0</v>
      </c>
      <c r="X95" s="258"/>
      <c r="Y95" s="258"/>
      <c r="Z95" s="258"/>
      <c r="AA95" s="258"/>
      <c r="AB95" s="258"/>
      <c r="AC95" s="258"/>
      <c r="AD95" s="258"/>
      <c r="AE95" s="258"/>
      <c r="AF95" s="258"/>
      <c r="AG95" s="258"/>
      <c r="AH95" s="258"/>
      <c r="AI95" s="258"/>
      <c r="AJ95" s="258"/>
      <c r="AK95" s="258"/>
      <c r="AL95" s="258"/>
      <c r="AM95" s="258"/>
      <c r="AN95" s="258"/>
      <c r="AO95" s="258"/>
      <c r="AP95" s="258"/>
    </row>
    <row r="96" spans="1:42">
      <c r="A96" s="199" t="s">
        <v>16</v>
      </c>
      <c r="C96" s="199" t="s">
        <v>81</v>
      </c>
      <c r="D96" s="199" t="s">
        <v>48</v>
      </c>
      <c r="E96" s="34">
        <f t="shared" ref="E96:K96" si="53">1-SUM(E94:E95)</f>
        <v>1</v>
      </c>
      <c r="F96" s="34">
        <f t="shared" si="53"/>
        <v>1</v>
      </c>
      <c r="G96" s="34">
        <f t="shared" ref="G96" si="54">1-SUM(G94:G95)</f>
        <v>1</v>
      </c>
      <c r="H96" s="34">
        <f t="shared" si="53"/>
        <v>0.98</v>
      </c>
      <c r="I96" s="34">
        <f t="shared" si="53"/>
        <v>0.92999999999999994</v>
      </c>
      <c r="J96" s="34">
        <f t="shared" si="53"/>
        <v>0.8</v>
      </c>
      <c r="K96" s="34">
        <f t="shared" si="53"/>
        <v>0.6</v>
      </c>
      <c r="L96" s="259"/>
      <c r="M96" s="34">
        <f>1-SUM(M94:M95)</f>
        <v>1</v>
      </c>
      <c r="N96" s="34">
        <f>1-SUM(N94:N95)</f>
        <v>0.98</v>
      </c>
      <c r="O96" s="34">
        <f>1-SUM(O94:O95)</f>
        <v>0.95</v>
      </c>
      <c r="P96" s="34">
        <f>1-SUM(P94:P95)</f>
        <v>0.9</v>
      </c>
      <c r="Q96" s="34">
        <f>1-SUM(Q94:Q95)</f>
        <v>0.85</v>
      </c>
      <c r="R96" s="258"/>
      <c r="S96" s="34">
        <f>1-SUM(S94:S95)</f>
        <v>1</v>
      </c>
      <c r="T96" s="34">
        <f>1-SUM(T94:T95)</f>
        <v>0.98</v>
      </c>
      <c r="U96" s="34">
        <f>1-SUM(U94:U95)</f>
        <v>0.92999999999999994</v>
      </c>
      <c r="V96" s="34">
        <f>1-SUM(V94:V95)</f>
        <v>0.8</v>
      </c>
      <c r="W96" s="34">
        <f>1-SUM(W94:W95)</f>
        <v>0.6</v>
      </c>
      <c r="X96" s="258"/>
      <c r="Y96" s="258"/>
      <c r="Z96" s="258"/>
      <c r="AA96" s="258"/>
      <c r="AB96" s="258"/>
      <c r="AC96" s="258"/>
      <c r="AD96" s="258"/>
      <c r="AE96" s="258"/>
      <c r="AF96" s="258"/>
      <c r="AG96" s="258"/>
      <c r="AH96" s="258"/>
      <c r="AI96" s="258"/>
      <c r="AJ96" s="258"/>
      <c r="AK96" s="258"/>
      <c r="AL96" s="258"/>
      <c r="AM96" s="258"/>
      <c r="AN96" s="258"/>
      <c r="AO96" s="258"/>
      <c r="AP96" s="258"/>
    </row>
    <row r="97" spans="1:42">
      <c r="A97" s="199" t="s">
        <v>16</v>
      </c>
      <c r="C97" s="39" t="str">
        <f>C81</f>
        <v>Middle Income</v>
      </c>
      <c r="D97" s="199" t="s">
        <v>191</v>
      </c>
      <c r="E97" s="200">
        <f t="shared" ref="E97:M97" si="55">(1-E$26)*E$14</f>
        <v>7.477487497862902</v>
      </c>
      <c r="F97" s="200">
        <f t="shared" si="55"/>
        <v>7.8016493800143891</v>
      </c>
      <c r="G97" s="200">
        <f t="shared" si="55"/>
        <v>8.0657611162704406</v>
      </c>
      <c r="H97" s="200">
        <f t="shared" si="55"/>
        <v>8.7853903188310003</v>
      </c>
      <c r="I97" s="200">
        <f t="shared" si="55"/>
        <v>10.602560518242452</v>
      </c>
      <c r="J97" s="200">
        <f t="shared" si="55"/>
        <v>13.166566778197257</v>
      </c>
      <c r="K97" s="200">
        <f t="shared" si="55"/>
        <v>15.686803334673725</v>
      </c>
      <c r="M97" s="200">
        <f t="shared" si="55"/>
        <v>7.477487497862902</v>
      </c>
      <c r="N97" s="200">
        <f>(1-N$26)*N$14</f>
        <v>8.7853903188310003</v>
      </c>
      <c r="O97" s="200">
        <f>(1-O$26)*O$14</f>
        <v>10.036663531871001</v>
      </c>
      <c r="P97" s="200">
        <f>(1-P$26)*P$14</f>
        <v>11.862340318690197</v>
      </c>
      <c r="Q97" s="200">
        <f>(1-Q$26)*Q$14</f>
        <v>13.513408741977898</v>
      </c>
      <c r="S97" s="200">
        <f>(1-S$26)*S$14</f>
        <v>7.477487497862902</v>
      </c>
      <c r="T97" s="200">
        <f>(1-T$26)*T$14</f>
        <v>8.7853903188310003</v>
      </c>
      <c r="U97" s="200">
        <f>(1-U$26)*U$14</f>
        <v>10.602560518242452</v>
      </c>
      <c r="V97" s="200">
        <f>(1-V$26)*V$14</f>
        <v>13.166566778197257</v>
      </c>
      <c r="W97" s="200">
        <f>(1-W$26)*W$14</f>
        <v>15.686803334673725</v>
      </c>
    </row>
    <row r="98" spans="1:42">
      <c r="A98" s="199" t="s">
        <v>16</v>
      </c>
      <c r="C98" s="199" t="str">
        <f>C94</f>
        <v>BRT</v>
      </c>
      <c r="D98" s="199" t="s">
        <v>48</v>
      </c>
      <c r="E98" s="258">
        <v>0</v>
      </c>
      <c r="F98" s="66">
        <f>E98</f>
        <v>0</v>
      </c>
      <c r="G98" s="66">
        <f>F98</f>
        <v>0</v>
      </c>
      <c r="H98" s="66">
        <f t="shared" ref="H98:K99" si="56">IF($D$4,T98,N98)</f>
        <v>0.02</v>
      </c>
      <c r="I98" s="66">
        <f t="shared" si="56"/>
        <v>7.0000000000000007E-2</v>
      </c>
      <c r="J98" s="66">
        <f t="shared" si="56"/>
        <v>0.2</v>
      </c>
      <c r="K98" s="66">
        <f t="shared" si="56"/>
        <v>0.4</v>
      </c>
      <c r="L98" s="259"/>
      <c r="M98" s="248">
        <f>$F98</f>
        <v>0</v>
      </c>
      <c r="N98" s="35">
        <v>0.02</v>
      </c>
      <c r="O98" s="35">
        <v>0.05</v>
      </c>
      <c r="P98" s="35">
        <v>0.1</v>
      </c>
      <c r="Q98" s="35">
        <v>0.15</v>
      </c>
      <c r="R98" s="258"/>
      <c r="S98" s="248">
        <f>$F98</f>
        <v>0</v>
      </c>
      <c r="T98" s="35">
        <v>0.02</v>
      </c>
      <c r="U98" s="77">
        <f>U83</f>
        <v>7.0000000000000007E-2</v>
      </c>
      <c r="V98" s="77">
        <v>0.2</v>
      </c>
      <c r="W98" s="77">
        <v>0.4</v>
      </c>
      <c r="X98" s="258"/>
      <c r="Y98" s="258"/>
      <c r="Z98" s="258"/>
      <c r="AA98" s="258"/>
      <c r="AB98" s="258"/>
      <c r="AC98" s="258"/>
      <c r="AD98" s="258"/>
      <c r="AE98" s="258"/>
      <c r="AF98" s="258"/>
      <c r="AG98" s="258"/>
      <c r="AH98" s="258"/>
      <c r="AI98" s="258"/>
      <c r="AJ98" s="258"/>
      <c r="AK98" s="258"/>
      <c r="AL98" s="258"/>
      <c r="AM98" s="258"/>
      <c r="AN98" s="258"/>
      <c r="AO98" s="258"/>
      <c r="AP98" s="258"/>
    </row>
    <row r="99" spans="1:42">
      <c r="A99" s="199" t="s">
        <v>16</v>
      </c>
      <c r="C99" s="199" t="str">
        <f>C95</f>
        <v>Gautrain</v>
      </c>
      <c r="D99" s="199" t="s">
        <v>48</v>
      </c>
      <c r="E99" s="258">
        <v>2E-3</v>
      </c>
      <c r="F99" s="66">
        <f>E99</f>
        <v>2E-3</v>
      </c>
      <c r="G99" s="66">
        <f>F99</f>
        <v>2E-3</v>
      </c>
      <c r="H99" s="66">
        <f t="shared" si="56"/>
        <v>2E-3</v>
      </c>
      <c r="I99" s="66">
        <f t="shared" si="56"/>
        <v>0.01</v>
      </c>
      <c r="J99" s="66">
        <f t="shared" si="56"/>
        <v>0.02</v>
      </c>
      <c r="K99" s="66">
        <f t="shared" si="56"/>
        <v>0.03</v>
      </c>
      <c r="L99" s="259"/>
      <c r="M99" s="248">
        <f>$F99</f>
        <v>2E-3</v>
      </c>
      <c r="N99" s="50">
        <v>2E-3</v>
      </c>
      <c r="O99" s="50">
        <f>N99</f>
        <v>2E-3</v>
      </c>
      <c r="P99" s="50">
        <f>O99</f>
        <v>2E-3</v>
      </c>
      <c r="Q99" s="50">
        <f>P99</f>
        <v>2E-3</v>
      </c>
      <c r="R99" s="258"/>
      <c r="S99" s="248">
        <f>$F99</f>
        <v>2E-3</v>
      </c>
      <c r="T99" s="50">
        <v>2E-3</v>
      </c>
      <c r="U99" s="77">
        <f>U84</f>
        <v>0.01</v>
      </c>
      <c r="V99" s="77">
        <f>V84</f>
        <v>0.02</v>
      </c>
      <c r="W99" s="77">
        <f>W84</f>
        <v>0.03</v>
      </c>
      <c r="X99" s="258"/>
      <c r="Y99" s="258"/>
      <c r="Z99" s="258"/>
      <c r="AA99" s="258"/>
      <c r="AB99" s="258"/>
      <c r="AC99" s="258"/>
      <c r="AD99" s="258"/>
      <c r="AE99" s="258"/>
      <c r="AF99" s="258"/>
      <c r="AG99" s="258"/>
      <c r="AH99" s="258"/>
      <c r="AI99" s="258"/>
      <c r="AJ99" s="258"/>
      <c r="AK99" s="258"/>
      <c r="AL99" s="258"/>
      <c r="AM99" s="258"/>
      <c r="AN99" s="258"/>
      <c r="AO99" s="258"/>
      <c r="AP99" s="258"/>
    </row>
    <row r="100" spans="1:42">
      <c r="A100" s="199" t="s">
        <v>16</v>
      </c>
      <c r="C100" s="199" t="str">
        <f>C96</f>
        <v>Bus, minibus, metro rail</v>
      </c>
      <c r="D100" s="199" t="s">
        <v>48</v>
      </c>
      <c r="E100" s="34">
        <f t="shared" ref="E100:K100" si="57">1-SUM(E98:E99)</f>
        <v>0.998</v>
      </c>
      <c r="F100" s="34">
        <f t="shared" si="57"/>
        <v>0.998</v>
      </c>
      <c r="G100" s="34">
        <f t="shared" ref="G100" si="58">1-SUM(G98:G99)</f>
        <v>0.998</v>
      </c>
      <c r="H100" s="34">
        <f t="shared" si="57"/>
        <v>0.97799999999999998</v>
      </c>
      <c r="I100" s="34">
        <f t="shared" si="57"/>
        <v>0.92</v>
      </c>
      <c r="J100" s="34">
        <f t="shared" si="57"/>
        <v>0.78</v>
      </c>
      <c r="K100" s="34">
        <f t="shared" si="57"/>
        <v>0.56999999999999995</v>
      </c>
      <c r="L100" s="259"/>
      <c r="M100" s="34">
        <f>1-SUM(M98:M99)</f>
        <v>0.998</v>
      </c>
      <c r="N100" s="34">
        <f>1-SUM(N98:N99)</f>
        <v>0.97799999999999998</v>
      </c>
      <c r="O100" s="34">
        <f>1-SUM(O98:O99)</f>
        <v>0.94799999999999995</v>
      </c>
      <c r="P100" s="34">
        <f>1-SUM(P98:P99)</f>
        <v>0.89800000000000002</v>
      </c>
      <c r="Q100" s="34">
        <f>1-SUM(Q98:Q99)</f>
        <v>0.84799999999999998</v>
      </c>
      <c r="R100" s="258"/>
      <c r="S100" s="34">
        <f>1-SUM(S98:S99)</f>
        <v>0.998</v>
      </c>
      <c r="T100" s="34">
        <f>1-SUM(T98:T99)</f>
        <v>0.97799999999999998</v>
      </c>
      <c r="U100" s="34">
        <f>1-SUM(U98:U99)</f>
        <v>0.92</v>
      </c>
      <c r="V100" s="34">
        <f>1-SUM(V98:V99)</f>
        <v>0.78</v>
      </c>
      <c r="W100" s="34">
        <f>1-SUM(W98:W99)</f>
        <v>0.56999999999999995</v>
      </c>
      <c r="X100" s="258"/>
      <c r="Y100" s="258"/>
      <c r="Z100" s="258"/>
      <c r="AA100" s="258"/>
      <c r="AB100" s="258"/>
      <c r="AC100" s="258"/>
      <c r="AD100" s="258"/>
      <c r="AE100" s="258"/>
      <c r="AF100" s="258"/>
      <c r="AG100" s="258"/>
      <c r="AH100" s="258"/>
      <c r="AI100" s="258"/>
      <c r="AJ100" s="258"/>
      <c r="AK100" s="258"/>
      <c r="AL100" s="258"/>
      <c r="AM100" s="258"/>
      <c r="AN100" s="258"/>
      <c r="AO100" s="258"/>
      <c r="AP100" s="258"/>
    </row>
    <row r="101" spans="1:42">
      <c r="A101" s="199" t="s">
        <v>16</v>
      </c>
      <c r="C101" s="39" t="str">
        <f>C86</f>
        <v>High Income</v>
      </c>
      <c r="D101" s="199" t="s">
        <v>191</v>
      </c>
      <c r="E101" s="200">
        <f t="shared" ref="E101:M101" si="59">(1-E$27)*E$15</f>
        <v>2.2957232138661667</v>
      </c>
      <c r="F101" s="200">
        <f t="shared" si="59"/>
        <v>2.9307896644299651</v>
      </c>
      <c r="G101" s="200">
        <f t="shared" si="59"/>
        <v>3.2869688117407874</v>
      </c>
      <c r="H101" s="200">
        <f t="shared" si="59"/>
        <v>3.5164192830252996</v>
      </c>
      <c r="I101" s="200">
        <f t="shared" si="59"/>
        <v>5.9983074313723694</v>
      </c>
      <c r="J101" s="200">
        <f t="shared" si="59"/>
        <v>8.4715280162470137</v>
      </c>
      <c r="K101" s="200">
        <f t="shared" si="59"/>
        <v>10.466128390528796</v>
      </c>
      <c r="M101" s="200">
        <f t="shared" si="59"/>
        <v>2.2957232138661667</v>
      </c>
      <c r="N101" s="200">
        <f>(1-N$27)*N$15</f>
        <v>3.5164192830252996</v>
      </c>
      <c r="O101" s="200">
        <f>(1-O$27)*O$15</f>
        <v>5.5395810517383266</v>
      </c>
      <c r="P101" s="200">
        <f>(1-P$27)*P$15</f>
        <v>7.2807754377674936</v>
      </c>
      <c r="Q101" s="200">
        <f>(1-Q$27)*Q$15</f>
        <v>8.4250187689389744</v>
      </c>
      <c r="S101" s="200">
        <f>(1-S$27)*S$15</f>
        <v>2.2957232138661667</v>
      </c>
      <c r="T101" s="200">
        <f>(1-T$27)*T$15</f>
        <v>3.5164192830252996</v>
      </c>
      <c r="U101" s="200">
        <f>(1-U$27)*U$15</f>
        <v>5.9983074313723694</v>
      </c>
      <c r="V101" s="200">
        <f>(1-V$27)*V$15</f>
        <v>8.4715280162470137</v>
      </c>
      <c r="W101" s="200">
        <f>(1-W$27)*W$15</f>
        <v>10.466128390528796</v>
      </c>
    </row>
    <row r="102" spans="1:42">
      <c r="A102" s="199" t="s">
        <v>16</v>
      </c>
      <c r="C102" s="199" t="str">
        <f>C98</f>
        <v>BRT</v>
      </c>
      <c r="D102" s="199" t="s">
        <v>48</v>
      </c>
      <c r="E102" s="258">
        <v>0.01</v>
      </c>
      <c r="F102" s="66">
        <f>E102</f>
        <v>0.01</v>
      </c>
      <c r="G102" s="66">
        <f>F102</f>
        <v>0.01</v>
      </c>
      <c r="H102" s="66">
        <f t="shared" ref="H102:K103" si="60">IF($D$4,T102,N102)</f>
        <v>0.02</v>
      </c>
      <c r="I102" s="66">
        <f t="shared" si="60"/>
        <v>7.0000000000000007E-2</v>
      </c>
      <c r="J102" s="66">
        <f t="shared" si="60"/>
        <v>0.2</v>
      </c>
      <c r="K102" s="66">
        <f t="shared" si="60"/>
        <v>0.4</v>
      </c>
      <c r="L102" s="259"/>
      <c r="M102" s="261">
        <f>$F102</f>
        <v>0.01</v>
      </c>
      <c r="N102" s="35">
        <v>0.02</v>
      </c>
      <c r="O102" s="35">
        <v>0.03</v>
      </c>
      <c r="P102" s="35">
        <v>0.03</v>
      </c>
      <c r="Q102" s="35">
        <v>0.03</v>
      </c>
      <c r="R102" s="258"/>
      <c r="S102" s="248">
        <f>$F102</f>
        <v>0.01</v>
      </c>
      <c r="T102" s="35">
        <v>0.02</v>
      </c>
      <c r="U102" s="77">
        <v>7.0000000000000007E-2</v>
      </c>
      <c r="V102" s="77">
        <v>0.2</v>
      </c>
      <c r="W102" s="77">
        <v>0.4</v>
      </c>
      <c r="X102" s="258"/>
      <c r="Y102" s="258"/>
      <c r="Z102" s="258"/>
      <c r="AA102" s="258"/>
      <c r="AB102" s="258"/>
      <c r="AC102" s="258"/>
      <c r="AD102" s="258"/>
      <c r="AE102" s="258"/>
      <c r="AF102" s="258"/>
      <c r="AG102" s="258"/>
      <c r="AH102" s="258"/>
      <c r="AI102" s="258"/>
      <c r="AJ102" s="258"/>
      <c r="AK102" s="258"/>
      <c r="AL102" s="258"/>
      <c r="AM102" s="258"/>
      <c r="AN102" s="258"/>
      <c r="AO102" s="258"/>
      <c r="AP102" s="258"/>
    </row>
    <row r="103" spans="1:42">
      <c r="A103" s="199" t="s">
        <v>16</v>
      </c>
      <c r="C103" s="199" t="str">
        <f>C99</f>
        <v>Gautrain</v>
      </c>
      <c r="D103" s="199" t="s">
        <v>48</v>
      </c>
      <c r="E103" s="258">
        <v>5.0000000000000001E-3</v>
      </c>
      <c r="F103" s="148">
        <f>E103</f>
        <v>5.0000000000000001E-3</v>
      </c>
      <c r="G103" s="148">
        <f>F103</f>
        <v>5.0000000000000001E-3</v>
      </c>
      <c r="H103" s="66">
        <f t="shared" si="60"/>
        <v>5.0000000000000001E-3</v>
      </c>
      <c r="I103" s="66">
        <f t="shared" si="60"/>
        <v>0.01</v>
      </c>
      <c r="J103" s="66">
        <f t="shared" si="60"/>
        <v>0.03</v>
      </c>
      <c r="K103" s="66">
        <f t="shared" si="60"/>
        <v>0.05</v>
      </c>
      <c r="L103" s="259"/>
      <c r="M103" s="248">
        <f>$F103</f>
        <v>5.0000000000000001E-3</v>
      </c>
      <c r="N103" s="50">
        <v>5.0000000000000001E-3</v>
      </c>
      <c r="O103" s="50">
        <f>N103</f>
        <v>5.0000000000000001E-3</v>
      </c>
      <c r="P103" s="50">
        <f>O103</f>
        <v>5.0000000000000001E-3</v>
      </c>
      <c r="Q103" s="50">
        <f>P103</f>
        <v>5.0000000000000001E-3</v>
      </c>
      <c r="R103" s="258"/>
      <c r="S103" s="248">
        <f>$F103</f>
        <v>5.0000000000000001E-3</v>
      </c>
      <c r="T103" s="50">
        <v>5.0000000000000001E-3</v>
      </c>
      <c r="U103" s="77">
        <f>U89</f>
        <v>0.01</v>
      </c>
      <c r="V103" s="77">
        <f>V89</f>
        <v>0.03</v>
      </c>
      <c r="W103" s="77">
        <f>W89</f>
        <v>0.05</v>
      </c>
      <c r="X103" s="258"/>
      <c r="Y103" s="258"/>
      <c r="Z103" s="258"/>
      <c r="AA103" s="258"/>
      <c r="AB103" s="258"/>
      <c r="AC103" s="258"/>
      <c r="AD103" s="258"/>
      <c r="AE103" s="258"/>
      <c r="AF103" s="258"/>
      <c r="AG103" s="258"/>
      <c r="AH103" s="258"/>
      <c r="AI103" s="258"/>
      <c r="AJ103" s="258"/>
      <c r="AK103" s="258"/>
      <c r="AL103" s="258"/>
      <c r="AM103" s="258"/>
      <c r="AN103" s="258"/>
      <c r="AO103" s="258"/>
      <c r="AP103" s="258"/>
    </row>
    <row r="104" spans="1:42">
      <c r="A104" s="199" t="s">
        <v>16</v>
      </c>
      <c r="C104" s="199" t="str">
        <f>C100</f>
        <v>Bus, minibus, metro rail</v>
      </c>
      <c r="D104" s="199" t="s">
        <v>48</v>
      </c>
      <c r="E104" s="34">
        <f t="shared" ref="E104:M104" si="61">1-SUM(E102:E103)</f>
        <v>0.98499999999999999</v>
      </c>
      <c r="F104" s="34">
        <f t="shared" si="61"/>
        <v>0.98499999999999999</v>
      </c>
      <c r="G104" s="34">
        <f t="shared" ref="G104" si="62">1-SUM(G102:G103)</f>
        <v>0.98499999999999999</v>
      </c>
      <c r="H104" s="34">
        <f t="shared" si="61"/>
        <v>0.97499999999999998</v>
      </c>
      <c r="I104" s="34">
        <f t="shared" si="61"/>
        <v>0.92</v>
      </c>
      <c r="J104" s="34">
        <f t="shared" si="61"/>
        <v>0.77</v>
      </c>
      <c r="K104" s="34">
        <f t="shared" si="61"/>
        <v>0.55000000000000004</v>
      </c>
      <c r="L104" s="259"/>
      <c r="M104" s="34">
        <f t="shared" si="61"/>
        <v>0.98499999999999999</v>
      </c>
      <c r="N104" s="34">
        <f>1-SUM(N102:N103)</f>
        <v>0.97499999999999998</v>
      </c>
      <c r="O104" s="34">
        <f>1-SUM(O102:O103)</f>
        <v>0.96499999999999997</v>
      </c>
      <c r="P104" s="34">
        <f>1-SUM(P102:P103)</f>
        <v>0.96499999999999997</v>
      </c>
      <c r="Q104" s="34">
        <f>1-SUM(Q102:Q103)</f>
        <v>0.96499999999999997</v>
      </c>
      <c r="R104" s="258"/>
      <c r="S104" s="34">
        <f>1-SUM(S102:S103)</f>
        <v>0.98499999999999999</v>
      </c>
      <c r="T104" s="34">
        <f>1-SUM(T102:T103)</f>
        <v>0.97499999999999998</v>
      </c>
      <c r="U104" s="34">
        <f>1-SUM(U102:U103)</f>
        <v>0.92</v>
      </c>
      <c r="V104" s="34">
        <f>1-SUM(V102:V103)</f>
        <v>0.77</v>
      </c>
      <c r="W104" s="34">
        <f>1-SUM(W102:W103)</f>
        <v>0.55000000000000004</v>
      </c>
      <c r="X104" s="258"/>
      <c r="Y104" s="258"/>
      <c r="Z104" s="258"/>
      <c r="AA104" s="258"/>
      <c r="AB104" s="258"/>
      <c r="AC104" s="258"/>
      <c r="AD104" s="258"/>
      <c r="AE104" s="258"/>
      <c r="AF104" s="258"/>
      <c r="AG104" s="258"/>
      <c r="AH104" s="258"/>
      <c r="AI104" s="258"/>
      <c r="AJ104" s="258"/>
      <c r="AK104" s="258"/>
      <c r="AL104" s="258"/>
      <c r="AM104" s="258"/>
      <c r="AN104" s="258"/>
      <c r="AO104" s="258"/>
      <c r="AP104" s="258"/>
    </row>
    <row r="105" spans="1:42">
      <c r="A105" s="199" t="s">
        <v>16</v>
      </c>
      <c r="C105" s="245"/>
      <c r="E105" s="249"/>
      <c r="F105" s="249"/>
      <c r="G105" s="249"/>
      <c r="H105" s="249"/>
      <c r="I105" s="249"/>
      <c r="J105" s="249"/>
      <c r="K105" s="249"/>
    </row>
    <row r="106" spans="1:42" ht="15.75" thickBot="1">
      <c r="A106" s="199" t="s">
        <v>16</v>
      </c>
      <c r="C106" s="244" t="s">
        <v>194</v>
      </c>
      <c r="F106" s="249"/>
      <c r="G106" s="249"/>
      <c r="H106" s="249"/>
      <c r="I106" s="249"/>
      <c r="J106" s="249"/>
      <c r="K106" s="249"/>
    </row>
    <row r="107" spans="1:42">
      <c r="A107" s="199" t="s">
        <v>16</v>
      </c>
      <c r="C107" s="245" t="str">
        <f>C54</f>
        <v>Low Income</v>
      </c>
      <c r="D107" s="199" t="s">
        <v>173</v>
      </c>
      <c r="E107" s="200">
        <f t="shared" ref="E107:K109" si="63">E25*E13*E30*E41</f>
        <v>1.0642707934165212</v>
      </c>
      <c r="F107" s="200">
        <f t="shared" si="63"/>
        <v>1.0240021199158185</v>
      </c>
      <c r="G107" s="200">
        <f t="shared" si="63"/>
        <v>1.0108992176853562</v>
      </c>
      <c r="H107" s="200">
        <f t="shared" si="63"/>
        <v>1.0215814660425149</v>
      </c>
      <c r="I107" s="200">
        <f t="shared" si="63"/>
        <v>1.8757400297011264</v>
      </c>
      <c r="J107" s="200">
        <f t="shared" si="63"/>
        <v>0.96369146528715866</v>
      </c>
      <c r="K107" s="200">
        <f t="shared" si="63"/>
        <v>0.61571665050325508</v>
      </c>
      <c r="M107" s="200">
        <f t="shared" ref="M107:Q109" si="64">M25*M13*M30*M41</f>
        <v>1.0642707934165212</v>
      </c>
      <c r="N107" s="200">
        <f t="shared" si="64"/>
        <v>1.0215814660425149</v>
      </c>
      <c r="O107" s="200">
        <f t="shared" si="64"/>
        <v>0.83135292175119202</v>
      </c>
      <c r="P107" s="200">
        <f t="shared" si="64"/>
        <v>0.59158015379695283</v>
      </c>
      <c r="Q107" s="200">
        <f t="shared" si="64"/>
        <v>0.41880250507168026</v>
      </c>
      <c r="S107" s="200">
        <f t="shared" ref="S107:W109" si="65">S25*S13*S30*S41</f>
        <v>1.0642707934165212</v>
      </c>
      <c r="T107" s="200">
        <f t="shared" si="65"/>
        <v>1.0215814660425149</v>
      </c>
      <c r="U107" s="200">
        <f t="shared" si="65"/>
        <v>1.8757400297011264</v>
      </c>
      <c r="V107" s="200">
        <f t="shared" si="65"/>
        <v>0.96369146528715866</v>
      </c>
      <c r="W107" s="200">
        <f t="shared" si="65"/>
        <v>0.61571665050325508</v>
      </c>
    </row>
    <row r="108" spans="1:42">
      <c r="A108" s="199" t="s">
        <v>16</v>
      </c>
      <c r="C108" s="245" t="str">
        <f>C55</f>
        <v>Middle Income</v>
      </c>
      <c r="D108" s="199" t="s">
        <v>173</v>
      </c>
      <c r="E108" s="200">
        <f>E26*E14*E31*E42</f>
        <v>35.426614083406406</v>
      </c>
      <c r="F108" s="200">
        <f t="shared" si="63"/>
        <v>36.962418443201535</v>
      </c>
      <c r="G108" s="200">
        <f t="shared" si="63"/>
        <v>38.213719038209653</v>
      </c>
      <c r="H108" s="200">
        <f t="shared" si="63"/>
        <v>41.623156506282804</v>
      </c>
      <c r="I108" s="200">
        <f t="shared" si="63"/>
        <v>40.769382334366021</v>
      </c>
      <c r="J108" s="200">
        <f t="shared" si="63"/>
        <v>41.312926647802172</v>
      </c>
      <c r="K108" s="200">
        <f t="shared" si="63"/>
        <v>40.350722143753671</v>
      </c>
      <c r="M108" s="200">
        <f t="shared" si="64"/>
        <v>35.426614083406406</v>
      </c>
      <c r="N108" s="200">
        <f t="shared" si="64"/>
        <v>41.623156506282804</v>
      </c>
      <c r="O108" s="200">
        <f t="shared" si="64"/>
        <v>47.551400885687165</v>
      </c>
      <c r="P108" s="200">
        <f t="shared" si="64"/>
        <v>56.201037142004843</v>
      </c>
      <c r="Q108" s="200">
        <f t="shared" si="64"/>
        <v>64.023419175251831</v>
      </c>
      <c r="S108" s="200">
        <f t="shared" si="65"/>
        <v>35.426614083406406</v>
      </c>
      <c r="T108" s="200">
        <f t="shared" si="65"/>
        <v>41.623156506282804</v>
      </c>
      <c r="U108" s="200">
        <f t="shared" si="65"/>
        <v>40.769382334366021</v>
      </c>
      <c r="V108" s="200">
        <f t="shared" si="65"/>
        <v>41.312926647802172</v>
      </c>
      <c r="W108" s="200">
        <f>W26*W14*W31*W42</f>
        <v>40.350722143753671</v>
      </c>
    </row>
    <row r="109" spans="1:42">
      <c r="A109" s="199" t="s">
        <v>16</v>
      </c>
      <c r="C109" s="245" t="str">
        <f>C56</f>
        <v>High Income</v>
      </c>
      <c r="D109" s="199" t="s">
        <v>173</v>
      </c>
      <c r="E109" s="200">
        <f>E27*E15*E32*E43</f>
        <v>49.173846461337455</v>
      </c>
      <c r="F109" s="200">
        <f>F27*F15*F32*F43</f>
        <v>62.776819129884643</v>
      </c>
      <c r="G109" s="200">
        <f>G27*G15*G32*G43</f>
        <v>70.603031233441712</v>
      </c>
      <c r="H109" s="200">
        <f t="shared" si="63"/>
        <v>75.531553442950852</v>
      </c>
      <c r="I109" s="200">
        <f t="shared" si="63"/>
        <v>110.28552935567274</v>
      </c>
      <c r="J109" s="200">
        <f t="shared" si="63"/>
        <v>134.34858427688496</v>
      </c>
      <c r="K109" s="200">
        <f t="shared" si="63"/>
        <v>144.09210379046479</v>
      </c>
      <c r="M109" s="200">
        <f t="shared" si="64"/>
        <v>49.173846461337455</v>
      </c>
      <c r="N109" s="200">
        <f t="shared" si="64"/>
        <v>75.531553442950852</v>
      </c>
      <c r="O109" s="200">
        <f t="shared" si="64"/>
        <v>134.64827265157882</v>
      </c>
      <c r="P109" s="200">
        <f t="shared" si="64"/>
        <v>202.73837856713189</v>
      </c>
      <c r="Q109" s="200">
        <f t="shared" si="64"/>
        <v>264.12541832249633</v>
      </c>
      <c r="S109" s="200">
        <f t="shared" si="65"/>
        <v>49.173846461337455</v>
      </c>
      <c r="T109" s="200">
        <f t="shared" si="65"/>
        <v>75.531553442950852</v>
      </c>
      <c r="U109" s="200">
        <f t="shared" si="65"/>
        <v>110.28552935567274</v>
      </c>
      <c r="V109" s="200">
        <f t="shared" si="65"/>
        <v>134.34858427688496</v>
      </c>
      <c r="W109" s="200">
        <f t="shared" si="65"/>
        <v>144.09210379046479</v>
      </c>
    </row>
    <row r="110" spans="1:42">
      <c r="A110" s="199" t="s">
        <v>16</v>
      </c>
      <c r="C110" s="245" t="str">
        <f>C57</f>
        <v>Other (gov/company/car rental)</v>
      </c>
      <c r="D110" s="199" t="s">
        <v>173</v>
      </c>
      <c r="E110" s="200">
        <f t="shared" ref="E110:K110" si="66">E50</f>
        <v>6.055780527292475</v>
      </c>
      <c r="F110" s="200">
        <f t="shared" si="66"/>
        <v>6.2671270895313897</v>
      </c>
      <c r="G110" s="200">
        <f t="shared" si="66"/>
        <v>6.2106820122726338</v>
      </c>
      <c r="H110" s="200">
        <f t="shared" si="66"/>
        <v>6.2106820122726338</v>
      </c>
      <c r="I110" s="200">
        <f t="shared" si="66"/>
        <v>7.3511224646032183</v>
      </c>
      <c r="J110" s="200">
        <f t="shared" si="66"/>
        <v>8.5935753190040387</v>
      </c>
      <c r="K110" s="200">
        <f t="shared" si="66"/>
        <v>9.7556485708557847</v>
      </c>
      <c r="L110" s="43"/>
      <c r="M110" s="200">
        <f>M50</f>
        <v>6.2671270895313897</v>
      </c>
      <c r="N110" s="200">
        <f>N50</f>
        <v>6.2106820122726338</v>
      </c>
      <c r="O110" s="200">
        <f>O50</f>
        <v>7.7380236469507571</v>
      </c>
      <c r="P110" s="200">
        <f>P50</f>
        <v>9.5219671124698522</v>
      </c>
      <c r="Q110" s="200">
        <f>Q50</f>
        <v>11.378508319995086</v>
      </c>
      <c r="S110" s="200">
        <f>S50</f>
        <v>6.2671270895313897</v>
      </c>
      <c r="T110" s="200">
        <f>T50</f>
        <v>6.2106820122726338</v>
      </c>
      <c r="U110" s="200">
        <f>U50</f>
        <v>7.3511224646032183</v>
      </c>
      <c r="V110" s="200">
        <f>V50</f>
        <v>8.5935753190040387</v>
      </c>
      <c r="W110" s="200">
        <f>W50</f>
        <v>9.7556485708557847</v>
      </c>
    </row>
    <row r="111" spans="1:42">
      <c r="A111" s="199" t="s">
        <v>16</v>
      </c>
      <c r="C111" s="245" t="s">
        <v>5</v>
      </c>
      <c r="D111" s="199" t="s">
        <v>173</v>
      </c>
      <c r="E111" s="200">
        <f t="shared" ref="E111:K111" si="67">SUM(E107:E110)</f>
        <v>91.720511865452849</v>
      </c>
      <c r="F111" s="200">
        <f t="shared" si="67"/>
        <v>107.03036678253338</v>
      </c>
      <c r="G111" s="200">
        <f t="shared" ref="G111" si="68">SUM(G107:G110)</f>
        <v>116.03833150160935</v>
      </c>
      <c r="H111" s="200">
        <f t="shared" si="67"/>
        <v>124.3869734275488</v>
      </c>
      <c r="I111" s="200">
        <f t="shared" si="67"/>
        <v>160.28177418434311</v>
      </c>
      <c r="J111" s="200">
        <f t="shared" si="67"/>
        <v>185.21877770897831</v>
      </c>
      <c r="K111" s="200">
        <f t="shared" si="67"/>
        <v>194.8141911555775</v>
      </c>
      <c r="M111" s="200">
        <f>SUM(M107:M110)</f>
        <v>91.931858427691765</v>
      </c>
      <c r="N111" s="200">
        <f>SUM(N107:N110)</f>
        <v>124.3869734275488</v>
      </c>
      <c r="O111" s="200">
        <f>SUM(O107:O110)</f>
        <v>190.76905010596792</v>
      </c>
      <c r="P111" s="200">
        <f>SUM(P107:P110)</f>
        <v>269.05296297540355</v>
      </c>
      <c r="Q111" s="200">
        <f>SUM(Q107:Q110)</f>
        <v>339.94614832281496</v>
      </c>
      <c r="S111" s="200">
        <f>SUM(S107:S110)</f>
        <v>91.931858427691765</v>
      </c>
      <c r="T111" s="200">
        <f>SUM(T107:T110)</f>
        <v>124.3869734275488</v>
      </c>
      <c r="U111" s="200">
        <f>SUM(U107:U110)</f>
        <v>160.28177418434311</v>
      </c>
      <c r="V111" s="200">
        <f>SUM(V107:V110)</f>
        <v>185.21877770897831</v>
      </c>
      <c r="W111" s="200">
        <f>SUM(W107:W110)</f>
        <v>194.8141911555775</v>
      </c>
    </row>
    <row r="112" spans="1:42">
      <c r="A112" s="199" t="s">
        <v>16</v>
      </c>
      <c r="C112" s="245"/>
      <c r="E112" s="250">
        <f>SUM(E149:E151)</f>
        <v>91.720511865452849</v>
      </c>
      <c r="F112" s="250">
        <f t="shared" ref="F112:G112" si="69">SUM(F149:F151)</f>
        <v>106.07579666239435</v>
      </c>
      <c r="G112" s="250">
        <f t="shared" si="69"/>
        <v>115.00342218220769</v>
      </c>
      <c r="H112" s="250">
        <f>SUM(H149:H151)</f>
        <v>124.3869734275488</v>
      </c>
      <c r="I112" s="249"/>
      <c r="J112" s="249"/>
      <c r="K112" s="249"/>
    </row>
    <row r="113" spans="1:42" ht="15.75" thickBot="1">
      <c r="A113" s="199" t="s">
        <v>16</v>
      </c>
      <c r="C113" s="244" t="s">
        <v>182</v>
      </c>
    </row>
    <row r="114" spans="1:42">
      <c r="A114" s="199" t="s">
        <v>16</v>
      </c>
      <c r="C114" s="39" t="str">
        <f>C93</f>
        <v>Low Income</v>
      </c>
      <c r="E114" s="200"/>
      <c r="F114" s="200"/>
      <c r="G114" s="200"/>
      <c r="H114" s="200"/>
      <c r="I114" s="200"/>
      <c r="J114" s="200"/>
      <c r="K114" s="200"/>
    </row>
    <row r="115" spans="1:42">
      <c r="A115" s="199" t="s">
        <v>16</v>
      </c>
      <c r="C115" s="199" t="s">
        <v>63</v>
      </c>
      <c r="D115" s="199" t="s">
        <v>136</v>
      </c>
      <c r="E115" s="200">
        <f t="shared" ref="E115:K115" si="70">E$64*(1-E$73)*E68*(E75*E78+E93*E94)/1000</f>
        <v>1.269880223872435E-2</v>
      </c>
      <c r="F115" s="200">
        <f t="shared" si="70"/>
        <v>1.2218319334970499E-2</v>
      </c>
      <c r="G115" s="200">
        <f t="shared" si="70"/>
        <v>1.2061976451930523E-2</v>
      </c>
      <c r="H115" s="200">
        <f t="shared" si="70"/>
        <v>2.4378872535578129</v>
      </c>
      <c r="I115" s="200">
        <f t="shared" si="70"/>
        <v>6.943750111763733</v>
      </c>
      <c r="J115" s="200">
        <f t="shared" si="70"/>
        <v>13.976209501592008</v>
      </c>
      <c r="K115" s="200">
        <f t="shared" si="70"/>
        <v>19.688657693353118</v>
      </c>
      <c r="L115" s="259"/>
      <c r="M115" s="200">
        <f>M$64*(1-M$73)*M68*(M75*M78+M93*M94)/1000</f>
        <v>1.269880223872435E-2</v>
      </c>
      <c r="N115" s="200">
        <f>N$64*(1-N$73)*N68*(N75*N78+N93*N94)/1000</f>
        <v>2.4378872535578129</v>
      </c>
      <c r="O115" s="200">
        <f>O$64*(1-O$73)*O68*(O75*O78+O93*O94)/1000</f>
        <v>4.9598215084026673</v>
      </c>
      <c r="P115" s="200">
        <f>P$64*(1-P$73)*P68*(P75*P78+P93*P94)/1000</f>
        <v>7.0586916674707112</v>
      </c>
      <c r="Q115" s="200">
        <f>Q$64*(1-Q$73)*Q68*(Q75*Q78+Q93*Q94)/1000</f>
        <v>7.4956818629516953</v>
      </c>
      <c r="R115" s="258"/>
      <c r="S115" s="200">
        <f>S$64*(1-S$73)*S68*(S75*S78+S93*S94)/1000</f>
        <v>1.269880223872435E-2</v>
      </c>
      <c r="T115" s="200">
        <f>T$64*(1-T$73)*T68*(T75*T78+T93*T94)/1000</f>
        <v>2.4378872535578129</v>
      </c>
      <c r="U115" s="200">
        <f>U$64*(1-U$73)*U68*(U75*U78+U93*U94)/1000</f>
        <v>6.943750111763733</v>
      </c>
      <c r="V115" s="200">
        <f>V$64*(1-V$73)*V68*(V75*V78+V93*V94)/1000</f>
        <v>13.976209501592008</v>
      </c>
      <c r="W115" s="200">
        <f>W$64*(1-W$73)*W68*(W75*W78+W93*W94)/1000</f>
        <v>19.688657693353118</v>
      </c>
      <c r="X115" s="258"/>
      <c r="Y115" s="258"/>
      <c r="Z115" s="258"/>
      <c r="AA115" s="258"/>
      <c r="AB115" s="258"/>
      <c r="AC115" s="258"/>
      <c r="AD115" s="258"/>
      <c r="AE115" s="258"/>
      <c r="AF115" s="258"/>
      <c r="AG115" s="258"/>
      <c r="AH115" s="258"/>
      <c r="AI115" s="258"/>
      <c r="AJ115" s="258"/>
      <c r="AK115" s="258"/>
      <c r="AL115" s="258"/>
      <c r="AM115" s="258"/>
      <c r="AN115" s="258"/>
      <c r="AO115" s="258"/>
      <c r="AP115" s="258"/>
    </row>
    <row r="116" spans="1:42">
      <c r="A116" s="199" t="s">
        <v>16</v>
      </c>
      <c r="C116" s="199" t="s">
        <v>82</v>
      </c>
      <c r="D116" s="199" t="s">
        <v>136</v>
      </c>
      <c r="E116" s="200">
        <f t="shared" ref="E116:K116" si="71">E$64*(1-E$73)*E69*(E75*E79+E93*E95)/1000</f>
        <v>0</v>
      </c>
      <c r="F116" s="200">
        <f t="shared" si="71"/>
        <v>0</v>
      </c>
      <c r="G116" s="200">
        <f t="shared" si="71"/>
        <v>0</v>
      </c>
      <c r="H116" s="200">
        <f t="shared" si="71"/>
        <v>0</v>
      </c>
      <c r="I116" s="200">
        <f t="shared" si="71"/>
        <v>0</v>
      </c>
      <c r="J116" s="200">
        <f t="shared" si="71"/>
        <v>0</v>
      </c>
      <c r="K116" s="200">
        <f t="shared" si="71"/>
        <v>0</v>
      </c>
      <c r="L116" s="259"/>
      <c r="M116" s="200">
        <f>M$64*(1-M$73)*M69*(M75*M79+M93*M95)/1000</f>
        <v>0</v>
      </c>
      <c r="N116" s="200">
        <f>N$64*(1-N$73)*N69*(N75*N79+N93*N95)/1000</f>
        <v>0</v>
      </c>
      <c r="O116" s="200">
        <f>O$64*(1-O$73)*O69*(O75*O79+O93*O95)/1000</f>
        <v>0</v>
      </c>
      <c r="P116" s="200">
        <f>P$64*(1-P$73)*P69*(P75*P79+P93*P95)/1000</f>
        <v>0</v>
      </c>
      <c r="Q116" s="200">
        <f>Q$64*(1-Q$73)*Q69*(Q75*Q79+Q93*Q95)/1000</f>
        <v>0</v>
      </c>
      <c r="R116" s="258"/>
      <c r="S116" s="200">
        <f>S$64*(1-S$73)*S69*(S75*S79+S93*S95)/1000</f>
        <v>0</v>
      </c>
      <c r="T116" s="200">
        <f>T$64*(1-T$73)*T69*(T75*T79+T93*T95)/1000</f>
        <v>0</v>
      </c>
      <c r="U116" s="200">
        <f>U$64*(1-U$73)*U69*(U75*U79+U93*U95)/1000</f>
        <v>0</v>
      </c>
      <c r="V116" s="200">
        <f>V$64*(1-V$73)*V69*(V75*V79+V93*V95)/1000</f>
        <v>0</v>
      </c>
      <c r="W116" s="200">
        <f>W$64*(1-W$73)*W69*(W75*W79+W93*W95)/1000</f>
        <v>0</v>
      </c>
      <c r="X116" s="258"/>
      <c r="Y116" s="258"/>
      <c r="Z116" s="258"/>
      <c r="AA116" s="258"/>
      <c r="AB116" s="258"/>
      <c r="AC116" s="258"/>
      <c r="AD116" s="258"/>
      <c r="AE116" s="258"/>
      <c r="AF116" s="258"/>
      <c r="AG116" s="258"/>
      <c r="AH116" s="258"/>
      <c r="AI116" s="258"/>
      <c r="AJ116" s="258"/>
      <c r="AK116" s="258"/>
      <c r="AL116" s="258"/>
      <c r="AM116" s="258"/>
      <c r="AN116" s="258"/>
      <c r="AO116" s="258"/>
      <c r="AP116" s="258"/>
    </row>
    <row r="117" spans="1:42">
      <c r="A117" s="199" t="s">
        <v>16</v>
      </c>
      <c r="C117" s="199" t="s">
        <v>81</v>
      </c>
      <c r="D117" s="199" t="s">
        <v>136</v>
      </c>
      <c r="E117" s="200">
        <f t="shared" ref="E117:K117" si="72">E$64*(1-E$73)*E70*(E75*E80+E93*E96)/1000</f>
        <v>84.615759639928768</v>
      </c>
      <c r="F117" s="200">
        <f t="shared" si="72"/>
        <v>81.033283590965297</v>
      </c>
      <c r="G117" s="200">
        <f t="shared" si="72"/>
        <v>79.996399807567428</v>
      </c>
      <c r="H117" s="200">
        <f t="shared" si="72"/>
        <v>79.2245959259469</v>
      </c>
      <c r="I117" s="200">
        <f t="shared" si="72"/>
        <v>60.743371817557176</v>
      </c>
      <c r="J117" s="200">
        <f t="shared" si="72"/>
        <v>37.350823660763858</v>
      </c>
      <c r="K117" s="200">
        <f t="shared" si="72"/>
        <v>19.93941811513</v>
      </c>
      <c r="L117" s="259"/>
      <c r="M117" s="200">
        <f>M$64*(1-M$73)*M70*(M75*M80+M93*M96)/1000</f>
        <v>84.219900860744673</v>
      </c>
      <c r="N117" s="200">
        <f>N$64*(1-N$73)*N70*(N75*N80+N93*N96)/1000</f>
        <v>79.2245959259469</v>
      </c>
      <c r="O117" s="200">
        <f>O$64*(1-O$73)*O70*(O75*O80+O93*O96)/1000</f>
        <v>62.488266211156557</v>
      </c>
      <c r="P117" s="200">
        <f>P$64*(1-P$73)*P70*(P75*P80+P93*P96)/1000</f>
        <v>42.112957372490534</v>
      </c>
      <c r="Q117" s="200">
        <f>Q$64*(1-Q$73)*Q70*(Q75*Q80+Q93*Q96)/1000</f>
        <v>28.147686641861416</v>
      </c>
      <c r="R117" s="258"/>
      <c r="S117" s="200">
        <f>S$64*(1-S$73)*S70*(S75*S80+S93*S96)/1000</f>
        <v>84.219900860744673</v>
      </c>
      <c r="T117" s="200">
        <f>T$64*(1-T$73)*T70*(T75*T80+T93*T96)/1000</f>
        <v>79.2245959259469</v>
      </c>
      <c r="U117" s="200">
        <f>U$64*(1-U$73)*U70*(U75*U80+U93*U96)/1000</f>
        <v>60.743371817557176</v>
      </c>
      <c r="V117" s="200">
        <f>V$64*(1-V$73)*V70*(V75*V80+V93*V96)/1000</f>
        <v>37.350823660763858</v>
      </c>
      <c r="W117" s="200">
        <f>W$64*(1-W$73)*W70*(W75*W80+W93*W96)/1000</f>
        <v>19.93941811513</v>
      </c>
      <c r="X117" s="258"/>
      <c r="Y117" s="258"/>
      <c r="Z117" s="258"/>
      <c r="AA117" s="258"/>
      <c r="AB117" s="258"/>
      <c r="AC117" s="258"/>
      <c r="AD117" s="258"/>
      <c r="AE117" s="258"/>
      <c r="AF117" s="258"/>
      <c r="AG117" s="258"/>
      <c r="AH117" s="258"/>
      <c r="AI117" s="258"/>
      <c r="AJ117" s="258"/>
      <c r="AK117" s="258"/>
      <c r="AL117" s="258"/>
      <c r="AM117" s="258"/>
      <c r="AN117" s="258"/>
      <c r="AO117" s="258"/>
      <c r="AP117" s="258"/>
    </row>
    <row r="118" spans="1:42">
      <c r="A118" s="199" t="s">
        <v>16</v>
      </c>
      <c r="C118" s="39" t="str">
        <f>C97</f>
        <v>Middle Income</v>
      </c>
      <c r="E118" s="200"/>
      <c r="F118" s="200"/>
      <c r="G118" s="200"/>
      <c r="H118" s="200"/>
      <c r="I118" s="200"/>
      <c r="J118" s="200"/>
      <c r="K118" s="200"/>
      <c r="M118" s="200"/>
      <c r="N118" s="200"/>
      <c r="O118" s="200"/>
      <c r="P118" s="200"/>
      <c r="Q118" s="200"/>
      <c r="S118" s="200"/>
      <c r="T118" s="200"/>
      <c r="U118" s="200"/>
      <c r="V118" s="200"/>
      <c r="W118" s="200"/>
    </row>
    <row r="119" spans="1:42">
      <c r="A119" s="199" t="s">
        <v>16</v>
      </c>
      <c r="C119" s="199" t="str">
        <f>C115</f>
        <v>BRT</v>
      </c>
      <c r="D119" s="199" t="s">
        <v>136</v>
      </c>
      <c r="E119" s="200">
        <f t="shared" ref="E119:K119" si="73">E$64*(1-E$73)*E68*(E81*E83+E97*E98)/1000</f>
        <v>0.40382191119143435</v>
      </c>
      <c r="F119" s="200">
        <f t="shared" si="73"/>
        <v>0.42132828225835206</v>
      </c>
      <c r="G119" s="200">
        <f t="shared" si="73"/>
        <v>0.43559164359910846</v>
      </c>
      <c r="H119" s="200">
        <f t="shared" si="73"/>
        <v>1.7903971238583622</v>
      </c>
      <c r="I119" s="200">
        <f t="shared" si="73"/>
        <v>7.1588905033936578</v>
      </c>
      <c r="J119" s="200">
        <f t="shared" si="73"/>
        <v>21.28374135887335</v>
      </c>
      <c r="K119" s="200">
        <f t="shared" si="73"/>
        <v>45.693060176123744</v>
      </c>
      <c r="L119" s="259"/>
      <c r="M119" s="200">
        <f>M$64*(1-M$73)*M68*(M81*M83+M97*M98)/1000</f>
        <v>0.40382191119143435</v>
      </c>
      <c r="N119" s="200">
        <f>N$64*(1-N$73)*N68*(N81*N83+N97*N98)/1000</f>
        <v>1.7903971238583622</v>
      </c>
      <c r="O119" s="200">
        <f>O$64*(1-O$73)*O68*(O81*O83+O97*O98)/1000</f>
        <v>5.113493216709756</v>
      </c>
      <c r="P119" s="200">
        <f>P$64*(1-P$73)*P68*(P81*P83+P97*P98)/1000</f>
        <v>12.087283101861106</v>
      </c>
      <c r="Q119" s="200">
        <f>Q$64*(1-Q$73)*Q68*(Q81*Q83+Q97*Q98)/1000</f>
        <v>20.654490523859007</v>
      </c>
      <c r="R119" s="258"/>
      <c r="S119" s="200">
        <f>S$64*(1-S$73)*S68*(S81*S83+S97*S98)/1000</f>
        <v>0.40382191119143435</v>
      </c>
      <c r="T119" s="200">
        <f>T$64*(1-T$73)*T68*(T81*T83+T97*T98)/1000</f>
        <v>1.7903971238583622</v>
      </c>
      <c r="U119" s="200">
        <f>U$64*(1-U$73)*U68*(U81*U83+U97*U98)/1000</f>
        <v>7.1588905033936578</v>
      </c>
      <c r="V119" s="200">
        <f>V$64*(1-V$73)*V68*(V81*V83+V97*V98)/1000</f>
        <v>21.28374135887335</v>
      </c>
      <c r="W119" s="200">
        <f>W$64*(1-W$73)*W68*(W81*W83+W97*W98)/1000</f>
        <v>45.693060176123744</v>
      </c>
      <c r="X119" s="258"/>
      <c r="Y119" s="258"/>
      <c r="Z119" s="258"/>
      <c r="AA119" s="258"/>
      <c r="AB119" s="258"/>
      <c r="AC119" s="258"/>
      <c r="AD119" s="258"/>
      <c r="AE119" s="258"/>
      <c r="AF119" s="258"/>
      <c r="AG119" s="258"/>
      <c r="AH119" s="258"/>
      <c r="AI119" s="258"/>
      <c r="AJ119" s="258"/>
      <c r="AK119" s="258"/>
      <c r="AL119" s="258"/>
      <c r="AM119" s="258"/>
      <c r="AN119" s="258"/>
      <c r="AO119" s="258"/>
      <c r="AP119" s="258"/>
    </row>
    <row r="120" spans="1:42">
      <c r="A120" s="199" t="s">
        <v>16</v>
      </c>
      <c r="C120" s="199" t="str">
        <f>C116</f>
        <v>Gautrain</v>
      </c>
      <c r="D120" s="199" t="s">
        <v>136</v>
      </c>
      <c r="E120" s="200">
        <f t="shared" ref="E120:K120" si="74">E$64*(1-E$73)*E69*(E81*E84+E97*E99)/1000</f>
        <v>0.20318083581958962</v>
      </c>
      <c r="F120" s="200">
        <f t="shared" si="74"/>
        <v>0.21198907283439095</v>
      </c>
      <c r="G120" s="200">
        <f t="shared" si="74"/>
        <v>0.2191656068423187</v>
      </c>
      <c r="H120" s="200">
        <f t="shared" si="74"/>
        <v>0.23871961651444823</v>
      </c>
      <c r="I120" s="200">
        <f t="shared" si="74"/>
        <v>1.3635981911226016</v>
      </c>
      <c r="J120" s="200">
        <f t="shared" si="74"/>
        <v>3.2232754938296284</v>
      </c>
      <c r="K120" s="200">
        <f t="shared" si="74"/>
        <v>5.5078641396957346</v>
      </c>
      <c r="L120" s="259"/>
      <c r="M120" s="200">
        <f>M$64*(1-M$73)*M69*(M81*M84+M97*M99)/1000</f>
        <v>0.20318083581958962</v>
      </c>
      <c r="N120" s="200">
        <f>N$64*(1-N$73)*N69*(N81*N84+N97*N99)/1000</f>
        <v>0.23871961651444823</v>
      </c>
      <c r="O120" s="200">
        <f>O$64*(1-O$73)*O69*(O81*O84+O97*O99)/1000</f>
        <v>0.27271963822452033</v>
      </c>
      <c r="P120" s="200">
        <f>P$64*(1-P$73)*P69*(P81*P84+P97*P99)/1000</f>
        <v>0.32232754938296276</v>
      </c>
      <c r="Q120" s="200">
        <f>Q$64*(1-Q$73)*Q69*(Q81*Q84+Q97*Q99)/1000</f>
        <v>0.36719094264638236</v>
      </c>
      <c r="R120" s="258"/>
      <c r="S120" s="200">
        <f>S$64*(1-S$73)*S69*(S81*S84+S97*S99)/1000</f>
        <v>0.20318083581958962</v>
      </c>
      <c r="T120" s="200">
        <f>T$64*(1-T$73)*T69*(T81*T84+T97*T99)/1000</f>
        <v>0.23871961651444823</v>
      </c>
      <c r="U120" s="200">
        <f>U$64*(1-U$73)*U69*(U81*U84+U97*U99)/1000</f>
        <v>1.3635981911226016</v>
      </c>
      <c r="V120" s="200">
        <f>V$64*(1-V$73)*V69*(V81*V84+V97*V99)/1000</f>
        <v>3.2232754938296284</v>
      </c>
      <c r="W120" s="200">
        <f>W$64*(1-W$73)*W69*(W81*W84+W97*W99)/1000</f>
        <v>5.5078641396957346</v>
      </c>
      <c r="X120" s="258"/>
      <c r="Y120" s="258"/>
      <c r="Z120" s="258"/>
      <c r="AA120" s="258"/>
      <c r="AB120" s="258"/>
      <c r="AC120" s="258"/>
      <c r="AD120" s="258"/>
      <c r="AE120" s="258"/>
      <c r="AF120" s="258"/>
      <c r="AG120" s="258"/>
      <c r="AH120" s="258"/>
      <c r="AI120" s="258"/>
      <c r="AJ120" s="258"/>
      <c r="AK120" s="258"/>
      <c r="AL120" s="258"/>
      <c r="AM120" s="258"/>
      <c r="AN120" s="258"/>
      <c r="AO120" s="258"/>
      <c r="AP120" s="258"/>
    </row>
    <row r="121" spans="1:42">
      <c r="A121" s="199" t="s">
        <v>16</v>
      </c>
      <c r="C121" s="199" t="str">
        <f>C117</f>
        <v>Bus, minibus, metro rail</v>
      </c>
      <c r="D121" s="199" t="s">
        <v>136</v>
      </c>
      <c r="E121" s="200">
        <f t="shared" ref="E121:K121" si="75">E$64*(1-E$73)*E70*(E81*E85+E97*E100)/1000</f>
        <v>36.100419220280685</v>
      </c>
      <c r="F121" s="200">
        <f t="shared" si="75"/>
        <v>37.665434186102885</v>
      </c>
      <c r="G121" s="200">
        <f t="shared" si="75"/>
        <v>38.940534198314836</v>
      </c>
      <c r="H121" s="200">
        <f t="shared" si="75"/>
        <v>41.537523704122876</v>
      </c>
      <c r="I121" s="200">
        <f t="shared" si="75"/>
        <v>46.241299367192276</v>
      </c>
      <c r="J121" s="200">
        <f t="shared" si="75"/>
        <v>48.077100888597464</v>
      </c>
      <c r="K121" s="200">
        <f t="shared" si="75"/>
        <v>42.266822237402245</v>
      </c>
      <c r="L121" s="259"/>
      <c r="M121" s="200">
        <f>M$64*(1-M$73)*M70*(M81*M85+M97*M100)/1000</f>
        <v>36.100419220280685</v>
      </c>
      <c r="N121" s="200">
        <f>N$64*(1-N$73)*N70*(N81*N85+N97*N100)/1000</f>
        <v>41.537523704122876</v>
      </c>
      <c r="O121" s="200">
        <f>O$64*(1-O$73)*O70*(O81*O85+O97*O100)/1000</f>
        <v>45.40817440856555</v>
      </c>
      <c r="P121" s="200">
        <f>P$64*(1-P$73)*P70*(P81*P85+P97*P100)/1000</f>
        <v>49.638861759207813</v>
      </c>
      <c r="Q121" s="200">
        <f>Q$64*(1-Q$73)*Q70*(Q81*Q85+Q97*Q100)/1000</f>
        <v>51.957995878979752</v>
      </c>
      <c r="R121" s="258"/>
      <c r="S121" s="200">
        <f>S$64*(1-S$73)*S70*(S81*S85+S97*S100)/1000</f>
        <v>36.100419220280685</v>
      </c>
      <c r="T121" s="200">
        <f>T$64*(1-T$73)*T70*(T81*T85+T97*T100)/1000</f>
        <v>41.537523704122876</v>
      </c>
      <c r="U121" s="200">
        <f>U$64*(1-U$73)*U70*(U81*U85+U97*U100)/1000</f>
        <v>46.241299367192276</v>
      </c>
      <c r="V121" s="200">
        <f>V$64*(1-V$73)*V70*(V81*V85+V97*V100)/1000</f>
        <v>48.077100888597464</v>
      </c>
      <c r="W121" s="200">
        <f>W$64*(1-W$73)*W70*(W81*W85+W97*W100)/1000</f>
        <v>42.266822237402245</v>
      </c>
      <c r="X121" s="258"/>
      <c r="Y121" s="258"/>
      <c r="Z121" s="258"/>
      <c r="AA121" s="258"/>
      <c r="AB121" s="258"/>
      <c r="AC121" s="258"/>
      <c r="AD121" s="258"/>
      <c r="AE121" s="258"/>
      <c r="AF121" s="258"/>
      <c r="AG121" s="258"/>
      <c r="AH121" s="258"/>
      <c r="AI121" s="258"/>
      <c r="AJ121" s="258"/>
      <c r="AK121" s="258"/>
      <c r="AL121" s="258"/>
      <c r="AM121" s="258"/>
      <c r="AN121" s="258"/>
      <c r="AO121" s="258"/>
      <c r="AP121" s="258"/>
    </row>
    <row r="122" spans="1:42">
      <c r="A122" s="199" t="s">
        <v>16</v>
      </c>
      <c r="C122" s="39" t="str">
        <f>C101</f>
        <v>High Income</v>
      </c>
      <c r="E122" s="200"/>
      <c r="F122" s="200"/>
      <c r="G122" s="200"/>
      <c r="H122" s="200"/>
      <c r="I122" s="200"/>
      <c r="J122" s="200"/>
      <c r="K122" s="200"/>
      <c r="M122" s="200"/>
      <c r="N122" s="200"/>
      <c r="O122" s="200"/>
      <c r="P122" s="200"/>
      <c r="Q122" s="200"/>
      <c r="S122" s="200"/>
      <c r="T122" s="200"/>
      <c r="U122" s="200"/>
      <c r="V122" s="200"/>
      <c r="W122" s="200"/>
    </row>
    <row r="123" spans="1:42">
      <c r="A123" s="199" t="s">
        <v>16</v>
      </c>
      <c r="C123" s="199" t="str">
        <f>C119</f>
        <v>BRT</v>
      </c>
      <c r="D123" s="199" t="s">
        <v>136</v>
      </c>
      <c r="E123" s="200">
        <f t="shared" ref="E123:K123" si="76">E$64*(1-E$73)*E68*(E86*E88+E101*E102)/1000</f>
        <v>0.10994505436606804</v>
      </c>
      <c r="F123" s="200">
        <f t="shared" si="76"/>
        <v>0.14035918051663154</v>
      </c>
      <c r="G123" s="200">
        <f t="shared" si="76"/>
        <v>0.15741704510528098</v>
      </c>
      <c r="H123" s="200">
        <f t="shared" si="76"/>
        <v>1.4524502225088241</v>
      </c>
      <c r="I123" s="200">
        <f t="shared" si="76"/>
        <v>4.5812357136608934</v>
      </c>
      <c r="J123" s="200">
        <f t="shared" si="76"/>
        <v>13.603956724317934</v>
      </c>
      <c r="K123" s="200">
        <f t="shared" si="76"/>
        <v>32.436768141242716</v>
      </c>
      <c r="L123" s="259"/>
      <c r="M123" s="200">
        <f>M$64*(1-M$73)*M68*(M86*M88+M101*M102)/1000</f>
        <v>0.10994505436606804</v>
      </c>
      <c r="N123" s="200">
        <f>N$64*(1-N$73)*N68*(N86*N88+N101*N102)/1000</f>
        <v>1.4524502225088241</v>
      </c>
      <c r="O123" s="200">
        <f>O$64*(1-O$73)*O68*(O86*O88+O101*O102)/1000</f>
        <v>3.4321699505700454</v>
      </c>
      <c r="P123" s="200">
        <f>P$64*(1-P$73)*P68*(P86*P88+P101*P102)/1000</f>
        <v>5.0884502945456198</v>
      </c>
      <c r="Q123" s="200">
        <f>Q$64*(1-Q$73)*Q68*(Q86*Q88+Q101*Q102)/1000</f>
        <v>6.5563909209841924</v>
      </c>
      <c r="R123" s="258"/>
      <c r="S123" s="200">
        <f>S$64*(1-S$73)*S68*(S86*S88+S101*S102)/1000</f>
        <v>0.10994505436606804</v>
      </c>
      <c r="T123" s="200">
        <f>T$64*(1-T$73)*T68*(T86*T88+T101*T102)/1000</f>
        <v>1.4524502225088241</v>
      </c>
      <c r="U123" s="200">
        <f>U$64*(1-U$73)*U68*(U86*U88+U101*U102)/1000</f>
        <v>4.5812357136608934</v>
      </c>
      <c r="V123" s="200">
        <f>V$64*(1-V$73)*V68*(V86*V88+V101*V102)/1000</f>
        <v>13.603956724317934</v>
      </c>
      <c r="W123" s="200">
        <f>W$64*(1-W$73)*W68*(W86*W88+W101*W102)/1000</f>
        <v>32.436768141242716</v>
      </c>
      <c r="X123" s="258"/>
      <c r="Y123" s="258"/>
      <c r="Z123" s="258"/>
      <c r="AA123" s="258"/>
      <c r="AB123" s="258"/>
      <c r="AC123" s="258"/>
      <c r="AD123" s="258"/>
      <c r="AE123" s="258"/>
      <c r="AF123" s="258"/>
      <c r="AG123" s="258"/>
      <c r="AH123" s="258"/>
      <c r="AI123" s="258"/>
      <c r="AJ123" s="258"/>
      <c r="AK123" s="258"/>
      <c r="AL123" s="258"/>
      <c r="AM123" s="258"/>
      <c r="AN123" s="258"/>
      <c r="AO123" s="258"/>
      <c r="AP123" s="258"/>
    </row>
    <row r="124" spans="1:42">
      <c r="A124" s="199" t="s">
        <v>16</v>
      </c>
      <c r="C124" s="199" t="str">
        <f>C120</f>
        <v>Gautrain</v>
      </c>
      <c r="D124" s="199" t="s">
        <v>136</v>
      </c>
      <c r="E124" s="200">
        <f t="shared" ref="E124:K124" si="77">E$64*(1-E$73)*E69*(E86*E89+E101*E103)/1000</f>
        <v>0.31608135287836181</v>
      </c>
      <c r="F124" s="200">
        <f t="shared" si="77"/>
        <v>0.40351901158627551</v>
      </c>
      <c r="G124" s="200">
        <f t="shared" si="77"/>
        <v>0.45255871553188765</v>
      </c>
      <c r="H124" s="200">
        <f t="shared" si="77"/>
        <v>0.48415007416960804</v>
      </c>
      <c r="I124" s="200">
        <f t="shared" si="77"/>
        <v>1.5254088669200205</v>
      </c>
      <c r="J124" s="200">
        <f t="shared" si="77"/>
        <v>6.014620586157271</v>
      </c>
      <c r="K124" s="200">
        <f t="shared" si="77"/>
        <v>11.599792668503571</v>
      </c>
      <c r="L124" s="259"/>
      <c r="M124" s="200">
        <f>M$64*(1-M$73)*M69*(M86*M89+M101*M103)/1000</f>
        <v>0.31608135287836181</v>
      </c>
      <c r="N124" s="200">
        <f>N$64*(1-N$73)*N69*(N86*N89+N101*N103)/1000</f>
        <v>0.48415007416960804</v>
      </c>
      <c r="O124" s="200">
        <f>O$64*(1-O$73)*O69*(O86*O89+O101*O103)/1000</f>
        <v>0.76270443346001016</v>
      </c>
      <c r="P124" s="200">
        <f>P$64*(1-P$73)*P69*(P86*P89+P101*P103)/1000</f>
        <v>1.0024367643595451</v>
      </c>
      <c r="Q124" s="200">
        <f>Q$64*(1-Q$73)*Q69*(Q86*Q89+Q101*Q103)/1000</f>
        <v>1.159979266850357</v>
      </c>
      <c r="R124" s="258"/>
      <c r="S124" s="200">
        <f>S$64*(1-S$73)*S69*(S86*S89+S101*S103)/1000</f>
        <v>0.31608135287836181</v>
      </c>
      <c r="T124" s="200">
        <f>T$64*(1-T$73)*T69*(T86*T89+T101*T103)/1000</f>
        <v>0.48415007416960804</v>
      </c>
      <c r="U124" s="200">
        <f>U$64*(1-U$73)*U69*(U86*U89+U101*U103)/1000</f>
        <v>1.5254088669200205</v>
      </c>
      <c r="V124" s="200">
        <f>V$64*(1-V$73)*V69*(V86*V89+V101*V103)/1000</f>
        <v>6.014620586157271</v>
      </c>
      <c r="W124" s="200">
        <f>W$64*(1-W$73)*W69*(W86*W89+W101*W103)/1000</f>
        <v>11.599792668503571</v>
      </c>
      <c r="X124" s="258"/>
      <c r="Y124" s="258"/>
      <c r="Z124" s="258"/>
      <c r="AA124" s="258"/>
      <c r="AB124" s="258"/>
      <c r="AC124" s="258"/>
      <c r="AD124" s="258"/>
      <c r="AE124" s="258"/>
      <c r="AF124" s="258"/>
      <c r="AG124" s="258"/>
      <c r="AH124" s="258"/>
      <c r="AI124" s="258"/>
      <c r="AJ124" s="258"/>
      <c r="AK124" s="258"/>
      <c r="AL124" s="258"/>
      <c r="AM124" s="258"/>
      <c r="AN124" s="258"/>
      <c r="AO124" s="258"/>
      <c r="AP124" s="258"/>
    </row>
    <row r="125" spans="1:42">
      <c r="A125" s="199" t="s">
        <v>16</v>
      </c>
      <c r="C125" s="199" t="str">
        <f>C121</f>
        <v>Bus, minibus, metro rail</v>
      </c>
      <c r="D125" s="199" t="s">
        <v>136</v>
      </c>
      <c r="E125" s="200">
        <f t="shared" ref="E125:K125" si="78">E$64*(1-E$73)*E70*(E86*E90+E101*E104)/1000</f>
        <v>11.494417301954476</v>
      </c>
      <c r="F125" s="200">
        <f t="shared" si="78"/>
        <v>14.674120653456541</v>
      </c>
      <c r="G125" s="200">
        <f t="shared" si="78"/>
        <v>16.377839795492896</v>
      </c>
      <c r="H125" s="200">
        <f t="shared" si="78"/>
        <v>16.665083234976514</v>
      </c>
      <c r="I125" s="200">
        <f t="shared" si="78"/>
        <v>27.86201475151573</v>
      </c>
      <c r="J125" s="200">
        <f t="shared" si="78"/>
        <v>33.846119151626915</v>
      </c>
      <c r="K125" s="200">
        <f t="shared" si="78"/>
        <v>30.312994500149092</v>
      </c>
      <c r="L125" s="259"/>
      <c r="M125" s="200">
        <f>M$64*(1-M$73)*M70*(M86*M90+M101*M104)/1000</f>
        <v>11.494417301954476</v>
      </c>
      <c r="N125" s="200">
        <f>N$64*(1-N$73)*N70*(N86*N90+N101*N104)/1000</f>
        <v>16.665083234976514</v>
      </c>
      <c r="O125" s="200">
        <f>O$64*(1-O$73)*O70*(O86*O90+O101*O104)/1000</f>
        <v>19.158862812006362</v>
      </c>
      <c r="P125" s="200">
        <f>P$64*(1-P$73)*P70*(P86*P90+P101*P104)/1000</f>
        <v>14.377282105416926</v>
      </c>
      <c r="Q125" s="200">
        <f>Q$64*(1-Q$73)*Q70*(Q86*Q90+Q101*Q104)/1000</f>
        <v>4.2536130193659583</v>
      </c>
      <c r="R125" s="258"/>
      <c r="S125" s="200">
        <f>S$64*(1-S$73)*S70*(S86*S90+S101*S104)/1000</f>
        <v>11.494417301954476</v>
      </c>
      <c r="T125" s="200">
        <f>T$64*(1-T$73)*T70*(T86*T90+T101*T104)/1000</f>
        <v>16.665083234976514</v>
      </c>
      <c r="U125" s="200">
        <f>U$64*(1-U$73)*U70*(U86*U90+U101*U104)/1000</f>
        <v>27.86201475151573</v>
      </c>
      <c r="V125" s="200">
        <f>V$64*(1-V$73)*V70*(V86*V90+V101*V104)/1000</f>
        <v>33.846119151626915</v>
      </c>
      <c r="W125" s="200">
        <f>W$64*(1-W$73)*W70*(W86*W90+W101*W104)/1000</f>
        <v>30.312994500149092</v>
      </c>
      <c r="X125" s="258"/>
      <c r="Y125" s="258"/>
      <c r="Z125" s="258"/>
      <c r="AA125" s="258"/>
      <c r="AB125" s="258"/>
      <c r="AC125" s="258"/>
      <c r="AD125" s="258"/>
      <c r="AE125" s="258"/>
      <c r="AF125" s="258"/>
      <c r="AG125" s="258"/>
      <c r="AH125" s="258"/>
      <c r="AI125" s="258"/>
      <c r="AJ125" s="258"/>
      <c r="AK125" s="258"/>
      <c r="AL125" s="258"/>
      <c r="AM125" s="258"/>
      <c r="AN125" s="258"/>
      <c r="AO125" s="258"/>
      <c r="AP125" s="258"/>
    </row>
    <row r="126" spans="1:42">
      <c r="A126" s="199" t="s">
        <v>16</v>
      </c>
      <c r="C126" s="39" t="s">
        <v>5</v>
      </c>
      <c r="E126" s="200"/>
      <c r="F126" s="200"/>
      <c r="G126" s="200"/>
      <c r="H126" s="200"/>
      <c r="I126" s="200"/>
      <c r="J126" s="200"/>
      <c r="K126" s="200"/>
      <c r="M126" s="200"/>
      <c r="N126" s="200"/>
      <c r="O126" s="200"/>
      <c r="P126" s="200"/>
      <c r="Q126" s="200"/>
      <c r="S126" s="200"/>
      <c r="T126" s="200"/>
      <c r="U126" s="200"/>
      <c r="V126" s="200"/>
      <c r="W126" s="200"/>
    </row>
    <row r="127" spans="1:42">
      <c r="A127" s="199" t="s">
        <v>16</v>
      </c>
      <c r="C127" s="199" t="str">
        <f>C123</f>
        <v>BRT</v>
      </c>
      <c r="D127" s="199" t="s">
        <v>136</v>
      </c>
      <c r="E127" s="200">
        <f t="shared" ref="E127:K129" si="79">E115+E119+E123</f>
        <v>0.52646576779622667</v>
      </c>
      <c r="F127" s="200">
        <f t="shared" si="79"/>
        <v>0.57390578210995402</v>
      </c>
      <c r="G127" s="200">
        <f t="shared" si="79"/>
        <v>0.60507066515632002</v>
      </c>
      <c r="H127" s="200">
        <f t="shared" si="79"/>
        <v>5.6807345999249996</v>
      </c>
      <c r="I127" s="200">
        <f t="shared" si="79"/>
        <v>18.683876328818286</v>
      </c>
      <c r="J127" s="200">
        <f t="shared" si="79"/>
        <v>48.863907584783291</v>
      </c>
      <c r="K127" s="200">
        <f t="shared" si="79"/>
        <v>97.818486010719568</v>
      </c>
      <c r="L127" s="259"/>
      <c r="M127" s="200">
        <f t="shared" ref="M127:Q129" si="80">M115+M119+M123</f>
        <v>0.52646576779622667</v>
      </c>
      <c r="N127" s="200">
        <f>N115+N119+N123</f>
        <v>5.6807345999249996</v>
      </c>
      <c r="O127" s="200">
        <f t="shared" si="80"/>
        <v>13.505484675682469</v>
      </c>
      <c r="P127" s="200">
        <f t="shared" si="80"/>
        <v>24.234425063877435</v>
      </c>
      <c r="Q127" s="200">
        <f t="shared" si="80"/>
        <v>34.706563307794895</v>
      </c>
      <c r="R127" s="258"/>
      <c r="S127" s="200">
        <f t="shared" ref="S127:W129" si="81">S115+S119+S123</f>
        <v>0.52646576779622667</v>
      </c>
      <c r="T127" s="200">
        <f t="shared" si="81"/>
        <v>5.6807345999249996</v>
      </c>
      <c r="U127" s="200">
        <f t="shared" si="81"/>
        <v>18.683876328818286</v>
      </c>
      <c r="V127" s="200">
        <f t="shared" si="81"/>
        <v>48.863907584783291</v>
      </c>
      <c r="W127" s="200">
        <f t="shared" si="81"/>
        <v>97.818486010719568</v>
      </c>
      <c r="X127" s="258"/>
      <c r="Y127" s="258"/>
      <c r="Z127" s="258"/>
      <c r="AA127" s="258"/>
      <c r="AB127" s="258"/>
      <c r="AC127" s="258"/>
      <c r="AD127" s="258"/>
      <c r="AE127" s="258"/>
      <c r="AF127" s="258"/>
      <c r="AG127" s="258"/>
      <c r="AH127" s="258"/>
      <c r="AI127" s="258"/>
      <c r="AJ127" s="258"/>
      <c r="AK127" s="258"/>
      <c r="AL127" s="258"/>
      <c r="AM127" s="258"/>
      <c r="AN127" s="258"/>
      <c r="AO127" s="258"/>
      <c r="AP127" s="258"/>
    </row>
    <row r="128" spans="1:42">
      <c r="A128" s="199" t="s">
        <v>16</v>
      </c>
      <c r="C128" s="199" t="str">
        <f>C124</f>
        <v>Gautrain</v>
      </c>
      <c r="D128" s="199" t="s">
        <v>136</v>
      </c>
      <c r="E128" s="200">
        <f t="shared" si="79"/>
        <v>0.51926218869795138</v>
      </c>
      <c r="F128" s="200">
        <f t="shared" si="79"/>
        <v>0.6155080844206664</v>
      </c>
      <c r="G128" s="200">
        <f t="shared" si="79"/>
        <v>0.67172432237420632</v>
      </c>
      <c r="H128" s="200">
        <f t="shared" si="79"/>
        <v>0.72286969068405627</v>
      </c>
      <c r="I128" s="200">
        <f t="shared" si="79"/>
        <v>2.8890070580426221</v>
      </c>
      <c r="J128" s="200">
        <f t="shared" si="79"/>
        <v>9.2378960799868999</v>
      </c>
      <c r="K128" s="200">
        <f t="shared" si="79"/>
        <v>17.107656808199305</v>
      </c>
      <c r="L128" s="259"/>
      <c r="M128" s="200">
        <f t="shared" si="80"/>
        <v>0.51926218869795138</v>
      </c>
      <c r="N128" s="200">
        <f t="shared" si="80"/>
        <v>0.72286969068405627</v>
      </c>
      <c r="O128" s="200">
        <f t="shared" si="80"/>
        <v>1.0354240716845304</v>
      </c>
      <c r="P128" s="200">
        <f t="shared" si="80"/>
        <v>1.3247643137425078</v>
      </c>
      <c r="Q128" s="200">
        <f t="shared" si="80"/>
        <v>1.5271702094967394</v>
      </c>
      <c r="R128" s="258"/>
      <c r="S128" s="200">
        <f t="shared" si="81"/>
        <v>0.51926218869795138</v>
      </c>
      <c r="T128" s="200">
        <f t="shared" si="81"/>
        <v>0.72286969068405627</v>
      </c>
      <c r="U128" s="200">
        <f t="shared" si="81"/>
        <v>2.8890070580426221</v>
      </c>
      <c r="V128" s="200">
        <f t="shared" si="81"/>
        <v>9.2378960799868999</v>
      </c>
      <c r="W128" s="200">
        <f t="shared" si="81"/>
        <v>17.107656808199305</v>
      </c>
      <c r="X128" s="258"/>
      <c r="Y128" s="258"/>
      <c r="Z128" s="258"/>
      <c r="AA128" s="258"/>
      <c r="AB128" s="258"/>
      <c r="AC128" s="258"/>
      <c r="AD128" s="258"/>
      <c r="AE128" s="258"/>
      <c r="AF128" s="258"/>
      <c r="AG128" s="258"/>
      <c r="AH128" s="258"/>
      <c r="AI128" s="258"/>
      <c r="AJ128" s="258"/>
      <c r="AK128" s="258"/>
      <c r="AL128" s="258"/>
      <c r="AM128" s="258"/>
      <c r="AN128" s="258"/>
      <c r="AO128" s="258"/>
      <c r="AP128" s="258"/>
    </row>
    <row r="129" spans="1:42">
      <c r="A129" s="199" t="s">
        <v>16</v>
      </c>
      <c r="C129" s="199" t="str">
        <f>C125</f>
        <v>Bus, minibus, metro rail</v>
      </c>
      <c r="D129" s="199" t="s">
        <v>136</v>
      </c>
      <c r="E129" s="200">
        <f t="shared" si="79"/>
        <v>132.21059616216394</v>
      </c>
      <c r="F129" s="200">
        <f t="shared" si="79"/>
        <v>133.37283843052472</v>
      </c>
      <c r="G129" s="200">
        <f t="shared" si="79"/>
        <v>135.31477380137517</v>
      </c>
      <c r="H129" s="200">
        <f t="shared" si="79"/>
        <v>137.4272028650463</v>
      </c>
      <c r="I129" s="200">
        <f t="shared" si="79"/>
        <v>134.8466859362652</v>
      </c>
      <c r="J129" s="200">
        <f t="shared" si="79"/>
        <v>119.27404370098824</v>
      </c>
      <c r="K129" s="200">
        <f t="shared" si="79"/>
        <v>92.519234852681336</v>
      </c>
      <c r="L129" s="259"/>
      <c r="M129" s="200">
        <f t="shared" si="80"/>
        <v>131.81473738297984</v>
      </c>
      <c r="N129" s="200">
        <f>N117+N121+N125</f>
        <v>137.4272028650463</v>
      </c>
      <c r="O129" s="200">
        <f t="shared" si="80"/>
        <v>127.05530343172848</v>
      </c>
      <c r="P129" s="200">
        <f t="shared" si="80"/>
        <v>106.12910123711526</v>
      </c>
      <c r="Q129" s="200">
        <f t="shared" si="80"/>
        <v>84.359295540207128</v>
      </c>
      <c r="R129" s="258"/>
      <c r="S129" s="200">
        <f t="shared" si="81"/>
        <v>131.81473738297984</v>
      </c>
      <c r="T129" s="200">
        <f t="shared" si="81"/>
        <v>137.4272028650463</v>
      </c>
      <c r="U129" s="200">
        <f t="shared" si="81"/>
        <v>134.8466859362652</v>
      </c>
      <c r="V129" s="200">
        <f t="shared" si="81"/>
        <v>119.27404370098824</v>
      </c>
      <c r="W129" s="200">
        <f t="shared" si="81"/>
        <v>92.519234852681336</v>
      </c>
      <c r="X129" s="258"/>
      <c r="Y129" s="258"/>
      <c r="Z129" s="258"/>
      <c r="AA129" s="258"/>
      <c r="AB129" s="258"/>
      <c r="AC129" s="258"/>
      <c r="AD129" s="258"/>
      <c r="AE129" s="258"/>
      <c r="AF129" s="258"/>
      <c r="AG129" s="258"/>
      <c r="AH129" s="258"/>
      <c r="AI129" s="258"/>
      <c r="AJ129" s="258"/>
      <c r="AK129" s="258"/>
      <c r="AL129" s="258"/>
      <c r="AM129" s="258"/>
      <c r="AN129" s="258"/>
      <c r="AO129" s="258"/>
      <c r="AP129" s="258"/>
    </row>
    <row r="130" spans="1:42">
      <c r="A130" s="199" t="s">
        <v>16</v>
      </c>
    </row>
    <row r="131" spans="1:42" ht="15.75" thickBot="1">
      <c r="A131" s="199" t="s">
        <v>16</v>
      </c>
      <c r="C131" s="244" t="s">
        <v>175</v>
      </c>
      <c r="E131" s="249"/>
      <c r="F131" s="249"/>
      <c r="G131" s="249"/>
      <c r="H131" s="249"/>
      <c r="I131" s="249"/>
      <c r="J131" s="249"/>
      <c r="K131" s="249"/>
      <c r="S131" s="199" t="s">
        <v>205</v>
      </c>
    </row>
    <row r="132" spans="1:42">
      <c r="A132" s="199" t="s">
        <v>16</v>
      </c>
      <c r="C132" s="245" t="s">
        <v>100</v>
      </c>
      <c r="E132" s="73">
        <f>[2]Calib_1011!M77</f>
        <v>0.86657939364773595</v>
      </c>
      <c r="F132" s="248">
        <f t="shared" ref="F132:G133" si="82">E132</f>
        <v>0.86657939364773595</v>
      </c>
      <c r="G132" s="248">
        <f t="shared" si="82"/>
        <v>0.86657939364773595</v>
      </c>
      <c r="H132" s="248">
        <f>1-H133-H134</f>
        <v>0.875</v>
      </c>
      <c r="I132" s="248">
        <f>1-I133-I134</f>
        <v>0.88500000000000001</v>
      </c>
      <c r="J132" s="248">
        <f>1-J133-J134</f>
        <v>0.89500000000000002</v>
      </c>
      <c r="K132" s="248">
        <f>1-K133-K134</f>
        <v>0.89500000000000002</v>
      </c>
      <c r="M132" s="248">
        <f>1-M133-M134</f>
        <v>0.87549807858580153</v>
      </c>
      <c r="N132" s="248">
        <f>1-N133-N134</f>
        <v>0.87549807858580153</v>
      </c>
      <c r="O132" s="248">
        <f>1-O133-O134</f>
        <v>0.87549807858580153</v>
      </c>
      <c r="P132" s="248">
        <f>1-P133-P134</f>
        <v>0.87549807858580153</v>
      </c>
      <c r="Q132" s="248">
        <f>1-Q133-Q134</f>
        <v>0.87549807858580153</v>
      </c>
      <c r="S132" s="248">
        <f>1-S133-S134</f>
        <v>0.87549807858580153</v>
      </c>
      <c r="T132" s="248">
        <f>1-T133-T134</f>
        <v>0.875</v>
      </c>
      <c r="U132" s="248">
        <f>1-U133-U134</f>
        <v>0.88500000000000001</v>
      </c>
      <c r="V132" s="248">
        <f>1-V133-V134</f>
        <v>0.89500000000000002</v>
      </c>
      <c r="W132" s="248">
        <f>1-W133-W134</f>
        <v>0.89500000000000002</v>
      </c>
    </row>
    <row r="133" spans="1:42">
      <c r="A133" s="199" t="s">
        <v>16</v>
      </c>
      <c r="C133" s="245" t="s">
        <v>99</v>
      </c>
      <c r="E133" s="73">
        <f>[2]Calib_1011!M78</f>
        <v>9.950192141419846E-2</v>
      </c>
      <c r="F133" s="66">
        <f t="shared" si="82"/>
        <v>9.950192141419846E-2</v>
      </c>
      <c r="G133" s="66">
        <f t="shared" si="82"/>
        <v>9.950192141419846E-2</v>
      </c>
      <c r="H133" s="66">
        <f t="shared" ref="H133:K134" si="83">IF($D$4,T133,N133)</f>
        <v>0.1</v>
      </c>
      <c r="I133" s="66">
        <f t="shared" si="83"/>
        <v>0.09</v>
      </c>
      <c r="J133" s="66">
        <f t="shared" si="83"/>
        <v>0.08</v>
      </c>
      <c r="K133" s="66">
        <f t="shared" si="83"/>
        <v>0.08</v>
      </c>
      <c r="M133" s="248">
        <f>$F133</f>
        <v>9.950192141419846E-2</v>
      </c>
      <c r="N133" s="74">
        <f>M133</f>
        <v>9.950192141419846E-2</v>
      </c>
      <c r="O133" s="74">
        <f t="shared" ref="O133:Q134" si="84">N133</f>
        <v>9.950192141419846E-2</v>
      </c>
      <c r="P133" s="74">
        <f t="shared" si="84"/>
        <v>9.950192141419846E-2</v>
      </c>
      <c r="Q133" s="74">
        <f t="shared" si="84"/>
        <v>9.950192141419846E-2</v>
      </c>
      <c r="S133" s="248">
        <f>$F133</f>
        <v>9.950192141419846E-2</v>
      </c>
      <c r="T133" s="83">
        <v>0.1</v>
      </c>
      <c r="U133" s="83">
        <v>0.09</v>
      </c>
      <c r="V133" s="83">
        <v>0.08</v>
      </c>
      <c r="W133" s="74">
        <f>V133</f>
        <v>0.08</v>
      </c>
    </row>
    <row r="134" spans="1:42">
      <c r="A134" s="199" t="s">
        <v>16</v>
      </c>
      <c r="C134" s="245" t="s">
        <v>176</v>
      </c>
      <c r="E134" s="73">
        <f>[2]Calib_1011!M79</f>
        <v>3.3918684938065609E-2</v>
      </c>
      <c r="F134" s="148">
        <v>2.5000000000000001E-2</v>
      </c>
      <c r="G134" s="148">
        <v>2.5000000000000001E-2</v>
      </c>
      <c r="H134" s="66">
        <f t="shared" si="83"/>
        <v>2.5000000000000001E-2</v>
      </c>
      <c r="I134" s="66">
        <f t="shared" si="83"/>
        <v>2.5000000000000001E-2</v>
      </c>
      <c r="J134" s="66">
        <f t="shared" si="83"/>
        <v>2.5000000000000001E-2</v>
      </c>
      <c r="K134" s="66">
        <f t="shared" si="83"/>
        <v>2.5000000000000001E-2</v>
      </c>
      <c r="M134" s="248">
        <f>$F134</f>
        <v>2.5000000000000001E-2</v>
      </c>
      <c r="N134" s="74">
        <f>M134</f>
        <v>2.5000000000000001E-2</v>
      </c>
      <c r="O134" s="74">
        <f t="shared" si="84"/>
        <v>2.5000000000000001E-2</v>
      </c>
      <c r="P134" s="74">
        <f t="shared" si="84"/>
        <v>2.5000000000000001E-2</v>
      </c>
      <c r="Q134" s="74">
        <f t="shared" si="84"/>
        <v>2.5000000000000001E-2</v>
      </c>
      <c r="S134" s="248">
        <f>$F134</f>
        <v>2.5000000000000001E-2</v>
      </c>
      <c r="T134" s="74">
        <f>S134</f>
        <v>2.5000000000000001E-2</v>
      </c>
      <c r="U134" s="74">
        <f>T134</f>
        <v>2.5000000000000001E-2</v>
      </c>
      <c r="V134" s="74">
        <f>U134</f>
        <v>2.5000000000000001E-2</v>
      </c>
      <c r="W134" s="74">
        <f>V134</f>
        <v>2.5000000000000001E-2</v>
      </c>
    </row>
    <row r="135" spans="1:42">
      <c r="A135" s="199" t="s">
        <v>16</v>
      </c>
      <c r="C135" s="245"/>
      <c r="E135" s="249"/>
      <c r="F135" s="249"/>
      <c r="G135" s="249"/>
      <c r="H135" s="249"/>
      <c r="I135" s="249"/>
      <c r="J135" s="249"/>
      <c r="K135" s="249"/>
    </row>
    <row r="136" spans="1:42" ht="15.75" thickBot="1">
      <c r="A136" s="199" t="s">
        <v>16</v>
      </c>
      <c r="C136" s="244" t="s">
        <v>185</v>
      </c>
      <c r="E136" s="249"/>
      <c r="F136" s="249"/>
      <c r="G136" s="249"/>
      <c r="H136" s="249"/>
      <c r="I136" s="249"/>
      <c r="J136" s="249"/>
      <c r="K136" s="249"/>
    </row>
    <row r="137" spans="1:42">
      <c r="A137" s="199" t="s">
        <v>16</v>
      </c>
      <c r="C137" s="245" t="s">
        <v>62</v>
      </c>
      <c r="E137" s="73">
        <f>[2]Calib_1011!M71</f>
        <v>0.25980514219360507</v>
      </c>
      <c r="F137" s="66">
        <f t="shared" ref="F137:F138" si="85">AVERAGE(E137,G137)</f>
        <v>0.20390257109680254</v>
      </c>
      <c r="G137" s="248">
        <v>0.14799999999999999</v>
      </c>
      <c r="H137" s="248">
        <f>1-H138-H139</f>
        <v>0.22417014836298688</v>
      </c>
      <c r="I137" s="248">
        <f>1-I138-I139</f>
        <v>0.19817014836298683</v>
      </c>
      <c r="J137" s="248">
        <f>1-J138-J139</f>
        <v>0.17817014836298684</v>
      </c>
      <c r="K137" s="248">
        <f>1-K138-K139</f>
        <v>0.17268147837738129</v>
      </c>
      <c r="M137" s="248">
        <f>1-M138-M139</f>
        <v>0.20340257109680249</v>
      </c>
      <c r="N137" s="248">
        <v>0.14799999999999999</v>
      </c>
      <c r="O137" s="248">
        <f>1-O138-O139</f>
        <v>0.14800000000000002</v>
      </c>
      <c r="P137" s="248">
        <f>1-P138-P139</f>
        <v>0.14800000000000002</v>
      </c>
      <c r="Q137" s="248">
        <f>1-Q138-Q139</f>
        <v>0.14800000000000002</v>
      </c>
      <c r="S137" s="248">
        <f>1-S138-S139</f>
        <v>0.20340257109680249</v>
      </c>
      <c r="T137" s="248">
        <f>1-T138-T139</f>
        <v>0.22417014836298688</v>
      </c>
      <c r="U137" s="248">
        <f>1-U138-U139</f>
        <v>0.19817014836298683</v>
      </c>
      <c r="V137" s="248">
        <f>1-V138-V139</f>
        <v>0.17817014836298684</v>
      </c>
      <c r="W137" s="248">
        <f>1-W138-W139</f>
        <v>0.17268147837738129</v>
      </c>
    </row>
    <row r="138" spans="1:42">
      <c r="A138" s="199" t="s">
        <v>16</v>
      </c>
      <c r="C138" s="245" t="s">
        <v>184</v>
      </c>
      <c r="E138" s="73">
        <f>[2]Calib_1011!M72</f>
        <v>0.63065970327402632</v>
      </c>
      <c r="F138" s="66">
        <f t="shared" si="85"/>
        <v>0.70682985163701317</v>
      </c>
      <c r="G138" s="66">
        <v>0.78300000000000003</v>
      </c>
      <c r="H138" s="66">
        <f t="shared" ref="H138:K139" si="86">IF($D$4,T138,N138)</f>
        <v>0.70682985163701317</v>
      </c>
      <c r="I138" s="66">
        <f t="shared" si="86"/>
        <v>0.70682985163701317</v>
      </c>
      <c r="J138" s="66">
        <f t="shared" si="86"/>
        <v>0.70682985163701317</v>
      </c>
      <c r="K138" s="66">
        <f t="shared" si="86"/>
        <v>0.70682985163701317</v>
      </c>
      <c r="M138" s="248">
        <f>$F138</f>
        <v>0.70682985163701317</v>
      </c>
      <c r="N138" s="74">
        <v>0.78300000000000003</v>
      </c>
      <c r="O138" s="74">
        <f t="shared" ref="O138:Q138" si="87">N138</f>
        <v>0.78300000000000003</v>
      </c>
      <c r="P138" s="74">
        <f t="shared" si="87"/>
        <v>0.78300000000000003</v>
      </c>
      <c r="Q138" s="74">
        <f t="shared" si="87"/>
        <v>0.78300000000000003</v>
      </c>
      <c r="S138" s="248">
        <f>$F138</f>
        <v>0.70682985163701317</v>
      </c>
      <c r="T138" s="74">
        <f t="shared" ref="T138:W138" si="88">S138</f>
        <v>0.70682985163701317</v>
      </c>
      <c r="U138" s="74">
        <f t="shared" si="88"/>
        <v>0.70682985163701317</v>
      </c>
      <c r="V138" s="74">
        <f t="shared" si="88"/>
        <v>0.70682985163701317</v>
      </c>
      <c r="W138" s="74">
        <f t="shared" si="88"/>
        <v>0.70682985163701317</v>
      </c>
    </row>
    <row r="139" spans="1:42">
      <c r="A139" s="199" t="s">
        <v>16</v>
      </c>
      <c r="C139" s="245" t="s">
        <v>186</v>
      </c>
      <c r="E139" s="73">
        <f>[2]Calib_1011!M73</f>
        <v>0.10953515453236866</v>
      </c>
      <c r="F139" s="66">
        <f>AVERAGE(E139,G139)</f>
        <v>8.976757726618434E-2</v>
      </c>
      <c r="G139" s="66">
        <v>7.0000000000000007E-2</v>
      </c>
      <c r="H139" s="66">
        <f t="shared" si="86"/>
        <v>6.899999999999995E-2</v>
      </c>
      <c r="I139" s="66">
        <f t="shared" si="86"/>
        <v>9.5000000000000001E-2</v>
      </c>
      <c r="J139" s="66">
        <f t="shared" si="86"/>
        <v>0.115</v>
      </c>
      <c r="K139" s="66">
        <f>IF($D$4,W139,Q139)</f>
        <v>0.12048866998560553</v>
      </c>
      <c r="M139" s="248">
        <f>$F139</f>
        <v>8.976757726618434E-2</v>
      </c>
      <c r="N139" s="74">
        <f>1-SUM(N137:N138)</f>
        <v>6.899999999999995E-2</v>
      </c>
      <c r="O139" s="74">
        <f>N139</f>
        <v>6.899999999999995E-2</v>
      </c>
      <c r="P139" s="74">
        <f>O139</f>
        <v>6.899999999999995E-2</v>
      </c>
      <c r="Q139" s="74">
        <f>P139</f>
        <v>6.899999999999995E-2</v>
      </c>
      <c r="S139" s="248">
        <f>M139</f>
        <v>8.976757726618434E-2</v>
      </c>
      <c r="T139" s="74">
        <f>N139</f>
        <v>6.899999999999995E-2</v>
      </c>
      <c r="U139" s="74">
        <v>9.5000000000000001E-2</v>
      </c>
      <c r="V139" s="74">
        <v>0.115</v>
      </c>
      <c r="W139" s="83">
        <f>E139*1.1</f>
        <v>0.12048866998560553</v>
      </c>
    </row>
    <row r="140" spans="1:42">
      <c r="A140" s="199" t="s">
        <v>16</v>
      </c>
      <c r="C140" s="245"/>
      <c r="E140" s="249"/>
      <c r="F140" s="249"/>
      <c r="G140" s="249"/>
      <c r="H140" s="249"/>
      <c r="I140" s="249"/>
      <c r="J140" s="249"/>
      <c r="K140" s="249"/>
    </row>
    <row r="141" spans="1:42" ht="15.75" thickBot="1">
      <c r="A141" s="199" t="s">
        <v>16</v>
      </c>
      <c r="C141" s="244" t="s">
        <v>196</v>
      </c>
      <c r="D141" s="271">
        <f>INDEX($BG$4:$BG$7,MATCH($D$3,$BA$4:$BA$7,0))</f>
        <v>0</v>
      </c>
      <c r="E141" s="249"/>
      <c r="F141" s="249"/>
      <c r="G141" s="249"/>
      <c r="H141" s="249"/>
      <c r="I141" s="249"/>
      <c r="J141" s="249"/>
      <c r="K141" s="249"/>
      <c r="S141" s="199" t="s">
        <v>206</v>
      </c>
    </row>
    <row r="142" spans="1:42">
      <c r="A142" s="199" t="s">
        <v>16</v>
      </c>
      <c r="C142" s="199" t="s">
        <v>62</v>
      </c>
      <c r="D142" s="199" t="s">
        <v>96</v>
      </c>
      <c r="E142" s="262">
        <f>[2]Calib_1011!$K$71</f>
        <v>25</v>
      </c>
      <c r="F142" s="263">
        <f t="shared" ref="F142:G144" si="89">E142</f>
        <v>25</v>
      </c>
      <c r="G142" s="263">
        <f t="shared" si="89"/>
        <v>25</v>
      </c>
      <c r="H142" s="263">
        <f t="shared" ref="H142:K144" si="90">IF($D$4,T142,N142)</f>
        <v>25</v>
      </c>
      <c r="I142" s="263">
        <f t="shared" si="90"/>
        <v>25</v>
      </c>
      <c r="J142" s="263">
        <f t="shared" si="90"/>
        <v>25</v>
      </c>
      <c r="K142" s="263">
        <f t="shared" si="90"/>
        <v>25</v>
      </c>
      <c r="L142" s="264"/>
      <c r="M142" s="265">
        <f>$F142</f>
        <v>25</v>
      </c>
      <c r="N142" s="48">
        <f>M142</f>
        <v>25</v>
      </c>
      <c r="O142" s="48">
        <f t="shared" ref="O142:Q144" si="91">N142</f>
        <v>25</v>
      </c>
      <c r="P142" s="48">
        <f t="shared" si="91"/>
        <v>25</v>
      </c>
      <c r="Q142" s="48">
        <f t="shared" si="91"/>
        <v>25</v>
      </c>
      <c r="R142" s="266"/>
      <c r="S142" s="265">
        <f>$F142</f>
        <v>25</v>
      </c>
      <c r="T142" s="84">
        <f>S142*(1+$D$141)</f>
        <v>25</v>
      </c>
      <c r="U142" s="84">
        <f t="shared" ref="U142:W142" si="92">T142*(1+$D$141)</f>
        <v>25</v>
      </c>
      <c r="V142" s="84">
        <f t="shared" si="92"/>
        <v>25</v>
      </c>
      <c r="W142" s="84">
        <f t="shared" si="92"/>
        <v>25</v>
      </c>
      <c r="X142" s="266"/>
      <c r="Y142" s="266"/>
      <c r="Z142" s="266"/>
      <c r="AA142" s="266"/>
      <c r="AB142" s="266"/>
      <c r="AC142" s="266"/>
      <c r="AD142" s="266"/>
      <c r="AE142" s="266"/>
      <c r="AF142" s="266"/>
      <c r="AG142" s="266"/>
      <c r="AH142" s="266"/>
      <c r="AI142" s="266"/>
      <c r="AJ142" s="266"/>
      <c r="AK142" s="266"/>
      <c r="AL142" s="266"/>
      <c r="AM142" s="266"/>
      <c r="AN142" s="266"/>
      <c r="AO142" s="266"/>
      <c r="AP142" s="266"/>
    </row>
    <row r="143" spans="1:42">
      <c r="A143" s="199" t="s">
        <v>16</v>
      </c>
      <c r="C143" s="199" t="s">
        <v>184</v>
      </c>
      <c r="D143" s="199" t="s">
        <v>96</v>
      </c>
      <c r="E143" s="262">
        <f>[2]Calib_1011!$K$72</f>
        <v>14</v>
      </c>
      <c r="F143" s="263">
        <f t="shared" si="89"/>
        <v>14</v>
      </c>
      <c r="G143" s="263">
        <f t="shared" si="89"/>
        <v>14</v>
      </c>
      <c r="H143" s="263">
        <f t="shared" si="90"/>
        <v>14</v>
      </c>
      <c r="I143" s="263">
        <f t="shared" si="90"/>
        <v>14</v>
      </c>
      <c r="J143" s="263">
        <f t="shared" si="90"/>
        <v>14</v>
      </c>
      <c r="K143" s="263">
        <f t="shared" si="90"/>
        <v>14</v>
      </c>
      <c r="L143" s="264"/>
      <c r="M143" s="265">
        <f>$F143</f>
        <v>14</v>
      </c>
      <c r="N143" s="48">
        <f>M143</f>
        <v>14</v>
      </c>
      <c r="O143" s="48">
        <f t="shared" si="91"/>
        <v>14</v>
      </c>
      <c r="P143" s="48">
        <f t="shared" si="91"/>
        <v>14</v>
      </c>
      <c r="Q143" s="48">
        <f t="shared" si="91"/>
        <v>14</v>
      </c>
      <c r="R143" s="266"/>
      <c r="S143" s="265">
        <f>$F143</f>
        <v>14</v>
      </c>
      <c r="T143" s="84">
        <f>S143</f>
        <v>14</v>
      </c>
      <c r="U143" s="84">
        <f t="shared" ref="U143:W143" si="93">T143</f>
        <v>14</v>
      </c>
      <c r="V143" s="84">
        <f t="shared" si="93"/>
        <v>14</v>
      </c>
      <c r="W143" s="84">
        <f t="shared" si="93"/>
        <v>14</v>
      </c>
      <c r="X143" s="266"/>
      <c r="Y143" s="266"/>
      <c r="Z143" s="266"/>
      <c r="AA143" s="266"/>
      <c r="AB143" s="266"/>
      <c r="AC143" s="266"/>
      <c r="AD143" s="266"/>
      <c r="AE143" s="266"/>
      <c r="AF143" s="266"/>
      <c r="AG143" s="266"/>
      <c r="AH143" s="266"/>
      <c r="AI143" s="266"/>
      <c r="AJ143" s="266"/>
      <c r="AK143" s="266"/>
      <c r="AL143" s="266"/>
      <c r="AM143" s="266"/>
      <c r="AN143" s="266"/>
      <c r="AO143" s="266"/>
      <c r="AP143" s="266"/>
    </row>
    <row r="144" spans="1:42">
      <c r="A144" s="199" t="s">
        <v>16</v>
      </c>
      <c r="C144" s="199" t="s">
        <v>63</v>
      </c>
      <c r="D144" s="199" t="s">
        <v>96</v>
      </c>
      <c r="E144" s="262">
        <f>E142</f>
        <v>25</v>
      </c>
      <c r="F144" s="263">
        <f t="shared" si="89"/>
        <v>25</v>
      </c>
      <c r="G144" s="263">
        <f t="shared" si="89"/>
        <v>25</v>
      </c>
      <c r="H144" s="263">
        <f t="shared" si="90"/>
        <v>25</v>
      </c>
      <c r="I144" s="263">
        <f t="shared" si="90"/>
        <v>25</v>
      </c>
      <c r="J144" s="263">
        <f t="shared" si="90"/>
        <v>25</v>
      </c>
      <c r="K144" s="263">
        <f t="shared" si="90"/>
        <v>25</v>
      </c>
      <c r="L144" s="264"/>
      <c r="M144" s="265">
        <f>$F144</f>
        <v>25</v>
      </c>
      <c r="N144" s="48">
        <f>M144</f>
        <v>25</v>
      </c>
      <c r="O144" s="48">
        <f t="shared" si="91"/>
        <v>25</v>
      </c>
      <c r="P144" s="48">
        <f t="shared" si="91"/>
        <v>25</v>
      </c>
      <c r="Q144" s="48">
        <f t="shared" si="91"/>
        <v>25</v>
      </c>
      <c r="R144" s="266"/>
      <c r="S144" s="265">
        <f>$F144</f>
        <v>25</v>
      </c>
      <c r="T144" s="84">
        <f t="shared" ref="T144:V144" si="94">S144*(1+$D$141)</f>
        <v>25</v>
      </c>
      <c r="U144" s="84">
        <f t="shared" si="94"/>
        <v>25</v>
      </c>
      <c r="V144" s="84">
        <f t="shared" si="94"/>
        <v>25</v>
      </c>
      <c r="W144" s="84">
        <f>V144*(1+$D$141)</f>
        <v>25</v>
      </c>
      <c r="X144" s="266"/>
      <c r="Y144" s="266"/>
      <c r="Z144" s="266"/>
      <c r="AA144" s="266"/>
      <c r="AB144" s="266"/>
      <c r="AC144" s="266"/>
      <c r="AD144" s="266"/>
      <c r="AE144" s="266"/>
      <c r="AF144" s="266"/>
      <c r="AG144" s="266"/>
      <c r="AH144" s="266"/>
      <c r="AI144" s="266"/>
      <c r="AJ144" s="266"/>
      <c r="AK144" s="266"/>
      <c r="AL144" s="266"/>
      <c r="AM144" s="266"/>
      <c r="AN144" s="266"/>
      <c r="AO144" s="266"/>
      <c r="AP144" s="266"/>
    </row>
    <row r="145" spans="1:42">
      <c r="A145" s="199" t="s">
        <v>16</v>
      </c>
      <c r="C145" s="245"/>
      <c r="E145" s="249"/>
      <c r="F145" s="249"/>
      <c r="G145" s="249"/>
      <c r="H145" s="249"/>
      <c r="I145" s="249"/>
      <c r="J145" s="249"/>
      <c r="K145" s="249"/>
    </row>
    <row r="146" spans="1:42">
      <c r="A146" s="199" t="s">
        <v>16</v>
      </c>
    </row>
    <row r="147" spans="1:42">
      <c r="A147" s="199" t="s">
        <v>16</v>
      </c>
      <c r="E147" s="30"/>
      <c r="F147" s="30"/>
      <c r="G147" s="30"/>
      <c r="H147" s="30"/>
      <c r="I147" s="30"/>
      <c r="J147" s="30"/>
      <c r="K147" s="30"/>
      <c r="L147" s="264"/>
      <c r="M147" s="266" t="str">
        <f>M11</f>
        <v>Reference</v>
      </c>
      <c r="N147" s="266"/>
      <c r="O147" s="266"/>
      <c r="P147" s="266"/>
      <c r="Q147" s="266"/>
      <c r="R147" s="266"/>
      <c r="S147" s="266" t="str">
        <f>S11</f>
        <v>Scenario</v>
      </c>
      <c r="T147" s="266"/>
      <c r="U147" s="266"/>
      <c r="V147" s="266"/>
      <c r="W147" s="266"/>
      <c r="X147" s="266"/>
      <c r="AF147" s="266"/>
      <c r="AG147" s="266"/>
      <c r="AH147" s="266"/>
      <c r="AI147" s="266"/>
      <c r="AJ147" s="266"/>
      <c r="AK147" s="266"/>
      <c r="AL147" s="266"/>
      <c r="AM147" s="266"/>
      <c r="AN147" s="266"/>
      <c r="AO147" s="266"/>
      <c r="AP147" s="266"/>
    </row>
    <row r="148" spans="1:42" ht="15.75" thickBot="1">
      <c r="A148" s="199" t="s">
        <v>16</v>
      </c>
      <c r="C148" s="244" t="s">
        <v>142</v>
      </c>
      <c r="D148" s="244"/>
      <c r="E148" s="7">
        <v>2012</v>
      </c>
      <c r="F148" s="7">
        <f>F4</f>
        <v>2015</v>
      </c>
      <c r="G148" s="7">
        <f>G4</f>
        <v>2017</v>
      </c>
      <c r="H148" s="7">
        <v>2020</v>
      </c>
      <c r="I148" s="7">
        <v>2030</v>
      </c>
      <c r="J148" s="7">
        <v>2040</v>
      </c>
      <c r="K148" s="7">
        <v>2050</v>
      </c>
      <c r="L148" s="264"/>
      <c r="M148" s="266">
        <v>2015</v>
      </c>
      <c r="N148" s="266">
        <v>2020</v>
      </c>
      <c r="O148" s="266">
        <v>2030</v>
      </c>
      <c r="P148" s="266">
        <v>2040</v>
      </c>
      <c r="Q148" s="266">
        <v>2050</v>
      </c>
      <c r="R148" s="266"/>
      <c r="S148" s="266">
        <v>2015</v>
      </c>
      <c r="T148" s="266">
        <v>2020</v>
      </c>
      <c r="U148" s="266">
        <v>2030</v>
      </c>
      <c r="V148" s="266">
        <v>2040</v>
      </c>
      <c r="W148" s="266">
        <v>2050</v>
      </c>
      <c r="X148" s="266"/>
      <c r="AF148" s="266"/>
      <c r="AG148" s="266"/>
      <c r="AH148" s="266"/>
      <c r="AI148" s="266"/>
      <c r="AJ148" s="266"/>
      <c r="AK148" s="266"/>
      <c r="AL148" s="266"/>
      <c r="AM148" s="266"/>
      <c r="AN148" s="266"/>
      <c r="AO148" s="266"/>
      <c r="AP148" s="266"/>
    </row>
    <row r="149" spans="1:42">
      <c r="A149" s="199" t="s">
        <v>16</v>
      </c>
      <c r="B149" s="199" t="s">
        <v>128</v>
      </c>
      <c r="C149" s="199" t="s">
        <v>102</v>
      </c>
      <c r="D149" s="199" t="s">
        <v>86</v>
      </c>
      <c r="E149" s="52">
        <f t="shared" ref="E149:G149" si="95">E132*E$111</f>
        <v>79.483105557424096</v>
      </c>
      <c r="F149" s="52">
        <f t="shared" si="95"/>
        <v>92.750310348302548</v>
      </c>
      <c r="G149" s="52">
        <f t="shared" si="95"/>
        <v>100.5564269525596</v>
      </c>
      <c r="H149" s="52">
        <f t="shared" ref="H149" si="96">H132*H$111</f>
        <v>108.83860174910519</v>
      </c>
      <c r="I149" s="52">
        <f>IF($D$4,U149,O149)</f>
        <v>155.88340769998581</v>
      </c>
      <c r="J149" s="52">
        <f t="shared" ref="J149:K149" si="97">IF($D$4,V149,P149)</f>
        <v>204.14797183974494</v>
      </c>
      <c r="K149" s="52">
        <f t="shared" si="97"/>
        <v>238.09775974341463</v>
      </c>
      <c r="L149" s="267" t="str">
        <f>C149</f>
        <v>Car Priv.Veh. Vehicle km</v>
      </c>
      <c r="M149" s="250">
        <f t="shared" ref="M149:Q151" si="98">M132*M$111</f>
        <v>80.486165414266068</v>
      </c>
      <c r="N149" s="250">
        <f>N132*N$111</f>
        <v>108.90055623692213</v>
      </c>
      <c r="O149" s="250">
        <f>O132*O$111</f>
        <v>167.0179368214134</v>
      </c>
      <c r="P149" s="250">
        <f t="shared" si="98"/>
        <v>235.55535212278261</v>
      </c>
      <c r="Q149" s="250">
        <f>Q132*Q$111</f>
        <v>297.62219967926842</v>
      </c>
      <c r="R149" s="250"/>
      <c r="S149" s="250">
        <f t="shared" ref="S149:S151" si="99">S132*S$111</f>
        <v>80.486165414266068</v>
      </c>
      <c r="T149" s="250">
        <f>T161/T$36</f>
        <v>108.90055623692213</v>
      </c>
      <c r="U149" s="250">
        <f>U161/U$36</f>
        <v>155.88340769998581</v>
      </c>
      <c r="V149" s="250">
        <f t="shared" ref="V149:W149" si="100">V161/V$36</f>
        <v>204.14797183974494</v>
      </c>
      <c r="W149" s="250">
        <f t="shared" si="100"/>
        <v>238.09775974341463</v>
      </c>
      <c r="X149" s="250"/>
      <c r="Y149" s="250"/>
      <c r="Z149" s="250"/>
      <c r="AF149" s="250"/>
      <c r="AG149" s="250"/>
      <c r="AH149" s="250"/>
      <c r="AI149" s="250"/>
      <c r="AJ149" s="250"/>
      <c r="AK149" s="250"/>
      <c r="AL149" s="250"/>
      <c r="AM149" s="250"/>
      <c r="AN149" s="250"/>
      <c r="AO149" s="250"/>
      <c r="AP149" s="250"/>
    </row>
    <row r="150" spans="1:42">
      <c r="A150" s="199" t="s">
        <v>16</v>
      </c>
      <c r="B150" s="199" t="s">
        <v>127</v>
      </c>
      <c r="C150" s="199" t="s">
        <v>101</v>
      </c>
      <c r="D150" s="199" t="s">
        <v>86</v>
      </c>
      <c r="E150" s="52">
        <f t="shared" ref="E150:G150" si="101">E133*E$111</f>
        <v>9.1263671637063464</v>
      </c>
      <c r="F150" s="52">
        <f t="shared" si="101"/>
        <v>10.649727144528473</v>
      </c>
      <c r="G150" s="52">
        <f t="shared" si="101"/>
        <v>11.546036942107843</v>
      </c>
      <c r="H150" s="52">
        <f>H133*H$111</f>
        <v>12.43869734275488</v>
      </c>
      <c r="I150" s="52">
        <f t="shared" ref="I150:I156" si="102">IF($D$4,U150,O150)</f>
        <v>17.716427896444952</v>
      </c>
      <c r="J150" s="52">
        <f t="shared" ref="J150:J156" si="103">IF($D$4,V150,P150)</f>
        <v>23.20178187447107</v>
      </c>
      <c r="K150" s="52">
        <f t="shared" ref="K150:K156" si="104">IF($D$4,W150,Q150)</f>
        <v>27.060235948380942</v>
      </c>
      <c r="L150" s="267" t="str">
        <f t="shared" ref="L150:L156" si="105">C150</f>
        <v>SUV Priv.Veh. Vehicle km</v>
      </c>
      <c r="M150" s="250">
        <f t="shared" si="98"/>
        <v>9.1473965527334045</v>
      </c>
      <c r="N150" s="250">
        <f t="shared" si="98"/>
        <v>12.376742854937952</v>
      </c>
      <c r="O150" s="250">
        <f t="shared" si="98"/>
        <v>18.981887031905309</v>
      </c>
      <c r="P150" s="250">
        <f t="shared" si="98"/>
        <v>26.771286778235851</v>
      </c>
      <c r="Q150" s="250">
        <f t="shared" si="98"/>
        <v>33.825294935476187</v>
      </c>
      <c r="R150" s="250"/>
      <c r="S150" s="250">
        <f t="shared" si="99"/>
        <v>9.1473965527334045</v>
      </c>
      <c r="T150" s="250">
        <f t="shared" ref="T150:W151" si="106">T162/T$36</f>
        <v>12.376742854937955</v>
      </c>
      <c r="U150" s="250">
        <f t="shared" si="106"/>
        <v>17.716427896444952</v>
      </c>
      <c r="V150" s="250">
        <f t="shared" si="106"/>
        <v>23.20178187447107</v>
      </c>
      <c r="W150" s="250">
        <f t="shared" si="106"/>
        <v>27.060235948380942</v>
      </c>
      <c r="X150" s="258"/>
      <c r="AF150" s="250"/>
      <c r="AG150" s="250"/>
      <c r="AH150" s="250"/>
      <c r="AI150" s="250"/>
      <c r="AJ150" s="250"/>
      <c r="AK150" s="250"/>
      <c r="AL150" s="250"/>
      <c r="AM150" s="250"/>
      <c r="AN150" s="250"/>
      <c r="AO150" s="250"/>
      <c r="AP150" s="250"/>
    </row>
    <row r="151" spans="1:42">
      <c r="A151" s="199" t="s">
        <v>16</v>
      </c>
      <c r="B151" s="199" t="s">
        <v>183</v>
      </c>
      <c r="C151" s="199" t="s">
        <v>187</v>
      </c>
      <c r="D151" s="199" t="s">
        <v>86</v>
      </c>
      <c r="E151" s="52">
        <f t="shared" ref="E151:G151" si="107">E134*E$111</f>
        <v>3.1110391443224037</v>
      </c>
      <c r="F151" s="52">
        <f t="shared" si="107"/>
        <v>2.6757591695633347</v>
      </c>
      <c r="G151" s="52">
        <f t="shared" si="107"/>
        <v>2.900958287540234</v>
      </c>
      <c r="H151" s="52">
        <f>H134*H$111</f>
        <v>3.10967433568872</v>
      </c>
      <c r="I151" s="52">
        <f t="shared" si="102"/>
        <v>4.7692262526491982</v>
      </c>
      <c r="J151" s="52">
        <f t="shared" si="103"/>
        <v>6.7263240743850883</v>
      </c>
      <c r="K151" s="52">
        <f t="shared" si="104"/>
        <v>8.4986537080703712</v>
      </c>
      <c r="L151" s="267" t="str">
        <f t="shared" si="105"/>
        <v>Motorbikes Priv.Veh. Vehicle km</v>
      </c>
      <c r="M151" s="250">
        <f t="shared" si="98"/>
        <v>2.2982964606922942</v>
      </c>
      <c r="N151" s="250">
        <f t="shared" si="98"/>
        <v>3.10967433568872</v>
      </c>
      <c r="O151" s="250">
        <f t="shared" si="98"/>
        <v>4.7692262526491982</v>
      </c>
      <c r="P151" s="250">
        <f t="shared" si="98"/>
        <v>6.7263240743850892</v>
      </c>
      <c r="Q151" s="250">
        <f t="shared" si="98"/>
        <v>8.4986537080703748</v>
      </c>
      <c r="R151" s="250"/>
      <c r="S151" s="250">
        <f t="shared" si="99"/>
        <v>2.2982964606922942</v>
      </c>
      <c r="T151" s="250">
        <f t="shared" si="106"/>
        <v>3.1096743356887204</v>
      </c>
      <c r="U151" s="250">
        <f t="shared" si="106"/>
        <v>4.7692262526491982</v>
      </c>
      <c r="V151" s="250">
        <f t="shared" si="106"/>
        <v>6.7263240743850883</v>
      </c>
      <c r="W151" s="250">
        <f t="shared" si="106"/>
        <v>8.4986537080703712</v>
      </c>
      <c r="X151" s="250"/>
      <c r="Y151" s="250"/>
      <c r="Z151" s="250"/>
      <c r="AB151" s="266"/>
      <c r="AC151" s="250"/>
      <c r="AD151" s="250"/>
      <c r="AE151" s="250"/>
      <c r="AF151" s="250"/>
      <c r="AG151" s="250"/>
      <c r="AH151" s="250"/>
      <c r="AI151" s="250"/>
      <c r="AJ151" s="250"/>
      <c r="AK151" s="250"/>
      <c r="AL151" s="250"/>
      <c r="AM151" s="250"/>
      <c r="AN151" s="250"/>
      <c r="AO151" s="250"/>
      <c r="AP151" s="250"/>
    </row>
    <row r="152" spans="1:42">
      <c r="A152" s="199" t="s">
        <v>16</v>
      </c>
      <c r="B152" s="199" t="s">
        <v>129</v>
      </c>
      <c r="C152" s="199" t="s">
        <v>87</v>
      </c>
      <c r="D152" s="199" t="s">
        <v>86</v>
      </c>
      <c r="E152" s="52">
        <v>0.61799148971758899</v>
      </c>
      <c r="F152" s="52">
        <v>0.65</v>
      </c>
      <c r="G152" s="52">
        <v>0.671544296289739</v>
      </c>
      <c r="H152" s="52">
        <f t="shared" ref="E152:H153" si="108">H137*H$129/H142</f>
        <v>1.2322830582147091</v>
      </c>
      <c r="I152" s="52">
        <f t="shared" si="102"/>
        <v>0.84438464869280094</v>
      </c>
      <c r="J152" s="52">
        <f t="shared" si="103"/>
        <v>0.88840325539129461</v>
      </c>
      <c r="K152" s="52">
        <f t="shared" si="104"/>
        <v>0.99239422647901432</v>
      </c>
      <c r="L152" s="267" t="str">
        <f t="shared" si="105"/>
        <v>Bus vehicle km</v>
      </c>
      <c r="M152" s="250">
        <f t="shared" ref="M152:Q153" si="109">M137*M$129/M142</f>
        <v>1.0724582596859162</v>
      </c>
      <c r="N152" s="250">
        <f t="shared" si="109"/>
        <v>0.81356904096107396</v>
      </c>
      <c r="O152" s="250">
        <f t="shared" si="109"/>
        <v>0.75216739631583263</v>
      </c>
      <c r="P152" s="250">
        <f t="shared" si="109"/>
        <v>0.62828427932372244</v>
      </c>
      <c r="Q152" s="250">
        <f t="shared" si="109"/>
        <v>0.4994070295980263</v>
      </c>
      <c r="R152" s="250"/>
      <c r="S152" s="250">
        <f t="shared" ref="S152:S153" si="110">S137*S$129/S142</f>
        <v>1.0724582596859162</v>
      </c>
      <c r="T152" s="250">
        <f>T164/T142</f>
        <v>0.81356904096107396</v>
      </c>
      <c r="U152" s="250">
        <f>U164/U142</f>
        <v>0.84438464869280094</v>
      </c>
      <c r="V152" s="250">
        <f t="shared" ref="V152:W152" si="111">V164/V142</f>
        <v>0.88840325539129461</v>
      </c>
      <c r="W152" s="250">
        <f t="shared" si="111"/>
        <v>0.99239422647901432</v>
      </c>
      <c r="X152" s="250"/>
      <c r="Y152" s="250"/>
      <c r="Z152" s="250"/>
      <c r="AB152" s="266"/>
      <c r="AC152" s="250"/>
      <c r="AD152" s="250"/>
      <c r="AE152" s="250"/>
      <c r="AF152" s="250"/>
      <c r="AG152" s="250"/>
      <c r="AH152" s="250"/>
      <c r="AI152" s="250"/>
      <c r="AJ152" s="250"/>
      <c r="AK152" s="250"/>
      <c r="AL152" s="250"/>
      <c r="AM152" s="250"/>
      <c r="AN152" s="250"/>
      <c r="AO152" s="250"/>
      <c r="AP152" s="250"/>
    </row>
    <row r="153" spans="1:42">
      <c r="A153" s="199" t="s">
        <v>16</v>
      </c>
      <c r="B153" s="199" t="s">
        <v>130</v>
      </c>
      <c r="C153" s="199" t="s">
        <v>88</v>
      </c>
      <c r="D153" s="199" t="s">
        <v>86</v>
      </c>
      <c r="E153" s="52">
        <f t="shared" si="108"/>
        <v>5.9557068103794597</v>
      </c>
      <c r="F153" s="52">
        <v>6.9</v>
      </c>
      <c r="G153" s="52">
        <v>7.1425530000000004</v>
      </c>
      <c r="H153" s="52">
        <f t="shared" si="108"/>
        <v>6.9384035294278847</v>
      </c>
      <c r="I153" s="52">
        <f t="shared" si="102"/>
        <v>7.9772343137845452</v>
      </c>
      <c r="J153" s="52">
        <f t="shared" si="103"/>
        <v>8.3930954267782774</v>
      </c>
      <c r="K153" s="52">
        <f t="shared" si="104"/>
        <v>9.3755390846171345</v>
      </c>
      <c r="L153" s="267" t="str">
        <f t="shared" si="105"/>
        <v>Minibus vehicle km</v>
      </c>
      <c r="M153" s="250">
        <f t="shared" si="109"/>
        <v>6.6550422334273929</v>
      </c>
      <c r="N153" s="250">
        <f t="shared" si="109"/>
        <v>7.6861071316665184</v>
      </c>
      <c r="O153" s="250">
        <f t="shared" si="109"/>
        <v>7.1060216133602427</v>
      </c>
      <c r="P153" s="250">
        <f t="shared" si="109"/>
        <v>5.9356490191900892</v>
      </c>
      <c r="Q153" s="250">
        <f t="shared" si="109"/>
        <v>4.7180948862844412</v>
      </c>
      <c r="R153" s="250"/>
      <c r="S153" s="250">
        <f t="shared" si="110"/>
        <v>6.6550422334273929</v>
      </c>
      <c r="T153" s="250">
        <f t="shared" ref="T153:U154" si="112">T165/T143</f>
        <v>7.6861071316665184</v>
      </c>
      <c r="U153" s="250">
        <f t="shared" si="112"/>
        <v>7.9772343137845452</v>
      </c>
      <c r="V153" s="250">
        <f t="shared" ref="V153:W153" si="113">V165/V143</f>
        <v>8.3930954267782774</v>
      </c>
      <c r="W153" s="250">
        <f t="shared" si="113"/>
        <v>9.3755390846171345</v>
      </c>
      <c r="X153" s="250"/>
      <c r="Y153" s="250"/>
      <c r="Z153" s="250"/>
      <c r="AB153" s="250"/>
      <c r="AC153" s="250"/>
      <c r="AD153" s="250"/>
      <c r="AE153" s="250"/>
      <c r="AF153" s="250"/>
      <c r="AG153" s="250"/>
      <c r="AH153" s="250"/>
      <c r="AI153" s="250"/>
      <c r="AJ153" s="250"/>
      <c r="AK153" s="250"/>
      <c r="AL153" s="250"/>
      <c r="AM153" s="250"/>
      <c r="AN153" s="250"/>
      <c r="AO153" s="250"/>
      <c r="AP153" s="250"/>
    </row>
    <row r="154" spans="1:42">
      <c r="A154" s="199" t="s">
        <v>16</v>
      </c>
      <c r="B154" s="199" t="s">
        <v>131</v>
      </c>
      <c r="C154" s="199" t="s">
        <v>89</v>
      </c>
      <c r="D154" s="199" t="s">
        <v>86</v>
      </c>
      <c r="E154" s="52">
        <f t="shared" ref="E154:H154" si="114">E$127/E144</f>
        <v>2.1058630711849068E-2</v>
      </c>
      <c r="F154" s="52">
        <f t="shared" si="114"/>
        <v>2.2956231284398162E-2</v>
      </c>
      <c r="G154" s="52">
        <f t="shared" si="114"/>
        <v>2.4202826606252802E-2</v>
      </c>
      <c r="H154" s="52">
        <f t="shared" si="114"/>
        <v>0.22722938399699999</v>
      </c>
      <c r="I154" s="52">
        <f t="shared" si="102"/>
        <v>0.60645138245336661</v>
      </c>
      <c r="J154" s="52">
        <f t="shared" si="103"/>
        <v>1.156198864940619</v>
      </c>
      <c r="K154" s="52">
        <f t="shared" si="104"/>
        <v>1.7423343022606306</v>
      </c>
      <c r="L154" s="267" t="str">
        <f t="shared" si="105"/>
        <v>BRT vehicle km</v>
      </c>
      <c r="M154" s="250">
        <f>M$127/M144</f>
        <v>2.1058630711849068E-2</v>
      </c>
      <c r="N154" s="250">
        <f>N$127/N144</f>
        <v>0.22722938399699999</v>
      </c>
      <c r="O154" s="250">
        <f>O$127/O144</f>
        <v>0.54021938702729877</v>
      </c>
      <c r="P154" s="250">
        <f>P$127/P144</f>
        <v>0.9693770025550974</v>
      </c>
      <c r="Q154" s="250">
        <f>Q$127/Q144</f>
        <v>1.3882625323117959</v>
      </c>
      <c r="R154" s="250"/>
      <c r="S154" s="250">
        <f>S$127/S144</f>
        <v>2.1058630711849068E-2</v>
      </c>
      <c r="T154" s="250">
        <f t="shared" si="112"/>
        <v>0.22722938399699999</v>
      </c>
      <c r="U154" s="250">
        <f t="shared" si="112"/>
        <v>0.60645138245336661</v>
      </c>
      <c r="V154" s="250">
        <f t="shared" ref="V154" si="115">V166/V144</f>
        <v>1.156198864940619</v>
      </c>
      <c r="W154" s="250">
        <f>W166/W144</f>
        <v>1.7423343022606306</v>
      </c>
      <c r="X154" s="250"/>
      <c r="Y154" s="250"/>
      <c r="Z154" s="250"/>
      <c r="AB154" s="250"/>
      <c r="AC154" s="250"/>
      <c r="AD154" s="250"/>
      <c r="AE154" s="250"/>
      <c r="AF154" s="250"/>
      <c r="AG154" s="250"/>
      <c r="AH154" s="250"/>
      <c r="AI154" s="250"/>
      <c r="AJ154" s="250"/>
      <c r="AK154" s="250"/>
      <c r="AL154" s="250"/>
      <c r="AM154" s="250"/>
      <c r="AN154" s="250"/>
      <c r="AO154" s="250"/>
      <c r="AP154" s="250"/>
    </row>
    <row r="155" spans="1:42">
      <c r="A155" s="199" t="s">
        <v>16</v>
      </c>
      <c r="B155" s="199" t="s">
        <v>132</v>
      </c>
      <c r="C155" s="199" t="s">
        <v>90</v>
      </c>
      <c r="D155" s="199" t="str">
        <f>D154</f>
        <v>billion</v>
      </c>
      <c r="E155" s="52">
        <f>E139*E$129</f>
        <v>14.481708081439214</v>
      </c>
      <c r="F155" s="52">
        <f t="shared" ref="F155:H155" si="116">F139*F$129</f>
        <v>11.972556579022449</v>
      </c>
      <c r="G155" s="52">
        <f t="shared" si="116"/>
        <v>9.4720341660962628</v>
      </c>
      <c r="H155" s="52">
        <f t="shared" si="116"/>
        <v>9.4824769976881882</v>
      </c>
      <c r="I155" s="52">
        <f t="shared" si="102"/>
        <v>9.8416453986154089</v>
      </c>
      <c r="J155" s="52">
        <f t="shared" si="103"/>
        <v>10.354700105067447</v>
      </c>
      <c r="K155" s="52">
        <f t="shared" si="104"/>
        <v>11.566757031596611</v>
      </c>
      <c r="L155" s="267" t="str">
        <f t="shared" si="105"/>
        <v>Metro Rail pkm</v>
      </c>
      <c r="M155" s="250">
        <f>M139*M$129</f>
        <v>11.83268962284844</v>
      </c>
      <c r="N155" s="250">
        <f>N139*N$129</f>
        <v>9.4824769976881882</v>
      </c>
      <c r="O155" s="250">
        <f>O139*O$129</f>
        <v>8.7668159367892589</v>
      </c>
      <c r="P155" s="250">
        <f>P139*P$129</f>
        <v>7.3229079853609482</v>
      </c>
      <c r="Q155" s="250">
        <f>Q139*Q$129</f>
        <v>5.8207913922742875</v>
      </c>
      <c r="R155" s="250"/>
      <c r="S155" s="250">
        <f>S139*S$129</f>
        <v>11.83268962284844</v>
      </c>
      <c r="T155" s="250">
        <f>T167</f>
        <v>9.4824769976881882</v>
      </c>
      <c r="U155" s="250">
        <f t="shared" ref="U155:W155" si="117">U167</f>
        <v>9.8416453986154089</v>
      </c>
      <c r="V155" s="250">
        <f t="shared" si="117"/>
        <v>10.354700105067447</v>
      </c>
      <c r="W155" s="250">
        <f t="shared" si="117"/>
        <v>11.566757031596611</v>
      </c>
      <c r="X155" s="250"/>
      <c r="Y155" s="250"/>
      <c r="Z155" s="250"/>
      <c r="AB155" s="250"/>
      <c r="AC155" s="250"/>
      <c r="AD155" s="250"/>
      <c r="AE155" s="250"/>
      <c r="AF155" s="250"/>
      <c r="AG155" s="250"/>
      <c r="AH155" s="250"/>
      <c r="AI155" s="250"/>
      <c r="AJ155" s="250"/>
      <c r="AK155" s="250"/>
      <c r="AL155" s="250"/>
      <c r="AM155" s="250"/>
      <c r="AN155" s="250"/>
      <c r="AO155" s="250"/>
      <c r="AP155" s="250"/>
    </row>
    <row r="156" spans="1:42">
      <c r="A156" s="199" t="s">
        <v>16</v>
      </c>
      <c r="B156" s="199" t="s">
        <v>133</v>
      </c>
      <c r="C156" s="199" t="s">
        <v>91</v>
      </c>
      <c r="D156" s="199" t="s">
        <v>86</v>
      </c>
      <c r="E156" s="52">
        <f t="shared" ref="E156:H156" si="118">E128</f>
        <v>0.51926218869795138</v>
      </c>
      <c r="F156" s="52">
        <f t="shared" si="118"/>
        <v>0.6155080844206664</v>
      </c>
      <c r="G156" s="52">
        <f t="shared" si="118"/>
        <v>0.67172432237420632</v>
      </c>
      <c r="H156" s="52">
        <f t="shared" si="118"/>
        <v>0.72286969068405627</v>
      </c>
      <c r="I156" s="52">
        <f t="shared" si="102"/>
        <v>1.1623691684853323</v>
      </c>
      <c r="J156" s="52">
        <f t="shared" si="103"/>
        <v>1.6828407879974545</v>
      </c>
      <c r="K156" s="52">
        <f t="shared" si="104"/>
        <v>2.2058101148995513</v>
      </c>
      <c r="L156" s="267" t="str">
        <f t="shared" si="105"/>
        <v>Gautrain pkm</v>
      </c>
      <c r="M156" s="250">
        <f>M128</f>
        <v>0.51926218869795138</v>
      </c>
      <c r="N156" s="250">
        <f>N128</f>
        <v>0.72286969068405627</v>
      </c>
      <c r="O156" s="250">
        <f>O128</f>
        <v>1.0354240716845304</v>
      </c>
      <c r="P156" s="250">
        <f>P128</f>
        <v>1.3247643137425078</v>
      </c>
      <c r="Q156" s="250">
        <f>Q128</f>
        <v>1.5271702094967394</v>
      </c>
      <c r="R156" s="250"/>
      <c r="S156" s="250">
        <f>S128</f>
        <v>0.51926218869795138</v>
      </c>
      <c r="T156" s="250">
        <f>T168</f>
        <v>0.72286969068405627</v>
      </c>
      <c r="U156" s="250">
        <f t="shared" ref="U156:W156" si="119">U168</f>
        <v>1.1623691684853323</v>
      </c>
      <c r="V156" s="250">
        <f t="shared" si="119"/>
        <v>1.6828407879974545</v>
      </c>
      <c r="W156" s="250">
        <f t="shared" si="119"/>
        <v>2.2058101148995513</v>
      </c>
      <c r="X156" s="250"/>
      <c r="Y156" s="250"/>
      <c r="Z156" s="250"/>
      <c r="AB156" s="250"/>
      <c r="AC156" s="250"/>
      <c r="AD156" s="250"/>
      <c r="AE156" s="250"/>
      <c r="AF156" s="250"/>
      <c r="AG156" s="250"/>
      <c r="AH156" s="250"/>
      <c r="AI156" s="250"/>
      <c r="AJ156" s="250"/>
      <c r="AK156" s="250"/>
      <c r="AL156" s="250"/>
      <c r="AM156" s="250"/>
      <c r="AN156" s="250"/>
      <c r="AO156" s="250"/>
      <c r="AP156" s="250"/>
    </row>
    <row r="157" spans="1:42">
      <c r="A157" s="199" t="s">
        <v>16</v>
      </c>
      <c r="AA157" s="199" t="s">
        <v>630</v>
      </c>
    </row>
    <row r="158" spans="1:42">
      <c r="A158" s="199" t="s">
        <v>16</v>
      </c>
      <c r="S158" s="293"/>
      <c r="T158" s="293"/>
      <c r="U158" s="293"/>
      <c r="V158" s="293"/>
      <c r="AA158" s="199" t="s">
        <v>620</v>
      </c>
      <c r="AE158" s="199" t="s">
        <v>625</v>
      </c>
      <c r="AI158" s="199" t="s">
        <v>626</v>
      </c>
    </row>
    <row r="159" spans="1:42" ht="15.75" thickBot="1">
      <c r="A159" s="199" t="s">
        <v>16</v>
      </c>
      <c r="E159" s="266"/>
      <c r="M159" s="199" t="s">
        <v>41</v>
      </c>
      <c r="O159" s="10"/>
      <c r="S159" s="199" t="s">
        <v>197</v>
      </c>
      <c r="U159" s="10"/>
      <c r="AA159" s="270">
        <v>1</v>
      </c>
      <c r="AB159" s="270">
        <v>1</v>
      </c>
      <c r="AC159" s="270">
        <v>1</v>
      </c>
      <c r="AD159" s="270"/>
      <c r="AE159" s="270">
        <v>2</v>
      </c>
      <c r="AF159" s="270">
        <v>2</v>
      </c>
      <c r="AG159" s="270">
        <v>2</v>
      </c>
      <c r="AI159" s="270">
        <v>3</v>
      </c>
      <c r="AJ159" s="270">
        <v>3</v>
      </c>
      <c r="AK159" s="270">
        <v>3</v>
      </c>
    </row>
    <row r="160" spans="1:42" ht="15.75" thickBot="1">
      <c r="A160" s="199" t="s">
        <v>16</v>
      </c>
      <c r="C160" s="244" t="s">
        <v>141</v>
      </c>
      <c r="D160" s="244"/>
      <c r="E160" s="7">
        <v>2012</v>
      </c>
      <c r="F160" s="7">
        <f>F4</f>
        <v>2015</v>
      </c>
      <c r="G160" s="7">
        <f>G4</f>
        <v>2017</v>
      </c>
      <c r="H160" s="7">
        <v>2020</v>
      </c>
      <c r="I160" s="7">
        <v>2030</v>
      </c>
      <c r="J160" s="7">
        <v>2040</v>
      </c>
      <c r="K160" s="7">
        <v>2050</v>
      </c>
      <c r="L160" s="199"/>
      <c r="M160" s="199">
        <f>F160</f>
        <v>2015</v>
      </c>
      <c r="N160" s="199">
        <f>H160</f>
        <v>2020</v>
      </c>
      <c r="O160" s="199">
        <f>I160</f>
        <v>2030</v>
      </c>
      <c r="P160" s="199">
        <v>2040</v>
      </c>
      <c r="Q160" s="199">
        <f>K160</f>
        <v>2050</v>
      </c>
      <c r="S160" s="199">
        <f>M160</f>
        <v>2015</v>
      </c>
      <c r="T160" s="199">
        <f>N160</f>
        <v>2020</v>
      </c>
      <c r="U160" s="199">
        <f>O160</f>
        <v>2030</v>
      </c>
      <c r="V160" s="199">
        <v>2040</v>
      </c>
      <c r="W160" s="199">
        <f>Q160</f>
        <v>2050</v>
      </c>
      <c r="AA160" s="270">
        <v>2030</v>
      </c>
      <c r="AB160" s="270">
        <v>2040</v>
      </c>
      <c r="AC160" s="270">
        <v>2050</v>
      </c>
      <c r="AD160" s="270"/>
      <c r="AE160" s="270">
        <v>2030</v>
      </c>
      <c r="AF160" s="270">
        <v>2040</v>
      </c>
      <c r="AG160" s="270">
        <v>2050</v>
      </c>
      <c r="AI160" s="270">
        <v>2030</v>
      </c>
      <c r="AJ160" s="270">
        <v>2040</v>
      </c>
      <c r="AK160" s="270">
        <v>2050</v>
      </c>
    </row>
    <row r="161" spans="1:38">
      <c r="A161" s="199" t="s">
        <v>16</v>
      </c>
      <c r="B161" s="199" t="s">
        <v>128</v>
      </c>
      <c r="C161" s="199" t="s">
        <v>100</v>
      </c>
      <c r="D161" s="199" t="s">
        <v>86</v>
      </c>
      <c r="E161" s="52">
        <f t="shared" ref="E161:Q163" si="120">SUMPRODUCT(E$35:E$38,E$41:E$44,E$54:E$57)*E132</f>
        <v>111.27634778039375</v>
      </c>
      <c r="F161" s="52">
        <f>SUMPRODUCT(F$35:F$38,F$41:F$44,F$54:F$57)*F132</f>
        <v>111.53275578645008</v>
      </c>
      <c r="G161" s="52">
        <f>SUMPRODUCT(G$35:G$38,G$41:G$44,G$54:G$57)*G132</f>
        <v>150.9076632147312</v>
      </c>
      <c r="H161" s="52">
        <f t="shared" si="120"/>
        <v>152.37404244874728</v>
      </c>
      <c r="I161" s="52">
        <f>IF($D$4,U161,O161)</f>
        <v>218.23677077998013</v>
      </c>
      <c r="J161" s="52">
        <f t="shared" ref="J161:K161" si="121">IF($D$4,V161,P161)</f>
        <v>285.80716057564291</v>
      </c>
      <c r="K161" s="52">
        <f t="shared" si="121"/>
        <v>333.33686364078045</v>
      </c>
      <c r="L161" s="199" t="str">
        <f t="shared" ref="L161:L168" si="122">C161</f>
        <v>Car</v>
      </c>
      <c r="M161" s="10">
        <f t="shared" si="120"/>
        <v>112.68063157997248</v>
      </c>
      <c r="N161" s="10">
        <f>SUMPRODUCT(N$35:N$38,N$41:N$44,N$54:N$57)*N132</f>
        <v>152.46077873169097</v>
      </c>
      <c r="O161" s="10">
        <f t="shared" si="120"/>
        <v>233.82511154997874</v>
      </c>
      <c r="P161" s="10">
        <f t="shared" si="120"/>
        <v>329.77749297189564</v>
      </c>
      <c r="Q161" s="10">
        <f t="shared" si="120"/>
        <v>416.67107955097555</v>
      </c>
      <c r="S161" s="10">
        <f t="shared" ref="S161:S163" si="123">SUMPRODUCT(S$35:S$38,S$41:S$44,S$54:S$57)*S132</f>
        <v>112.68063157997248</v>
      </c>
      <c r="T161" s="10">
        <f>N161</f>
        <v>152.46077873169097</v>
      </c>
      <c r="U161" s="10" cm="1">
        <f t="array" ref="U161">O161*INDEX($AA$161:$AK$168,MATCH($C161,$C$161:$C$168,0),MATCH(U$160&amp;$D$3,$AA$160:$AK$160&amp;$AA$159:$AK$159,0))</f>
        <v>218.23677077998013</v>
      </c>
      <c r="V161" s="10">
        <f t="array" ref="V161">P161*INDEX($AA$161:$AK$168,MATCH($C161,$C$161:$C$168,0),MATCH(V$160&amp;$D$3,$AA$160:$AK$160&amp;$AA$159:$AK$159,0))</f>
        <v>285.80716057564291</v>
      </c>
      <c r="W161" s="10" cm="1">
        <f t="array" ref="W161">Q161*INDEX($AA$161:$AK$168,MATCH($C161,$C$161:$C$168,0),MATCH(W$160&amp;$D$3,$AA$160:$AK$160&amp;$AA$159:$AK$159,0))</f>
        <v>333.33686364078045</v>
      </c>
      <c r="AA161" s="250">
        <v>0.8</v>
      </c>
      <c r="AB161" s="250">
        <f>AVERAGE(AA161,AC161)</f>
        <v>0.8</v>
      </c>
      <c r="AC161" s="250">
        <v>0.8</v>
      </c>
      <c r="AD161" s="266"/>
      <c r="AE161" s="250">
        <f>AVERAGE(1,1,AG161)</f>
        <v>0.93333333333333324</v>
      </c>
      <c r="AF161" s="250">
        <f>AVERAGE(AE161,AG161)</f>
        <v>0.8666666666666667</v>
      </c>
      <c r="AG161" s="250">
        <v>0.8</v>
      </c>
      <c r="AI161" s="250">
        <v>0.8</v>
      </c>
      <c r="AJ161" s="250">
        <f>AVERAGE(AK161,AI161)</f>
        <v>0.75</v>
      </c>
      <c r="AK161" s="250">
        <v>0.7</v>
      </c>
    </row>
    <row r="162" spans="1:38">
      <c r="A162" s="199" t="s">
        <v>16</v>
      </c>
      <c r="B162" s="199" t="s">
        <v>127</v>
      </c>
      <c r="C162" s="199" t="s">
        <v>99</v>
      </c>
      <c r="D162" s="199" t="s">
        <v>86</v>
      </c>
      <c r="E162" s="52">
        <f t="shared" si="120"/>
        <v>12.776914029188886</v>
      </c>
      <c r="F162" s="52">
        <f t="shared" si="120"/>
        <v>12.806355173826766</v>
      </c>
      <c r="G162" s="52">
        <f t="shared" si="120"/>
        <v>17.327439996913135</v>
      </c>
      <c r="H162" s="52">
        <f t="shared" si="120"/>
        <v>17.414176279856832</v>
      </c>
      <c r="I162" s="52">
        <f t="shared" ref="I162:I168" si="124">IF($D$4,U162,O162)</f>
        <v>24.80299905502293</v>
      </c>
      <c r="J162" s="52">
        <f t="shared" ref="J162:J168" si="125">IF($D$4,V162,P162)</f>
        <v>32.482494624259495</v>
      </c>
      <c r="K162" s="52">
        <f t="shared" ref="K162:K168" si="126">IF($D$4,W162,Q162)</f>
        <v>37.884330327733316</v>
      </c>
      <c r="L162" s="199" t="str">
        <f t="shared" si="122"/>
        <v>SUV</v>
      </c>
      <c r="M162" s="10">
        <f t="shared" si="120"/>
        <v>12.806355173826766</v>
      </c>
      <c r="N162" s="10">
        <f t="shared" si="120"/>
        <v>17.327439996913135</v>
      </c>
      <c r="O162" s="10">
        <f t="shared" si="120"/>
        <v>26.574641844667429</v>
      </c>
      <c r="P162" s="10">
        <f t="shared" si="120"/>
        <v>37.479801489530189</v>
      </c>
      <c r="Q162" s="10">
        <f t="shared" si="120"/>
        <v>47.35541290966664</v>
      </c>
      <c r="S162" s="10">
        <f t="shared" si="123"/>
        <v>12.806355173826766</v>
      </c>
      <c r="T162" s="10">
        <f t="shared" ref="T162:T168" si="127">N162</f>
        <v>17.327439996913135</v>
      </c>
      <c r="U162" s="10">
        <f t="array" ref="U162">O162*INDEX($AA$161:$AK$168,MATCH($C162,$C$161:$C$168,0),MATCH(U$160&amp;$D$3,$AA$160:$AK$160&amp;$AA$159:$AK$159,0))</f>
        <v>24.80299905502293</v>
      </c>
      <c r="V162" s="10">
        <f t="array" ref="V162">P162*INDEX($AA$161:$AK$168,MATCH($C162,$C$161:$C$168,0),MATCH(V$160&amp;$D$3,$AA$160:$AK$160&amp;$AA$159:$AK$159,0))</f>
        <v>32.482494624259495</v>
      </c>
      <c r="W162" s="10">
        <f t="array" ref="W162">Q162*INDEX($AA$161:$AK$168,MATCH($C162,$C$161:$C$168,0),MATCH(W$160&amp;$D$3,$AA$160:$AK$160&amp;$AA$159:$AK$159,0))</f>
        <v>37.884330327733316</v>
      </c>
      <c r="AA162" s="250">
        <f>AA161</f>
        <v>0.8</v>
      </c>
      <c r="AB162" s="250">
        <f t="shared" ref="AB162:AC162" si="128">AB161</f>
        <v>0.8</v>
      </c>
      <c r="AC162" s="250">
        <f t="shared" si="128"/>
        <v>0.8</v>
      </c>
      <c r="AD162" s="266"/>
      <c r="AE162" s="250">
        <f>AE161</f>
        <v>0.93333333333333324</v>
      </c>
      <c r="AF162" s="250">
        <f t="shared" ref="AF162:AG162" si="129">AF161</f>
        <v>0.8666666666666667</v>
      </c>
      <c r="AG162" s="250">
        <f t="shared" si="129"/>
        <v>0.8</v>
      </c>
      <c r="AI162" s="250">
        <f>AI161</f>
        <v>0.8</v>
      </c>
      <c r="AJ162" s="250">
        <f t="shared" ref="AJ162:AK162" si="130">AJ161</f>
        <v>0.75</v>
      </c>
      <c r="AK162" s="250">
        <f t="shared" si="130"/>
        <v>0.7</v>
      </c>
    </row>
    <row r="163" spans="1:38">
      <c r="A163" s="199" t="s">
        <v>16</v>
      </c>
      <c r="B163" s="199" t="s">
        <v>183</v>
      </c>
      <c r="C163" s="199" t="s">
        <v>212</v>
      </c>
      <c r="D163" s="199" t="s">
        <v>86</v>
      </c>
      <c r="E163" s="52">
        <f t="shared" si="120"/>
        <v>4.3554548020513648</v>
      </c>
      <c r="F163" s="52">
        <f t="shared" si="120"/>
        <v>3.2176150449692118</v>
      </c>
      <c r="G163" s="52">
        <f t="shared" si="120"/>
        <v>4.3535440699642081</v>
      </c>
      <c r="H163" s="52">
        <f t="shared" si="120"/>
        <v>4.3535440699642081</v>
      </c>
      <c r="I163" s="52">
        <f t="shared" si="124"/>
        <v>6.6769167537088769</v>
      </c>
      <c r="J163" s="52">
        <f t="shared" si="125"/>
        <v>9.4168537041391236</v>
      </c>
      <c r="K163" s="52">
        <f t="shared" si="126"/>
        <v>11.898115191298519</v>
      </c>
      <c r="L163" s="199" t="str">
        <f t="shared" si="122"/>
        <v>Motorbike</v>
      </c>
      <c r="M163" s="10">
        <f t="shared" si="120"/>
        <v>3.2176150449692118</v>
      </c>
      <c r="N163" s="10">
        <f t="shared" si="120"/>
        <v>4.3535440699642081</v>
      </c>
      <c r="O163" s="10">
        <f t="shared" si="120"/>
        <v>6.6769167537088769</v>
      </c>
      <c r="P163" s="10">
        <f t="shared" si="120"/>
        <v>9.4168537041391236</v>
      </c>
      <c r="Q163" s="10">
        <f t="shared" si="120"/>
        <v>11.898115191298519</v>
      </c>
      <c r="S163" s="10">
        <f t="shared" si="123"/>
        <v>3.2176150449692118</v>
      </c>
      <c r="T163" s="10">
        <f t="shared" si="127"/>
        <v>4.3535440699642081</v>
      </c>
      <c r="U163" s="10">
        <f t="array" ref="U163">O163*INDEX($AA$161:$AK$168,MATCH($C163,$C$161:$C$168,0),MATCH(U$160&amp;$D$3,$AA$160:$AK$160&amp;$AA$159:$AK$159,0))</f>
        <v>6.6769167537088769</v>
      </c>
      <c r="V163" s="10">
        <f t="array" ref="V163">P163*INDEX($AA$161:$AK$168,MATCH($C163,$C$161:$C$168,0),MATCH(V$160&amp;$D$3,$AA$160:$AK$160&amp;$AA$159:$AK$159,0))</f>
        <v>9.4168537041391236</v>
      </c>
      <c r="W163" s="10">
        <f t="array" ref="W163">Q163*INDEX($AA$161:$AK$168,MATCH($C163,$C$161:$C$168,0),MATCH(W$160&amp;$D$3,$AA$160:$AK$160&amp;$AA$159:$AK$159,0))</f>
        <v>11.898115191298519</v>
      </c>
      <c r="AA163" s="266">
        <v>1</v>
      </c>
      <c r="AB163" s="266">
        <v>1</v>
      </c>
      <c r="AC163" s="266">
        <v>1</v>
      </c>
      <c r="AD163" s="266"/>
      <c r="AE163" s="266">
        <v>1</v>
      </c>
      <c r="AF163" s="266">
        <v>1</v>
      </c>
      <c r="AG163" s="266">
        <v>1</v>
      </c>
      <c r="AH163" s="266"/>
      <c r="AI163" s="266">
        <v>1</v>
      </c>
      <c r="AJ163" s="266">
        <v>1</v>
      </c>
      <c r="AK163" s="266">
        <v>1</v>
      </c>
    </row>
    <row r="164" spans="1:38">
      <c r="A164" s="199" t="s">
        <v>16</v>
      </c>
      <c r="B164" s="199" t="s">
        <v>129</v>
      </c>
      <c r="C164" s="199" t="s">
        <v>62</v>
      </c>
      <c r="D164" s="199" t="s">
        <v>86</v>
      </c>
      <c r="E164" s="53">
        <f t="shared" ref="E164:S166" si="131">E152*E142</f>
        <v>15.449787242939724</v>
      </c>
      <c r="F164" s="53">
        <f t="shared" si="131"/>
        <v>16.25</v>
      </c>
      <c r="G164" s="53">
        <f t="shared" si="131"/>
        <v>16.788607407243475</v>
      </c>
      <c r="H164" s="53">
        <f t="shared" si="131"/>
        <v>30.807076455367728</v>
      </c>
      <c r="I164" s="52">
        <f t="shared" si="124"/>
        <v>21.109616217320024</v>
      </c>
      <c r="J164" s="52">
        <f t="shared" si="125"/>
        <v>22.210081384782367</v>
      </c>
      <c r="K164" s="52">
        <f t="shared" si="126"/>
        <v>24.809855661975359</v>
      </c>
      <c r="L164" s="199" t="str">
        <f t="shared" si="122"/>
        <v>Bus</v>
      </c>
      <c r="M164" s="10">
        <f t="shared" si="131"/>
        <v>26.811456492147904</v>
      </c>
      <c r="N164" s="10">
        <f t="shared" si="131"/>
        <v>20.33922602402685</v>
      </c>
      <c r="O164" s="10">
        <f t="shared" si="131"/>
        <v>18.804184907895817</v>
      </c>
      <c r="P164" s="10">
        <f t="shared" si="131"/>
        <v>15.707106983093061</v>
      </c>
      <c r="Q164" s="10">
        <f t="shared" si="131"/>
        <v>12.485175739950657</v>
      </c>
      <c r="S164" s="10">
        <f t="shared" si="131"/>
        <v>26.811456492147904</v>
      </c>
      <c r="T164" s="10">
        <f t="shared" si="127"/>
        <v>20.33922602402685</v>
      </c>
      <c r="U164" s="10">
        <f t="array" ref="U164">O164+INDEX($AA$161:$AK$168,MATCH($C164,$C$161:$C$168,0),MATCH(U$160&amp;$D$3,$AA$160:$AK$160&amp;$AA$159:$AK$159,0))</f>
        <v>21.109616217320024</v>
      </c>
      <c r="V164" s="10">
        <f t="array" ref="V164">P164+INDEX($AA$161:$AK$168,MATCH($C164,$C$161:$C$168,0),MATCH(V$160&amp;$D$3,$AA$160:$AK$160&amp;$AA$159:$AK$159,0))</f>
        <v>22.210081384782367</v>
      </c>
      <c r="W164" s="10">
        <f t="array" ref="W164">Q164+INDEX($AA$161:$AK$168,MATCH($C164,$C$161:$C$168,0),MATCH(W$160&amp;$D$3,$AA$160:$AK$160&amp;$AA$159:$AK$159,0))</f>
        <v>24.809855661975359</v>
      </c>
      <c r="AA164" s="10">
        <f t="shared" ref="AA164:AC168" si="132">SUM(O$161:O$162)*(1-AA$161) *AA175</f>
        <v>6.9162939282726175</v>
      </c>
      <c r="AB164" s="10">
        <f t="shared" si="132"/>
        <v>9.7544616025339597</v>
      </c>
      <c r="AC164" s="10">
        <f t="shared" si="132"/>
        <v>12.324679922024702</v>
      </c>
      <c r="AD164" s="10"/>
      <c r="AE164" s="10">
        <f>SUM(O$161:O$162)*(1-AE$161) *AE175</f>
        <v>2.3054313094242094</v>
      </c>
      <c r="AF164" s="10">
        <f t="shared" ref="AF164:AG164" si="133">SUM(P$161:P$162)*(1-AF$161) *AF175</f>
        <v>6.5029744016893067</v>
      </c>
      <c r="AG164" s="10">
        <f t="shared" si="133"/>
        <v>12.324679922024702</v>
      </c>
      <c r="AH164" s="10"/>
      <c r="AI164" s="10">
        <f>SUM(O$161:O$162)*(1-AI$161) *AI175</f>
        <v>6.9162939282726175</v>
      </c>
      <c r="AJ164" s="10">
        <f t="shared" ref="AJ164:AK164" si="134">SUM(P$161:P$162)*(1-AJ$161) *AJ175</f>
        <v>12.193077003167453</v>
      </c>
      <c r="AK164" s="10">
        <f t="shared" si="134"/>
        <v>18.487019883037057</v>
      </c>
    </row>
    <row r="165" spans="1:38">
      <c r="A165" s="199" t="s">
        <v>16</v>
      </c>
      <c r="B165" s="199" t="s">
        <v>130</v>
      </c>
      <c r="C165" s="199" t="s">
        <v>61</v>
      </c>
      <c r="D165" s="199" t="s">
        <v>86</v>
      </c>
      <c r="E165" s="53">
        <f t="shared" si="131"/>
        <v>83.379895345312434</v>
      </c>
      <c r="F165" s="53">
        <f t="shared" si="131"/>
        <v>96.600000000000009</v>
      </c>
      <c r="G165" s="53">
        <f>G153*G143</f>
        <v>99.995742000000007</v>
      </c>
      <c r="H165" s="53">
        <f t="shared" si="131"/>
        <v>97.137649411990381</v>
      </c>
      <c r="I165" s="52">
        <f t="shared" si="124"/>
        <v>111.68128039298364</v>
      </c>
      <c r="J165" s="52">
        <f t="shared" si="125"/>
        <v>117.50333597489589</v>
      </c>
      <c r="K165" s="52">
        <f t="shared" si="126"/>
        <v>131.25754718463989</v>
      </c>
      <c r="L165" s="199" t="str">
        <f t="shared" si="122"/>
        <v>Minibus</v>
      </c>
      <c r="M165" s="10">
        <f t="shared" si="131"/>
        <v>93.170591267983497</v>
      </c>
      <c r="N165" s="10">
        <f t="shared" si="131"/>
        <v>107.60549984333126</v>
      </c>
      <c r="O165" s="10">
        <f t="shared" si="131"/>
        <v>99.484302587043402</v>
      </c>
      <c r="P165" s="10">
        <f t="shared" si="131"/>
        <v>83.099086268661253</v>
      </c>
      <c r="Q165" s="10">
        <f t="shared" si="131"/>
        <v>66.053328407982178</v>
      </c>
      <c r="S165" s="10">
        <f t="shared" si="131"/>
        <v>93.170591267983497</v>
      </c>
      <c r="T165" s="10">
        <f t="shared" si="127"/>
        <v>107.60549984333126</v>
      </c>
      <c r="U165" s="10">
        <f t="array" ref="U165">O165+INDEX($AA$161:$AK$168,MATCH($C165,$C$161:$C$168,0),MATCH(U$160&amp;$D$3,$AA$160:$AK$160&amp;$AA$159:$AK$159,0))</f>
        <v>111.68128039298364</v>
      </c>
      <c r="V165" s="10">
        <f t="array" ref="V165">P165+INDEX($AA$161:$AK$168,MATCH($C165,$C$161:$C$168,0),MATCH(V$160&amp;$D$3,$AA$160:$AK$160&amp;$AA$159:$AK$159,0))</f>
        <v>117.50333597489589</v>
      </c>
      <c r="W165" s="10" cm="1">
        <f t="array" ref="W165">Q165+INDEX($AA$161:$AK$168,MATCH($C165,$C$161:$C$168,0),MATCH(W$160&amp;$D$3,$AA$160:$AK$160&amp;$AA$159:$AK$159,0))</f>
        <v>131.25754718463989</v>
      </c>
      <c r="AA165" s="10">
        <f t="shared" si="132"/>
        <v>36.590933417820672</v>
      </c>
      <c r="AB165" s="10">
        <f t="shared" si="132"/>
        <v>51.606374559351963</v>
      </c>
      <c r="AC165" s="10">
        <f t="shared" si="132"/>
        <v>65.204218776657711</v>
      </c>
      <c r="AD165" s="10"/>
      <c r="AE165" s="10">
        <f>SUM(O$161:O$162)*(1-AE$161) *AE176</f>
        <v>12.196977805940243</v>
      </c>
      <c r="AF165" s="10">
        <f t="shared" ref="AF165:AG165" si="135">SUM(P$161:P$162)*(1-AF$161) *AF176</f>
        <v>34.404249706234644</v>
      </c>
      <c r="AG165" s="10">
        <f t="shared" si="135"/>
        <v>65.204218776657711</v>
      </c>
      <c r="AH165" s="10"/>
      <c r="AI165" s="10">
        <f>SUM(O$161:O$162)*(1-AI$161) *AI176</f>
        <v>36.590933417820672</v>
      </c>
      <c r="AJ165" s="10">
        <f t="shared" ref="AJ165:AK168" si="136">SUM(P$161:P$162)*(1-AJ$161) *AJ176</f>
        <v>64.507968199189975</v>
      </c>
      <c r="AK165" s="10">
        <f t="shared" si="136"/>
        <v>97.806328164986596</v>
      </c>
    </row>
    <row r="166" spans="1:38">
      <c r="A166" s="199" t="s">
        <v>16</v>
      </c>
      <c r="B166" s="199" t="s">
        <v>131</v>
      </c>
      <c r="C166" s="199" t="s">
        <v>63</v>
      </c>
      <c r="D166" s="199" t="s">
        <v>86</v>
      </c>
      <c r="E166" s="53">
        <f t="shared" si="131"/>
        <v>0.52646576779622667</v>
      </c>
      <c r="F166" s="53">
        <f t="shared" si="131"/>
        <v>0.57390578210995402</v>
      </c>
      <c r="G166" s="53">
        <f t="shared" si="131"/>
        <v>0.60507066515632002</v>
      </c>
      <c r="H166" s="53">
        <f t="shared" si="131"/>
        <v>5.6807345999249996</v>
      </c>
      <c r="I166" s="52">
        <f t="shared" si="124"/>
        <v>15.161284561334165</v>
      </c>
      <c r="J166" s="52">
        <f t="shared" si="125"/>
        <v>28.904971623515472</v>
      </c>
      <c r="K166" s="52">
        <f t="shared" si="126"/>
        <v>43.558357556515766</v>
      </c>
      <c r="L166" s="199" t="str">
        <f t="shared" si="122"/>
        <v>BRT</v>
      </c>
      <c r="M166" s="10">
        <f t="shared" si="131"/>
        <v>0.52646576779622667</v>
      </c>
      <c r="N166" s="10">
        <f t="shared" si="131"/>
        <v>5.6807345999249996</v>
      </c>
      <c r="O166" s="10">
        <f t="shared" si="131"/>
        <v>13.505484675682469</v>
      </c>
      <c r="P166" s="10">
        <f t="shared" si="131"/>
        <v>24.234425063877435</v>
      </c>
      <c r="Q166" s="10">
        <f t="shared" si="131"/>
        <v>34.706563307794895</v>
      </c>
      <c r="S166" s="10">
        <f t="shared" si="131"/>
        <v>0.52646576779622667</v>
      </c>
      <c r="T166" s="10">
        <f t="shared" si="127"/>
        <v>5.6807345999249996</v>
      </c>
      <c r="U166" s="10">
        <f t="array" ref="U166">O166+INDEX($AA$161:$AK$168,MATCH($C166,$C$161:$C$168,0),MATCH(U$160&amp;$D$3,$AA$160:$AK$160&amp;$AA$159:$AK$159,0))</f>
        <v>15.161284561334165</v>
      </c>
      <c r="V166" s="10">
        <f t="array" ref="V166">P166+INDEX($AA$161:$AK$168,MATCH($C166,$C$161:$C$168,0),MATCH(V$160&amp;$D$3,$AA$160:$AK$160&amp;$AA$159:$AK$159,0))</f>
        <v>28.904971623515472</v>
      </c>
      <c r="W166" s="10">
        <f t="array" ref="W166">Q166+INDEX($AA$161:$AK$168,MATCH($C166,$C$161:$C$168,0),MATCH(W$160&amp;$D$3,$AA$160:$AK$160&amp;$AA$159:$AK$159,0))</f>
        <v>43.558357556515766</v>
      </c>
      <c r="AA166" s="10">
        <f t="shared" si="132"/>
        <v>4.9673996569550791</v>
      </c>
      <c r="AB166" s="10">
        <f t="shared" si="132"/>
        <v>7.0058198394570557</v>
      </c>
      <c r="AC166" s="10">
        <f t="shared" si="132"/>
        <v>8.8517942487208732</v>
      </c>
      <c r="AD166" s="10"/>
      <c r="AE166" s="10">
        <f t="shared" ref="AE166:AE168" si="137">SUM(O$161:O$162)*(1-AE$161) *AE177</f>
        <v>1.6557998856516956</v>
      </c>
      <c r="AF166" s="10">
        <f t="shared" ref="AF166:AF168" si="138">SUM(P$161:P$162)*(1-AF$161) *AF177</f>
        <v>4.6705465596380371</v>
      </c>
      <c r="AG166" s="10">
        <f t="shared" ref="AG166:AG168" si="139">SUM(Q$161:Q$162)*(1-AG$161) *AG177</f>
        <v>8.8517942487208732</v>
      </c>
      <c r="AH166" s="10"/>
      <c r="AI166" s="10">
        <f t="shared" ref="AI166:AI168" si="140">SUM(O$161:O$162)*(1-AI$161) *AI177</f>
        <v>4.9673996569550791</v>
      </c>
      <c r="AJ166" s="10">
        <f t="shared" si="136"/>
        <v>8.7572747993213227</v>
      </c>
      <c r="AK166" s="10">
        <f t="shared" si="136"/>
        <v>13.277691373081314</v>
      </c>
    </row>
    <row r="167" spans="1:38">
      <c r="A167" s="199" t="s">
        <v>16</v>
      </c>
      <c r="B167" s="199" t="s">
        <v>132</v>
      </c>
      <c r="C167" s="199" t="s">
        <v>85</v>
      </c>
      <c r="D167" s="199" t="str">
        <f>D166</f>
        <v>billion</v>
      </c>
      <c r="E167" s="52">
        <f t="shared" ref="E167:S168" si="141">E155</f>
        <v>14.481708081439214</v>
      </c>
      <c r="F167" s="52">
        <f t="shared" si="141"/>
        <v>11.972556579022449</v>
      </c>
      <c r="G167" s="52">
        <f t="shared" si="141"/>
        <v>9.4720341660962628</v>
      </c>
      <c r="H167" s="52">
        <f t="shared" si="141"/>
        <v>9.4824769976881882</v>
      </c>
      <c r="I167" s="52">
        <f t="shared" si="124"/>
        <v>9.8416453986154089</v>
      </c>
      <c r="J167" s="52">
        <f t="shared" si="125"/>
        <v>10.354700105067447</v>
      </c>
      <c r="K167" s="52">
        <f t="shared" si="126"/>
        <v>11.566757031596611</v>
      </c>
      <c r="L167" s="199" t="str">
        <f t="shared" si="122"/>
        <v>Metro Rail</v>
      </c>
      <c r="M167" s="10">
        <f t="shared" si="141"/>
        <v>11.83268962284844</v>
      </c>
      <c r="N167" s="10">
        <f t="shared" si="141"/>
        <v>9.4824769976881882</v>
      </c>
      <c r="O167" s="10">
        <f t="shared" si="141"/>
        <v>8.7668159367892589</v>
      </c>
      <c r="P167" s="10">
        <f t="shared" si="141"/>
        <v>7.3229079853609482</v>
      </c>
      <c r="Q167" s="10">
        <f t="shared" si="141"/>
        <v>5.8207913922742875</v>
      </c>
      <c r="S167" s="10">
        <f t="shared" si="141"/>
        <v>11.83268962284844</v>
      </c>
      <c r="T167" s="10">
        <f t="shared" si="127"/>
        <v>9.4824769976881882</v>
      </c>
      <c r="U167" s="10">
        <f t="array" ref="U167">O167+INDEX($AA$161:$AK$168,MATCH($C167,$C$161:$C$168,0),MATCH(U$160&amp;$D$3,$AA$160:$AK$160&amp;$AA$159:$AK$159,0))</f>
        <v>9.8416453986154089</v>
      </c>
      <c r="V167" s="10">
        <f t="array" ref="V167">P167+INDEX($AA$161:$AK$168,MATCH($C167,$C$161:$C$168,0),MATCH(V$160&amp;$D$3,$AA$160:$AK$160&amp;$AA$159:$AK$159,0))</f>
        <v>10.354700105067447</v>
      </c>
      <c r="W167" s="10">
        <f t="array" ref="W167">Q167+INDEX($AA$161:$AK$168,MATCH($C167,$C$161:$C$168,0),MATCH(W$160&amp;$D$3,$AA$160:$AK$160&amp;$AA$159:$AK$159,0))</f>
        <v>11.566757031596611</v>
      </c>
      <c r="AA167" s="10">
        <f t="shared" si="132"/>
        <v>3.2244883854784478</v>
      </c>
      <c r="AB167" s="10">
        <f t="shared" si="132"/>
        <v>4.5476881795597484</v>
      </c>
      <c r="AC167" s="10">
        <f t="shared" si="132"/>
        <v>5.7459656393223231</v>
      </c>
      <c r="AD167" s="10"/>
      <c r="AE167" s="10">
        <f t="shared" si="137"/>
        <v>1.0748294618261509</v>
      </c>
      <c r="AF167" s="10">
        <f t="shared" si="138"/>
        <v>3.0317921197064988</v>
      </c>
      <c r="AG167" s="10">
        <f t="shared" si="139"/>
        <v>5.7459656393223231</v>
      </c>
      <c r="AH167" s="10"/>
      <c r="AI167" s="10">
        <f t="shared" si="140"/>
        <v>3.2244883854784478</v>
      </c>
      <c r="AJ167" s="10">
        <f t="shared" si="136"/>
        <v>5.6846102244496874</v>
      </c>
      <c r="AK167" s="10">
        <f t="shared" si="136"/>
        <v>8.6189484589834873</v>
      </c>
    </row>
    <row r="168" spans="1:38">
      <c r="A168" s="199" t="s">
        <v>16</v>
      </c>
      <c r="B168" s="199" t="s">
        <v>133</v>
      </c>
      <c r="C168" s="199" t="s">
        <v>82</v>
      </c>
      <c r="D168" s="199" t="s">
        <v>86</v>
      </c>
      <c r="E168" s="52">
        <f t="shared" si="141"/>
        <v>0.51926218869795138</v>
      </c>
      <c r="F168" s="52">
        <f t="shared" si="141"/>
        <v>0.6155080844206664</v>
      </c>
      <c r="G168" s="52">
        <f t="shared" si="141"/>
        <v>0.67172432237420632</v>
      </c>
      <c r="H168" s="52">
        <f t="shared" si="141"/>
        <v>0.72286969068405627</v>
      </c>
      <c r="I168" s="52">
        <f t="shared" si="124"/>
        <v>1.1623691684853323</v>
      </c>
      <c r="J168" s="52">
        <f t="shared" si="125"/>
        <v>1.6828407879974545</v>
      </c>
      <c r="K168" s="52">
        <f t="shared" si="126"/>
        <v>2.2058101148995513</v>
      </c>
      <c r="L168" s="199" t="str">
        <f t="shared" si="122"/>
        <v>Gautrain</v>
      </c>
      <c r="M168" s="10">
        <f t="shared" si="141"/>
        <v>0.51926218869795138</v>
      </c>
      <c r="N168" s="10">
        <f t="shared" si="141"/>
        <v>0.72286969068405627</v>
      </c>
      <c r="O168" s="10">
        <f t="shared" si="141"/>
        <v>1.0354240716845304</v>
      </c>
      <c r="P168" s="10">
        <f t="shared" si="141"/>
        <v>1.3247643137425078</v>
      </c>
      <c r="Q168" s="10">
        <f t="shared" si="141"/>
        <v>1.5271702094967394</v>
      </c>
      <c r="S168" s="10">
        <f t="shared" si="141"/>
        <v>0.51926218869795138</v>
      </c>
      <c r="T168" s="10">
        <f t="shared" si="127"/>
        <v>0.72286969068405627</v>
      </c>
      <c r="U168" s="10">
        <f t="array" ref="U168">O168+INDEX($AA$161:$AK$168,MATCH($C168,$C$161:$C$168,0),MATCH(U$160&amp;$D$3,$AA$160:$AK$160&amp;$AA$159:$AK$159,0))</f>
        <v>1.1623691684853323</v>
      </c>
      <c r="V168" s="10">
        <f t="array" ref="V168">P168+INDEX($AA$161:$AK$168,MATCH($C168,$C$161:$C$168,0),MATCH(V$160&amp;$D$3,$AA$160:$AK$160&amp;$AA$159:$AK$159,0))</f>
        <v>1.6828407879974545</v>
      </c>
      <c r="W168" s="10">
        <f t="array" ref="W168">Q168+INDEX($AA$161:$AK$168,MATCH($C168,$C$161:$C$168,0),MATCH(W$160&amp;$D$3,$AA$160:$AK$160&amp;$AA$159:$AK$159,0))</f>
        <v>2.2058101148995513</v>
      </c>
      <c r="AA168" s="10">
        <f t="shared" si="132"/>
        <v>0.38083529040240527</v>
      </c>
      <c r="AB168" s="10">
        <f t="shared" si="132"/>
        <v>0.53711471138242017</v>
      </c>
      <c r="AC168" s="10">
        <f t="shared" si="132"/>
        <v>0.67863990540281183</v>
      </c>
      <c r="AD168" s="10"/>
      <c r="AE168" s="10">
        <f t="shared" si="137"/>
        <v>0.12694509680080196</v>
      </c>
      <c r="AF168" s="10">
        <f t="shared" si="138"/>
        <v>0.35807647425494682</v>
      </c>
      <c r="AG168" s="10">
        <f t="shared" si="139"/>
        <v>0.67863990540281183</v>
      </c>
      <c r="AH168" s="10"/>
      <c r="AI168" s="10">
        <f t="shared" si="140"/>
        <v>0.38083529040240527</v>
      </c>
      <c r="AJ168" s="10">
        <f t="shared" si="136"/>
        <v>0.67139338922802538</v>
      </c>
      <c r="AK168" s="10">
        <f t="shared" si="136"/>
        <v>1.017959858104218</v>
      </c>
    </row>
    <row r="169" spans="1:38">
      <c r="A169" s="199" t="s">
        <v>16</v>
      </c>
      <c r="C169" s="5" t="s">
        <v>5</v>
      </c>
      <c r="E169" s="10">
        <f t="shared" ref="E169:V169" si="142">SUM(E161:E168)</f>
        <v>242.76583523781954</v>
      </c>
      <c r="F169" s="10">
        <f t="shared" si="142"/>
        <v>253.56869645079914</v>
      </c>
      <c r="G169" s="10">
        <f t="shared" si="142"/>
        <v>300.12182584247881</v>
      </c>
      <c r="H169" s="10">
        <f t="shared" si="142"/>
        <v>317.97256995422367</v>
      </c>
      <c r="I169" s="10">
        <f t="shared" si="142"/>
        <v>408.67288232745051</v>
      </c>
      <c r="J169" s="10">
        <f t="shared" si="142"/>
        <v>508.36243878030012</v>
      </c>
      <c r="K169" s="10">
        <f t="shared" si="142"/>
        <v>596.51763670943944</v>
      </c>
      <c r="L169" s="40"/>
      <c r="M169" s="10">
        <f t="shared" si="142"/>
        <v>261.56506713824245</v>
      </c>
      <c r="N169" s="10">
        <f t="shared" si="142"/>
        <v>317.97256995422367</v>
      </c>
      <c r="O169" s="10">
        <f t="shared" si="142"/>
        <v>408.67288232745057</v>
      </c>
      <c r="P169" s="10">
        <f t="shared" si="142"/>
        <v>508.36243878030012</v>
      </c>
      <c r="Q169" s="10">
        <f t="shared" si="142"/>
        <v>596.51763670943944</v>
      </c>
      <c r="S169" s="10">
        <f t="shared" si="142"/>
        <v>261.56506713824245</v>
      </c>
      <c r="T169" s="10">
        <f t="shared" si="142"/>
        <v>317.97256995422367</v>
      </c>
      <c r="U169" s="10">
        <f t="shared" si="142"/>
        <v>408.67288232745051</v>
      </c>
      <c r="V169" s="10">
        <f t="shared" si="142"/>
        <v>508.36243878030012</v>
      </c>
      <c r="W169" s="10">
        <f>SUM(W161:W168)</f>
        <v>596.51763670943944</v>
      </c>
      <c r="AI169" s="199" t="s">
        <v>626</v>
      </c>
    </row>
    <row r="170" spans="1:38" ht="15.75" thickBot="1">
      <c r="A170" s="199" t="s">
        <v>16</v>
      </c>
      <c r="W170" s="138"/>
      <c r="AA170" s="270">
        <v>1</v>
      </c>
      <c r="AB170" s="270">
        <v>1</v>
      </c>
      <c r="AC170" s="270">
        <v>1</v>
      </c>
      <c r="AD170" s="270"/>
      <c r="AE170" s="270">
        <v>2</v>
      </c>
      <c r="AF170" s="270">
        <v>2</v>
      </c>
      <c r="AG170" s="270">
        <v>2</v>
      </c>
      <c r="AI170" s="270">
        <v>2</v>
      </c>
      <c r="AJ170" s="270">
        <v>2</v>
      </c>
      <c r="AK170" s="270">
        <v>2</v>
      </c>
    </row>
    <row r="171" spans="1:38" ht="15.75" thickBot="1">
      <c r="A171" s="199" t="s">
        <v>16</v>
      </c>
      <c r="C171" s="244" t="s">
        <v>143</v>
      </c>
      <c r="D171" s="244"/>
      <c r="E171" s="270">
        <v>2012</v>
      </c>
      <c r="F171" s="270">
        <f>F4</f>
        <v>2015</v>
      </c>
      <c r="G171" s="270">
        <f>G4</f>
        <v>2017</v>
      </c>
      <c r="H171" s="270">
        <v>2020</v>
      </c>
      <c r="I171" s="270">
        <v>2030</v>
      </c>
      <c r="J171" s="270">
        <v>2040</v>
      </c>
      <c r="K171" s="270">
        <v>2050</v>
      </c>
      <c r="L171" s="270"/>
      <c r="M171" s="270">
        <f>F171</f>
        <v>2015</v>
      </c>
      <c r="N171" s="270">
        <f>H171</f>
        <v>2020</v>
      </c>
      <c r="O171" s="270">
        <f>I171</f>
        <v>2030</v>
      </c>
      <c r="P171" s="270">
        <v>2040</v>
      </c>
      <c r="Q171" s="270">
        <f>K171</f>
        <v>2050</v>
      </c>
      <c r="R171" s="270"/>
      <c r="S171" s="270">
        <f>M171</f>
        <v>2015</v>
      </c>
      <c r="T171" s="270">
        <f>N171</f>
        <v>2020</v>
      </c>
      <c r="U171" s="270">
        <f>O171</f>
        <v>2030</v>
      </c>
      <c r="V171" s="270">
        <v>2040</v>
      </c>
      <c r="W171" s="270">
        <f>Q171</f>
        <v>2050</v>
      </c>
      <c r="X171" s="270"/>
      <c r="AA171" s="270">
        <v>2030</v>
      </c>
      <c r="AB171" s="270">
        <v>2040</v>
      </c>
      <c r="AC171" s="270">
        <v>2050</v>
      </c>
      <c r="AD171" s="270"/>
      <c r="AE171" s="270">
        <v>2030</v>
      </c>
      <c r="AF171" s="270">
        <v>2040</v>
      </c>
      <c r="AG171" s="270">
        <v>2050</v>
      </c>
      <c r="AH171" s="270"/>
      <c r="AI171" s="270">
        <v>2030</v>
      </c>
      <c r="AJ171" s="270">
        <v>2040</v>
      </c>
      <c r="AK171" s="270">
        <v>2050</v>
      </c>
      <c r="AL171" s="270"/>
    </row>
    <row r="172" spans="1:38">
      <c r="A172" s="199" t="s">
        <v>16</v>
      </c>
      <c r="B172" s="199" t="str">
        <f t="shared" ref="B172:C179" si="143">B161</f>
        <v>TPPRCAR</v>
      </c>
      <c r="C172" s="199" t="str">
        <f t="shared" si="143"/>
        <v>Car</v>
      </c>
      <c r="E172" s="258">
        <f t="shared" ref="E172:K179" si="144">E161/E$169</f>
        <v>0.45836906033909025</v>
      </c>
      <c r="F172" s="258">
        <f t="shared" si="144"/>
        <v>0.43985222682284519</v>
      </c>
      <c r="G172" s="258">
        <f t="shared" si="144"/>
        <v>0.50282135526503235</v>
      </c>
      <c r="H172" s="258">
        <f t="shared" si="144"/>
        <v>0.47920499076597556</v>
      </c>
      <c r="I172" s="258">
        <f t="shared" si="144"/>
        <v>0.53401333980637644</v>
      </c>
      <c r="J172" s="258">
        <f t="shared" si="144"/>
        <v>0.562211404251998</v>
      </c>
      <c r="K172" s="258">
        <f t="shared" si="144"/>
        <v>0.55880470773598778</v>
      </c>
      <c r="L172" s="41" t="str">
        <f>C172</f>
        <v>Car</v>
      </c>
      <c r="M172" s="258">
        <f t="shared" ref="M172:Q179" si="145">M161/M$169</f>
        <v>0.43079388548631564</v>
      </c>
      <c r="N172" s="258">
        <f t="shared" si="145"/>
        <v>0.479477769902101</v>
      </c>
      <c r="O172" s="258">
        <f t="shared" si="145"/>
        <v>0.57215714979254617</v>
      </c>
      <c r="P172" s="258">
        <f t="shared" si="145"/>
        <v>0.64870546644461302</v>
      </c>
      <c r="Q172" s="258">
        <f t="shared" si="145"/>
        <v>0.69850588466998476</v>
      </c>
      <c r="R172" s="10"/>
      <c r="S172" s="258">
        <f t="shared" ref="S172:W179" si="146">S161/S$169</f>
        <v>0.43079388548631564</v>
      </c>
      <c r="T172" s="258">
        <f t="shared" si="146"/>
        <v>0.479477769902101</v>
      </c>
      <c r="U172" s="258">
        <f t="shared" si="146"/>
        <v>0.53401333980637644</v>
      </c>
      <c r="V172" s="258">
        <f t="shared" si="146"/>
        <v>0.562211404251998</v>
      </c>
      <c r="W172" s="258">
        <f>W161/W$169</f>
        <v>0.55880470773598778</v>
      </c>
      <c r="AA172" s="204"/>
      <c r="AB172" s="204"/>
      <c r="AC172" s="204"/>
      <c r="AE172" s="204"/>
      <c r="AF172" s="204"/>
      <c r="AG172" s="204"/>
      <c r="AI172" s="250"/>
      <c r="AJ172" s="250"/>
      <c r="AK172" s="250"/>
    </row>
    <row r="173" spans="1:38">
      <c r="A173" s="199" t="s">
        <v>16</v>
      </c>
      <c r="B173" s="199" t="str">
        <f t="shared" si="143"/>
        <v>TPPRSUV</v>
      </c>
      <c r="C173" s="199" t="str">
        <f t="shared" si="143"/>
        <v>SUV</v>
      </c>
      <c r="E173" s="258">
        <f t="shared" si="144"/>
        <v>5.2630610137840435E-2</v>
      </c>
      <c r="F173" s="258">
        <f t="shared" si="144"/>
        <v>5.0504480060343845E-2</v>
      </c>
      <c r="G173" s="258">
        <f t="shared" si="144"/>
        <v>5.7734688066330676E-2</v>
      </c>
      <c r="H173" s="258">
        <f t="shared" si="144"/>
        <v>5.4766284658968642E-2</v>
      </c>
      <c r="I173" s="258">
        <f t="shared" si="144"/>
        <v>6.0691570514212499E-2</v>
      </c>
      <c r="J173" s="258">
        <f t="shared" si="144"/>
        <v>6.3896330937025639E-2</v>
      </c>
      <c r="K173" s="258">
        <f t="shared" si="144"/>
        <v>6.3509153789172157E-2</v>
      </c>
      <c r="M173" s="258">
        <f t="shared" si="145"/>
        <v>4.8960495045993077E-2</v>
      </c>
      <c r="N173" s="258">
        <f t="shared" si="145"/>
        <v>5.4493505522843204E-2</v>
      </c>
      <c r="O173" s="258">
        <f t="shared" si="145"/>
        <v>6.5026682693799104E-2</v>
      </c>
      <c r="P173" s="258">
        <f t="shared" si="145"/>
        <v>7.3726535696568049E-2</v>
      </c>
      <c r="Q173" s="258">
        <f t="shared" si="145"/>
        <v>7.9386442236465182E-2</v>
      </c>
      <c r="R173" s="10"/>
      <c r="S173" s="258">
        <f t="shared" si="146"/>
        <v>4.8960495045993077E-2</v>
      </c>
      <c r="T173" s="258">
        <f t="shared" si="146"/>
        <v>5.4493505522843204E-2</v>
      </c>
      <c r="U173" s="258">
        <f t="shared" si="146"/>
        <v>6.0691570514212499E-2</v>
      </c>
      <c r="V173" s="258">
        <f t="shared" si="146"/>
        <v>6.3896330937025639E-2</v>
      </c>
      <c r="W173" s="258">
        <f t="shared" si="146"/>
        <v>6.3509153789172157E-2</v>
      </c>
      <c r="AA173" s="204"/>
      <c r="AB173" s="204"/>
      <c r="AC173" s="204"/>
      <c r="AE173" s="204"/>
      <c r="AF173" s="204"/>
      <c r="AG173" s="204"/>
      <c r="AI173" s="250"/>
      <c r="AJ173" s="250"/>
      <c r="AK173" s="250"/>
    </row>
    <row r="174" spans="1:38">
      <c r="A174" s="199" t="s">
        <v>16</v>
      </c>
      <c r="B174" s="199" t="str">
        <f t="shared" si="143"/>
        <v>TPPRMOT</v>
      </c>
      <c r="C174" s="199" t="str">
        <f t="shared" si="143"/>
        <v>Motorbike</v>
      </c>
      <c r="E174" s="258">
        <f t="shared" si="144"/>
        <v>1.7940970968112754E-2</v>
      </c>
      <c r="F174" s="258">
        <f t="shared" si="144"/>
        <v>1.2689322814709258E-2</v>
      </c>
      <c r="G174" s="258">
        <f t="shared" si="144"/>
        <v>1.4505922912281623E-2</v>
      </c>
      <c r="H174" s="258">
        <f t="shared" si="144"/>
        <v>1.369157116474216E-2</v>
      </c>
      <c r="I174" s="258">
        <f>I163/I$169</f>
        <v>1.633804698682937E-2</v>
      </c>
      <c r="J174" s="258">
        <f t="shared" si="144"/>
        <v>1.8523897490799517E-2</v>
      </c>
      <c r="K174" s="258">
        <f t="shared" si="144"/>
        <v>1.9945957100165383E-2</v>
      </c>
      <c r="M174" s="258">
        <f t="shared" si="145"/>
        <v>1.2301394372623302E-2</v>
      </c>
      <c r="N174" s="258">
        <f t="shared" si="145"/>
        <v>1.369157116474216E-2</v>
      </c>
      <c r="O174" s="258">
        <f t="shared" si="145"/>
        <v>1.633804698682937E-2</v>
      </c>
      <c r="P174" s="258">
        <f t="shared" si="145"/>
        <v>1.8523897490799517E-2</v>
      </c>
      <c r="Q174" s="258">
        <f t="shared" si="145"/>
        <v>1.9945957100165383E-2</v>
      </c>
      <c r="R174" s="10"/>
      <c r="S174" s="258">
        <f t="shared" si="146"/>
        <v>1.2301394372623302E-2</v>
      </c>
      <c r="T174" s="258">
        <f t="shared" si="146"/>
        <v>1.369157116474216E-2</v>
      </c>
      <c r="U174" s="258">
        <f t="shared" si="146"/>
        <v>1.633804698682937E-2</v>
      </c>
      <c r="V174" s="258">
        <f t="shared" si="146"/>
        <v>1.8523897490799517E-2</v>
      </c>
      <c r="W174" s="258">
        <f t="shared" si="146"/>
        <v>1.9945957100165383E-2</v>
      </c>
      <c r="AA174" s="204"/>
      <c r="AB174" s="204"/>
      <c r="AC174" s="204"/>
      <c r="AE174" s="204"/>
      <c r="AF174" s="204"/>
      <c r="AG174" s="204"/>
    </row>
    <row r="175" spans="1:38">
      <c r="A175" s="199" t="s">
        <v>16</v>
      </c>
      <c r="B175" s="199" t="str">
        <f t="shared" si="143"/>
        <v>TPPUBUS</v>
      </c>
      <c r="C175" s="199" t="str">
        <f t="shared" si="143"/>
        <v>Bus</v>
      </c>
      <c r="E175" s="258">
        <f t="shared" si="144"/>
        <v>6.3640698155919356E-2</v>
      </c>
      <c r="F175" s="258">
        <f t="shared" si="144"/>
        <v>6.4085197532074104E-2</v>
      </c>
      <c r="G175" s="258">
        <f t="shared" si="144"/>
        <v>5.5939308512854051E-2</v>
      </c>
      <c r="H175" s="258">
        <f t="shared" si="144"/>
        <v>9.6885956105593668E-2</v>
      </c>
      <c r="I175" s="258">
        <f t="shared" si="144"/>
        <v>5.1654066443307278E-2</v>
      </c>
      <c r="J175" s="258">
        <f t="shared" si="144"/>
        <v>4.3689461869115265E-2</v>
      </c>
      <c r="K175" s="258">
        <f t="shared" si="144"/>
        <v>4.1591151937826289E-2</v>
      </c>
      <c r="M175" s="258">
        <f t="shared" si="145"/>
        <v>0.10250396501906543</v>
      </c>
      <c r="N175" s="258">
        <f t="shared" si="145"/>
        <v>6.3965347787562146E-2</v>
      </c>
      <c r="O175" s="258">
        <f t="shared" si="145"/>
        <v>4.6012803200455317E-2</v>
      </c>
      <c r="P175" s="258">
        <f t="shared" si="145"/>
        <v>3.0897457768081147E-2</v>
      </c>
      <c r="Q175" s="258">
        <f t="shared" si="145"/>
        <v>2.0930103272088364E-2</v>
      </c>
      <c r="R175" s="10"/>
      <c r="S175" s="258">
        <f t="shared" si="146"/>
        <v>0.10250396501906543</v>
      </c>
      <c r="T175" s="258">
        <f t="shared" si="146"/>
        <v>6.3965347787562146E-2</v>
      </c>
      <c r="U175" s="258">
        <f t="shared" si="146"/>
        <v>5.1654066443307278E-2</v>
      </c>
      <c r="V175" s="258">
        <f t="shared" si="146"/>
        <v>4.3689461869115265E-2</v>
      </c>
      <c r="W175" s="258">
        <f t="shared" si="146"/>
        <v>4.1591151937826289E-2</v>
      </c>
      <c r="Y175" s="275">
        <f>O175</f>
        <v>4.6012803200455317E-2</v>
      </c>
      <c r="AA175" s="118">
        <f>Y175/$Y$180</f>
        <v>0.13280146847510069</v>
      </c>
      <c r="AB175" s="118">
        <f>AA175</f>
        <v>0.13280146847510069</v>
      </c>
      <c r="AC175" s="118">
        <f>AB175</f>
        <v>0.13280146847510069</v>
      </c>
      <c r="AE175" s="118">
        <f>AA175</f>
        <v>0.13280146847510069</v>
      </c>
      <c r="AF175" s="118">
        <f t="shared" ref="AF175:AG179" si="147">AB175</f>
        <v>0.13280146847510069</v>
      </c>
      <c r="AG175" s="118">
        <f t="shared" si="147"/>
        <v>0.13280146847510069</v>
      </c>
      <c r="AI175" s="118">
        <f>AE175</f>
        <v>0.13280146847510069</v>
      </c>
      <c r="AJ175" s="118">
        <f t="shared" ref="AJ175:AK179" si="148">AF175</f>
        <v>0.13280146847510069</v>
      </c>
      <c r="AK175" s="118">
        <f t="shared" si="148"/>
        <v>0.13280146847510069</v>
      </c>
    </row>
    <row r="176" spans="1:38">
      <c r="A176" s="199" t="s">
        <v>16</v>
      </c>
      <c r="B176" s="199" t="str">
        <f t="shared" si="143"/>
        <v>TPPUMBT</v>
      </c>
      <c r="C176" s="199" t="str">
        <f t="shared" si="143"/>
        <v>Minibus</v>
      </c>
      <c r="E176" s="258">
        <f t="shared" si="144"/>
        <v>0.34345811165575002</v>
      </c>
      <c r="F176" s="258">
        <f t="shared" si="144"/>
        <v>0.38096185117528364</v>
      </c>
      <c r="G176" s="258">
        <f t="shared" si="144"/>
        <v>0.33318383866051621</v>
      </c>
      <c r="H176" s="258">
        <f t="shared" si="144"/>
        <v>0.30549065734184122</v>
      </c>
      <c r="I176" s="258">
        <f t="shared" si="144"/>
        <v>0.27327793260209188</v>
      </c>
      <c r="J176" s="258">
        <f t="shared" si="144"/>
        <v>0.2311408692129544</v>
      </c>
      <c r="K176" s="258">
        <f t="shared" si="144"/>
        <v>0.2200396754548512</v>
      </c>
      <c r="M176" s="258">
        <f t="shared" si="145"/>
        <v>0.35620426032938468</v>
      </c>
      <c r="N176" s="258">
        <f t="shared" si="145"/>
        <v>0.33841126565987273</v>
      </c>
      <c r="O176" s="258">
        <f>O165/O$169</f>
        <v>0.24343260071592238</v>
      </c>
      <c r="P176" s="258">
        <f t="shared" si="145"/>
        <v>0.16346425292167255</v>
      </c>
      <c r="Q176" s="258">
        <f t="shared" si="145"/>
        <v>0.11073155987868369</v>
      </c>
      <c r="R176" s="10"/>
      <c r="S176" s="258">
        <f t="shared" si="146"/>
        <v>0.35620426032938468</v>
      </c>
      <c r="T176" s="258">
        <f t="shared" si="146"/>
        <v>0.33841126565987273</v>
      </c>
      <c r="U176" s="258">
        <f t="shared" si="146"/>
        <v>0.27327793260209188</v>
      </c>
      <c r="V176" s="258">
        <f>V165/V$169</f>
        <v>0.2311408692129544</v>
      </c>
      <c r="W176" s="258">
        <f t="shared" si="146"/>
        <v>0.2200396754548512</v>
      </c>
      <c r="Y176" s="275">
        <f t="shared" ref="Y176:Y179" si="149">O176</f>
        <v>0.24343260071592238</v>
      </c>
      <c r="AA176" s="118">
        <f>1-SUM(AA177:AA179,AA175)</f>
        <v>0.70259155281083674</v>
      </c>
      <c r="AB176" s="118">
        <f t="shared" ref="AB176:AC176" si="150">1-SUM(AB177:AB179,AB175)</f>
        <v>0.70259155281083674</v>
      </c>
      <c r="AC176" s="118">
        <f t="shared" si="150"/>
        <v>0.70259155281083674</v>
      </c>
      <c r="AE176" s="118">
        <f t="shared" ref="AE176:AE179" si="151">AA176</f>
        <v>0.70259155281083674</v>
      </c>
      <c r="AF176" s="118">
        <f t="shared" si="147"/>
        <v>0.70259155281083674</v>
      </c>
      <c r="AG176" s="118">
        <f t="shared" si="147"/>
        <v>0.70259155281083674</v>
      </c>
      <c r="AI176" s="118">
        <f t="shared" ref="AI176:AI178" si="152">AE176</f>
        <v>0.70259155281083674</v>
      </c>
      <c r="AJ176" s="118">
        <f t="shared" si="148"/>
        <v>0.70259155281083674</v>
      </c>
      <c r="AK176" s="118">
        <f t="shared" si="148"/>
        <v>0.70259155281083674</v>
      </c>
    </row>
    <row r="177" spans="1:42">
      <c r="A177" s="199" t="s">
        <v>16</v>
      </c>
      <c r="B177" s="199" t="str">
        <f t="shared" si="143"/>
        <v>TPPUBRT</v>
      </c>
      <c r="C177" s="199" t="str">
        <f t="shared" si="143"/>
        <v>BRT</v>
      </c>
      <c r="E177" s="258">
        <f t="shared" si="144"/>
        <v>2.1686155602599001E-3</v>
      </c>
      <c r="F177" s="258">
        <f t="shared" si="144"/>
        <v>2.2633147945425158E-3</v>
      </c>
      <c r="G177" s="258">
        <f t="shared" si="144"/>
        <v>2.0160835136125549E-3</v>
      </c>
      <c r="H177" s="258">
        <f t="shared" si="144"/>
        <v>1.7865486324002148E-2</v>
      </c>
      <c r="I177" s="258">
        <f t="shared" si="144"/>
        <v>3.7098827000677119E-2</v>
      </c>
      <c r="J177" s="258">
        <f t="shared" si="144"/>
        <v>5.6858983706322537E-2</v>
      </c>
      <c r="K177" s="258">
        <f t="shared" si="144"/>
        <v>7.302107243097794E-2</v>
      </c>
      <c r="M177" s="258">
        <f t="shared" si="145"/>
        <v>2.0127525955825698E-3</v>
      </c>
      <c r="N177" s="258">
        <f t="shared" si="145"/>
        <v>1.7865486324002148E-2</v>
      </c>
      <c r="O177" s="258">
        <f t="shared" si="145"/>
        <v>3.3047176017079481E-2</v>
      </c>
      <c r="P177" s="258">
        <f t="shared" si="145"/>
        <v>4.7671549302545677E-2</v>
      </c>
      <c r="Q177" s="258">
        <f t="shared" si="145"/>
        <v>5.8181956696613607E-2</v>
      </c>
      <c r="R177" s="10"/>
      <c r="S177" s="258">
        <f t="shared" si="146"/>
        <v>2.0127525955825698E-3</v>
      </c>
      <c r="T177" s="258">
        <f t="shared" si="146"/>
        <v>1.7865486324002148E-2</v>
      </c>
      <c r="U177" s="258">
        <f t="shared" si="146"/>
        <v>3.7098827000677119E-2</v>
      </c>
      <c r="V177" s="258">
        <f t="shared" si="146"/>
        <v>5.6858983706322537E-2</v>
      </c>
      <c r="W177" s="258">
        <f t="shared" si="146"/>
        <v>7.302107243097794E-2</v>
      </c>
      <c r="Y177" s="275">
        <f t="shared" si="149"/>
        <v>3.3047176017079481E-2</v>
      </c>
      <c r="AA177" s="118">
        <f t="shared" ref="AA177:AA179" si="153">Y177/$Y$180</f>
        <v>9.5380268072427637E-2</v>
      </c>
      <c r="AB177" s="118">
        <f t="shared" ref="AB177:AC177" si="154">AA177</f>
        <v>9.5380268072427637E-2</v>
      </c>
      <c r="AC177" s="118">
        <f t="shared" si="154"/>
        <v>9.5380268072427637E-2</v>
      </c>
      <c r="AE177" s="118">
        <f t="shared" si="151"/>
        <v>9.5380268072427637E-2</v>
      </c>
      <c r="AF177" s="118">
        <f t="shared" si="147"/>
        <v>9.5380268072427637E-2</v>
      </c>
      <c r="AG177" s="118">
        <f t="shared" si="147"/>
        <v>9.5380268072427637E-2</v>
      </c>
      <c r="AI177" s="118">
        <f t="shared" si="152"/>
        <v>9.5380268072427637E-2</v>
      </c>
      <c r="AJ177" s="118">
        <f t="shared" si="148"/>
        <v>9.5380268072427637E-2</v>
      </c>
      <c r="AK177" s="118">
        <f t="shared" si="148"/>
        <v>9.5380268072427637E-2</v>
      </c>
    </row>
    <row r="178" spans="1:42">
      <c r="A178" s="199" t="s">
        <v>16</v>
      </c>
      <c r="B178" s="199" t="str">
        <f t="shared" si="143"/>
        <v>TPPUMER</v>
      </c>
      <c r="C178" s="199" t="str">
        <f t="shared" si="143"/>
        <v>Metro Rail</v>
      </c>
      <c r="D178" s="274">
        <f>INDEX($BI$4:$BI$7,MATCH($D$3,$BA$4:$BA$7,0))</f>
        <v>0</v>
      </c>
      <c r="E178" s="258">
        <f t="shared" si="144"/>
        <v>5.9652990575270064E-2</v>
      </c>
      <c r="F178" s="258">
        <f t="shared" si="144"/>
        <v>4.7216224820343815E-2</v>
      </c>
      <c r="G178" s="258">
        <f t="shared" si="144"/>
        <v>3.156063088549825E-2</v>
      </c>
      <c r="H178" s="258">
        <f t="shared" si="144"/>
        <v>2.9821682414471522E-2</v>
      </c>
      <c r="I178" s="258">
        <f t="shared" si="144"/>
        <v>2.4081963409379722E-2</v>
      </c>
      <c r="J178" s="258">
        <f t="shared" si="144"/>
        <v>2.0368735601141563E-2</v>
      </c>
      <c r="K178" s="258">
        <f t="shared" si="144"/>
        <v>1.9390469484527103E-2</v>
      </c>
      <c r="M178" s="258">
        <f t="shared" si="145"/>
        <v>4.5238034850405395E-2</v>
      </c>
      <c r="N178" s="258">
        <f t="shared" si="145"/>
        <v>2.9821682414471522E-2</v>
      </c>
      <c r="O178" s="258">
        <f t="shared" si="145"/>
        <v>2.1451915005617665E-2</v>
      </c>
      <c r="P178" s="258">
        <f t="shared" si="145"/>
        <v>1.4404895851335118E-2</v>
      </c>
      <c r="Q178" s="258">
        <f t="shared" si="145"/>
        <v>9.7579535525276744E-3</v>
      </c>
      <c r="R178" s="10"/>
      <c r="S178" s="258">
        <f t="shared" si="146"/>
        <v>4.5238034850405395E-2</v>
      </c>
      <c r="T178" s="258">
        <f t="shared" si="146"/>
        <v>2.9821682414471522E-2</v>
      </c>
      <c r="U178" s="258">
        <f t="shared" si="146"/>
        <v>2.4081963409379722E-2</v>
      </c>
      <c r="V178" s="258">
        <f t="shared" si="146"/>
        <v>2.0368735601141563E-2</v>
      </c>
      <c r="W178" s="258">
        <f>W167/W$169</f>
        <v>1.9390469484527103E-2</v>
      </c>
      <c r="Y178" s="275">
        <f>O178</f>
        <v>2.1451915005617665E-2</v>
      </c>
      <c r="AA178" s="118">
        <f>Y178/$Y$180</f>
        <v>6.1914198140418521E-2</v>
      </c>
      <c r="AB178" s="118">
        <f>AA178*(1+$D$178)</f>
        <v>6.1914198140418521E-2</v>
      </c>
      <c r="AC178" s="118">
        <f>AB178*(1+$D$178)</f>
        <v>6.1914198140418521E-2</v>
      </c>
      <c r="AE178" s="118">
        <f>AA178</f>
        <v>6.1914198140418521E-2</v>
      </c>
      <c r="AF178" s="118">
        <f t="shared" si="147"/>
        <v>6.1914198140418521E-2</v>
      </c>
      <c r="AG178" s="118">
        <f>AC178</f>
        <v>6.1914198140418521E-2</v>
      </c>
      <c r="AI178" s="118">
        <f t="shared" si="152"/>
        <v>6.1914198140418521E-2</v>
      </c>
      <c r="AJ178" s="118">
        <f t="shared" si="148"/>
        <v>6.1914198140418521E-2</v>
      </c>
      <c r="AK178" s="118">
        <f>AG178</f>
        <v>6.1914198140418521E-2</v>
      </c>
      <c r="AM178" s="295"/>
    </row>
    <row r="179" spans="1:42">
      <c r="A179" s="199" t="s">
        <v>16</v>
      </c>
      <c r="B179" s="199" t="str">
        <f t="shared" si="143"/>
        <v>TPPUGAT</v>
      </c>
      <c r="C179" s="199" t="str">
        <f t="shared" si="143"/>
        <v>Gautrain</v>
      </c>
      <c r="E179" s="258">
        <f t="shared" si="144"/>
        <v>2.1389426077572612E-3</v>
      </c>
      <c r="F179" s="258">
        <f t="shared" si="144"/>
        <v>2.4273819798576583E-3</v>
      </c>
      <c r="G179" s="258">
        <f t="shared" si="144"/>
        <v>2.2381721838743108E-3</v>
      </c>
      <c r="H179" s="258">
        <f t="shared" si="144"/>
        <v>2.2733712244050576E-3</v>
      </c>
      <c r="I179" s="258">
        <f t="shared" si="144"/>
        <v>2.8442532371256777E-3</v>
      </c>
      <c r="J179" s="258">
        <f t="shared" si="144"/>
        <v>3.3103169306431209E-3</v>
      </c>
      <c r="K179" s="258">
        <f t="shared" si="144"/>
        <v>3.697812066492159E-3</v>
      </c>
      <c r="M179" s="258">
        <f t="shared" si="145"/>
        <v>1.9852123006300028E-3</v>
      </c>
      <c r="N179" s="258">
        <f t="shared" si="145"/>
        <v>2.2733712244050576E-3</v>
      </c>
      <c r="O179" s="258">
        <f t="shared" si="145"/>
        <v>2.5336255877503838E-3</v>
      </c>
      <c r="P179" s="258">
        <f t="shared" si="145"/>
        <v>2.6059445243849606E-3</v>
      </c>
      <c r="Q179" s="258">
        <f t="shared" si="145"/>
        <v>2.5601425934714079E-3</v>
      </c>
      <c r="S179" s="258">
        <f t="shared" si="146"/>
        <v>1.9852123006300028E-3</v>
      </c>
      <c r="T179" s="258">
        <f t="shared" si="146"/>
        <v>2.2733712244050576E-3</v>
      </c>
      <c r="U179" s="258">
        <f t="shared" si="146"/>
        <v>2.8442532371256777E-3</v>
      </c>
      <c r="V179" s="258">
        <f t="shared" si="146"/>
        <v>3.3103169306431209E-3</v>
      </c>
      <c r="W179" s="258">
        <f t="shared" si="146"/>
        <v>3.697812066492159E-3</v>
      </c>
      <c r="Y179" s="275">
        <f t="shared" si="149"/>
        <v>2.5336255877503838E-3</v>
      </c>
      <c r="AA179" s="118">
        <f t="shared" si="153"/>
        <v>7.3125125012164349E-3</v>
      </c>
      <c r="AB179" s="118">
        <f t="shared" ref="AB179:AC179" si="155">AA179</f>
        <v>7.3125125012164349E-3</v>
      </c>
      <c r="AC179" s="118">
        <f t="shared" si="155"/>
        <v>7.3125125012164349E-3</v>
      </c>
      <c r="AE179" s="118">
        <f t="shared" si="151"/>
        <v>7.3125125012164349E-3</v>
      </c>
      <c r="AF179" s="118">
        <f t="shared" si="147"/>
        <v>7.3125125012164349E-3</v>
      </c>
      <c r="AG179" s="118">
        <f t="shared" si="147"/>
        <v>7.3125125012164349E-3</v>
      </c>
      <c r="AI179" s="118">
        <f>AE179</f>
        <v>7.3125125012164349E-3</v>
      </c>
      <c r="AJ179" s="118">
        <f t="shared" si="148"/>
        <v>7.3125125012164349E-3</v>
      </c>
      <c r="AK179" s="118">
        <f t="shared" si="148"/>
        <v>7.3125125012164349E-3</v>
      </c>
      <c r="AM179" s="295"/>
    </row>
    <row r="180" spans="1:42">
      <c r="A180" s="199" t="s">
        <v>16</v>
      </c>
      <c r="Y180" s="275">
        <f>SUM(Y175:Y179)</f>
        <v>0.3464781205268252</v>
      </c>
      <c r="AA180" s="34"/>
      <c r="AB180" s="34"/>
      <c r="AC180" s="34"/>
    </row>
    <row r="181" spans="1:42">
      <c r="A181" s="199" t="s">
        <v>16</v>
      </c>
      <c r="C181" s="199" t="s">
        <v>145</v>
      </c>
      <c r="E181" s="34">
        <f>SUM(E172:E174)</f>
        <v>0.52894064144504349</v>
      </c>
      <c r="F181" s="34">
        <f t="shared" ref="F181:J181" si="156">SUM(F172:F174)</f>
        <v>0.50304602969789836</v>
      </c>
      <c r="G181" s="34">
        <f t="shared" si="156"/>
        <v>0.57506196624364458</v>
      </c>
      <c r="H181" s="34">
        <f t="shared" si="156"/>
        <v>0.54766284658968634</v>
      </c>
      <c r="I181" s="34">
        <f t="shared" si="156"/>
        <v>0.61104295730741831</v>
      </c>
      <c r="J181" s="34">
        <f t="shared" si="156"/>
        <v>0.64463163267982315</v>
      </c>
      <c r="K181" s="34">
        <f>SUM(K172:K174)</f>
        <v>0.64225981862532533</v>
      </c>
      <c r="M181" s="34">
        <f>SUM(M172:M174)</f>
        <v>0.49205577490493202</v>
      </c>
      <c r="N181" s="34">
        <f t="shared" ref="N181:Q181" si="157">SUM(N172:N174)</f>
        <v>0.54766284658968634</v>
      </c>
      <c r="O181" s="34">
        <f t="shared" si="157"/>
        <v>0.65352187947317464</v>
      </c>
      <c r="P181" s="34">
        <f t="shared" si="157"/>
        <v>0.74095589963198061</v>
      </c>
      <c r="Q181" s="34">
        <f t="shared" si="157"/>
        <v>0.79783828400661527</v>
      </c>
      <c r="S181" s="34">
        <f>SUM(S172:S174)</f>
        <v>0.49205577490493202</v>
      </c>
      <c r="T181" s="34">
        <f t="shared" ref="T181:W181" si="158">SUM(T172:T174)</f>
        <v>0.54766284658968634</v>
      </c>
      <c r="U181" s="34">
        <f t="shared" si="158"/>
        <v>0.61104295730741831</v>
      </c>
      <c r="V181" s="34">
        <f t="shared" si="158"/>
        <v>0.64463163267982315</v>
      </c>
      <c r="W181" s="34">
        <f t="shared" si="158"/>
        <v>0.64225981862532533</v>
      </c>
    </row>
    <row r="182" spans="1:42">
      <c r="A182" s="199" t="s">
        <v>16</v>
      </c>
      <c r="B182" s="294"/>
      <c r="C182" s="199" t="s">
        <v>146</v>
      </c>
      <c r="E182" s="34">
        <f t="shared" ref="E182:K182" si="159">1-E181</f>
        <v>0.47105935855495651</v>
      </c>
      <c r="F182" s="34">
        <f t="shared" si="159"/>
        <v>0.49695397030210164</v>
      </c>
      <c r="G182" s="34">
        <f t="shared" si="159"/>
        <v>0.42493803375635542</v>
      </c>
      <c r="H182" s="34">
        <f t="shared" si="159"/>
        <v>0.45233715341031366</v>
      </c>
      <c r="I182" s="34">
        <f t="shared" si="159"/>
        <v>0.38895704269258169</v>
      </c>
      <c r="J182" s="34">
        <f t="shared" si="159"/>
        <v>0.35536836732017685</v>
      </c>
      <c r="K182" s="34">
        <f t="shared" si="159"/>
        <v>0.35774018137467467</v>
      </c>
      <c r="M182" s="34">
        <f>1-M181</f>
        <v>0.50794422509506798</v>
      </c>
      <c r="N182" s="34">
        <f>1-N181</f>
        <v>0.45233715341031366</v>
      </c>
      <c r="O182" s="34">
        <f>1-O181</f>
        <v>0.34647812052682536</v>
      </c>
      <c r="P182" s="34">
        <f>1-P181</f>
        <v>0.25904410036801939</v>
      </c>
      <c r="Q182" s="34">
        <f>1-Q181</f>
        <v>0.20216171599338473</v>
      </c>
      <c r="S182" s="34">
        <f>1-S181</f>
        <v>0.50794422509506798</v>
      </c>
      <c r="T182" s="34">
        <f>1-T181</f>
        <v>0.45233715341031366</v>
      </c>
      <c r="U182" s="34">
        <f>1-U181</f>
        <v>0.38895704269258169</v>
      </c>
      <c r="V182" s="34">
        <f>1-V181</f>
        <v>0.35536836732017685</v>
      </c>
      <c r="W182" s="34">
        <f>1-W181</f>
        <v>0.35774018137467467</v>
      </c>
    </row>
    <row r="183" spans="1:42">
      <c r="A183" s="199" t="s">
        <v>16</v>
      </c>
      <c r="B183" s="294"/>
      <c r="S183" s="24">
        <f t="shared" ref="S183:T183" si="160">SUM(S161:S162)/SUM(M161:M162)</f>
        <v>1</v>
      </c>
      <c r="T183" s="24">
        <f t="shared" si="160"/>
        <v>1</v>
      </c>
      <c r="U183" s="24">
        <f t="shared" ref="U183" si="161">SUM(U161:U162)/SUM(O161:O162)</f>
        <v>0.93333333333333324</v>
      </c>
      <c r="V183" s="24">
        <f t="shared" ref="V183" si="162">SUM(V161:V162)/SUM(P161:P162)</f>
        <v>0.86666666666666681</v>
      </c>
      <c r="W183" s="24">
        <f>SUM(W161:W162)/SUM(Q161:Q162)</f>
        <v>0.8</v>
      </c>
    </row>
    <row r="184" spans="1:42">
      <c r="A184" s="199" t="s">
        <v>16</v>
      </c>
    </row>
    <row r="185" spans="1:42" ht="15.75" thickBot="1">
      <c r="A185" s="199" t="s">
        <v>16</v>
      </c>
      <c r="C185" s="244" t="s">
        <v>204</v>
      </c>
      <c r="E185" s="7">
        <v>2012</v>
      </c>
      <c r="F185" s="7">
        <f>F4</f>
        <v>2015</v>
      </c>
      <c r="G185" s="7">
        <f>G4</f>
        <v>2017</v>
      </c>
      <c r="H185" s="7">
        <v>2020</v>
      </c>
      <c r="I185" s="7">
        <v>2030</v>
      </c>
      <c r="J185" s="7">
        <v>2040</v>
      </c>
      <c r="K185" s="7">
        <v>2050</v>
      </c>
      <c r="L185" s="199">
        <f>L4</f>
        <v>0</v>
      </c>
      <c r="M185" s="199">
        <f t="shared" ref="M185:AJ185" si="163">M4</f>
        <v>0</v>
      </c>
      <c r="N185" s="199">
        <f t="shared" si="163"/>
        <v>0</v>
      </c>
      <c r="O185" s="199">
        <f t="shared" si="163"/>
        <v>0</v>
      </c>
      <c r="P185" s="199">
        <f t="shared" si="163"/>
        <v>0</v>
      </c>
      <c r="Q185" s="199">
        <f t="shared" si="163"/>
        <v>0</v>
      </c>
      <c r="R185" s="199">
        <f t="shared" si="163"/>
        <v>0</v>
      </c>
      <c r="S185" s="199">
        <f t="shared" si="163"/>
        <v>0</v>
      </c>
      <c r="T185" s="199">
        <f t="shared" si="163"/>
        <v>0</v>
      </c>
      <c r="U185" s="199">
        <f t="shared" si="163"/>
        <v>0</v>
      </c>
      <c r="V185" s="199">
        <f t="shared" si="163"/>
        <v>0</v>
      </c>
      <c r="W185" s="199">
        <f t="shared" si="163"/>
        <v>0</v>
      </c>
      <c r="X185" s="199">
        <f t="shared" si="163"/>
        <v>0</v>
      </c>
      <c r="Y185" s="199">
        <f t="shared" si="163"/>
        <v>0</v>
      </c>
      <c r="Z185" s="199">
        <f t="shared" si="163"/>
        <v>0</v>
      </c>
      <c r="AA185" s="199">
        <f t="shared" si="163"/>
        <v>0</v>
      </c>
      <c r="AB185" s="199">
        <f t="shared" si="163"/>
        <v>0</v>
      </c>
      <c r="AC185" s="199">
        <f t="shared" si="163"/>
        <v>0</v>
      </c>
      <c r="AD185" s="199">
        <f t="shared" si="163"/>
        <v>0</v>
      </c>
      <c r="AE185" s="199">
        <f t="shared" si="163"/>
        <v>0</v>
      </c>
      <c r="AF185" s="199">
        <f t="shared" si="163"/>
        <v>0</v>
      </c>
      <c r="AG185" s="199">
        <f t="shared" si="163"/>
        <v>0</v>
      </c>
      <c r="AH185" s="199">
        <f t="shared" si="163"/>
        <v>0</v>
      </c>
      <c r="AI185" s="199">
        <f t="shared" si="163"/>
        <v>0</v>
      </c>
      <c r="AJ185" s="199">
        <f t="shared" si="163"/>
        <v>0</v>
      </c>
    </row>
    <row r="186" spans="1:42">
      <c r="A186" s="199" t="s">
        <v>16</v>
      </c>
      <c r="B186" s="199" t="str">
        <f>B149</f>
        <v>TPPRCAR</v>
      </c>
      <c r="C186" s="199" t="str">
        <f>C149</f>
        <v>Car Priv.Veh. Vehicle km</v>
      </c>
      <c r="E186" s="10">
        <f t="shared" ref="E186:K193" si="164">E149</f>
        <v>79.483105557424096</v>
      </c>
      <c r="F186" s="10">
        <f>F149</f>
        <v>92.750310348302548</v>
      </c>
      <c r="G186" s="200">
        <f>G149</f>
        <v>100.5564269525596</v>
      </c>
      <c r="H186" s="200">
        <f t="shared" si="164"/>
        <v>108.83860174910519</v>
      </c>
      <c r="I186" s="10">
        <f t="shared" si="164"/>
        <v>155.88340769998581</v>
      </c>
      <c r="J186" s="10">
        <f t="shared" si="164"/>
        <v>204.14797183974494</v>
      </c>
      <c r="K186" s="10">
        <f t="shared" si="164"/>
        <v>238.09775974341463</v>
      </c>
      <c r="L186" s="267">
        <f t="shared" ref="L186:L193" si="165">E186</f>
        <v>79.483105557424096</v>
      </c>
      <c r="M186" s="250">
        <f t="shared" ref="M186:AJ193" si="166">IF(M$4&lt;=$H$148,($H186-$F186)/10,IF(AND(M$4&gt;$H$148,M$4&lt;=$I$148),($I186-$H186)/10,IF(AND(M$4&gt;$I$148,M$4&lt;=$J$148),($J186-$I186)/2,($K186-$J186)/2)))+L186</f>
        <v>81.091934697504357</v>
      </c>
      <c r="N186" s="250">
        <f t="shared" si="166"/>
        <v>82.700763837584617</v>
      </c>
      <c r="O186" s="250">
        <f t="shared" si="166"/>
        <v>84.309592977664877</v>
      </c>
      <c r="P186" s="250">
        <f t="shared" si="166"/>
        <v>85.918422117745138</v>
      </c>
      <c r="Q186" s="250">
        <f t="shared" si="166"/>
        <v>87.527251257825398</v>
      </c>
      <c r="R186" s="250">
        <f t="shared" si="166"/>
        <v>89.136080397905658</v>
      </c>
      <c r="S186" s="250">
        <f t="shared" si="166"/>
        <v>90.744909537985919</v>
      </c>
      <c r="T186" s="250">
        <f t="shared" si="166"/>
        <v>92.353738678066179</v>
      </c>
      <c r="U186" s="250">
        <f t="shared" si="166"/>
        <v>93.962567818146439</v>
      </c>
      <c r="V186" s="250">
        <f t="shared" si="166"/>
        <v>95.5713969582267</v>
      </c>
      <c r="W186" s="250">
        <f t="shared" si="166"/>
        <v>97.18022609830696</v>
      </c>
      <c r="X186" s="250">
        <f t="shared" si="166"/>
        <v>98.78905523838722</v>
      </c>
      <c r="Y186" s="250">
        <f t="shared" si="166"/>
        <v>100.39788437846748</v>
      </c>
      <c r="Z186" s="250">
        <f t="shared" si="166"/>
        <v>102.00671351854774</v>
      </c>
      <c r="AA186" s="250">
        <f t="shared" si="166"/>
        <v>103.615542658628</v>
      </c>
      <c r="AB186" s="250">
        <f t="shared" si="166"/>
        <v>105.22437179870826</v>
      </c>
      <c r="AC186" s="250">
        <f t="shared" si="166"/>
        <v>106.83320093878852</v>
      </c>
      <c r="AD186" s="250">
        <f t="shared" si="166"/>
        <v>108.44203007886878</v>
      </c>
      <c r="AE186" s="250">
        <f t="shared" si="166"/>
        <v>110.05085921894904</v>
      </c>
      <c r="AF186" s="250">
        <f t="shared" si="166"/>
        <v>111.6596883590293</v>
      </c>
      <c r="AG186" s="250">
        <f t="shared" si="166"/>
        <v>113.26851749910956</v>
      </c>
      <c r="AH186" s="250">
        <f t="shared" si="166"/>
        <v>114.87734663918982</v>
      </c>
      <c r="AI186" s="250">
        <f t="shared" si="166"/>
        <v>116.48617577927008</v>
      </c>
      <c r="AJ186" s="250">
        <f t="shared" si="166"/>
        <v>118.09500491935034</v>
      </c>
      <c r="AK186" s="250"/>
      <c r="AL186" s="250"/>
      <c r="AM186" s="250"/>
      <c r="AN186" s="250"/>
      <c r="AO186" s="10"/>
      <c r="AP186" s="10"/>
    </row>
    <row r="187" spans="1:42">
      <c r="A187" s="199" t="s">
        <v>16</v>
      </c>
      <c r="B187" s="199" t="str">
        <f t="shared" ref="B187:C193" si="167">B150</f>
        <v>TPPRSUV</v>
      </c>
      <c r="C187" s="199" t="str">
        <f t="shared" si="167"/>
        <v>SUV Priv.Veh. Vehicle km</v>
      </c>
      <c r="E187" s="10">
        <f t="shared" si="164"/>
        <v>9.1263671637063464</v>
      </c>
      <c r="F187" s="10">
        <f t="shared" si="164"/>
        <v>10.649727144528473</v>
      </c>
      <c r="G187" s="10">
        <f t="shared" si="164"/>
        <v>11.546036942107843</v>
      </c>
      <c r="H187" s="10">
        <f t="shared" si="164"/>
        <v>12.43869734275488</v>
      </c>
      <c r="I187" s="10">
        <f t="shared" si="164"/>
        <v>17.716427896444952</v>
      </c>
      <c r="J187" s="10">
        <f t="shared" si="164"/>
        <v>23.20178187447107</v>
      </c>
      <c r="K187" s="10">
        <f t="shared" si="164"/>
        <v>27.060235948380942</v>
      </c>
      <c r="L187" s="267">
        <f t="shared" si="165"/>
        <v>9.1263671637063464</v>
      </c>
      <c r="M187" s="250">
        <f t="shared" si="166"/>
        <v>9.3052641835289869</v>
      </c>
      <c r="N187" s="250">
        <f t="shared" si="166"/>
        <v>9.4841612033516274</v>
      </c>
      <c r="O187" s="250">
        <f t="shared" si="166"/>
        <v>9.6630582231742679</v>
      </c>
      <c r="P187" s="250">
        <f t="shared" si="166"/>
        <v>9.8419552429969084</v>
      </c>
      <c r="Q187" s="250">
        <f t="shared" si="166"/>
        <v>10.020852262819549</v>
      </c>
      <c r="R187" s="250">
        <f t="shared" si="166"/>
        <v>10.199749282642189</v>
      </c>
      <c r="S187" s="250">
        <f t="shared" si="166"/>
        <v>10.37864630246483</v>
      </c>
      <c r="T187" s="250">
        <f t="shared" si="166"/>
        <v>10.55754332228747</v>
      </c>
      <c r="U187" s="250">
        <f t="shared" si="166"/>
        <v>10.736440342110111</v>
      </c>
      <c r="V187" s="250">
        <f t="shared" si="166"/>
        <v>10.915337361932751</v>
      </c>
      <c r="W187" s="250">
        <f t="shared" si="166"/>
        <v>11.094234381755392</v>
      </c>
      <c r="X187" s="250">
        <f t="shared" si="166"/>
        <v>11.273131401578032</v>
      </c>
      <c r="Y187" s="250">
        <f t="shared" si="166"/>
        <v>11.452028421400673</v>
      </c>
      <c r="Z187" s="250">
        <f t="shared" si="166"/>
        <v>11.630925441223313</v>
      </c>
      <c r="AA187" s="250">
        <f t="shared" si="166"/>
        <v>11.809822461045954</v>
      </c>
      <c r="AB187" s="250">
        <f t="shared" si="166"/>
        <v>11.988719480868594</v>
      </c>
      <c r="AC187" s="250">
        <f t="shared" si="166"/>
        <v>12.167616500691235</v>
      </c>
      <c r="AD187" s="250">
        <f t="shared" si="166"/>
        <v>12.346513520513875</v>
      </c>
      <c r="AE187" s="250">
        <f t="shared" si="166"/>
        <v>12.525410540336516</v>
      </c>
      <c r="AF187" s="250">
        <f t="shared" si="166"/>
        <v>12.704307560159156</v>
      </c>
      <c r="AG187" s="250">
        <f t="shared" si="166"/>
        <v>12.883204579981797</v>
      </c>
      <c r="AH187" s="250">
        <f t="shared" si="166"/>
        <v>13.062101599804437</v>
      </c>
      <c r="AI187" s="250">
        <f t="shared" si="166"/>
        <v>13.240998619627078</v>
      </c>
      <c r="AJ187" s="250">
        <f t="shared" si="166"/>
        <v>13.419895639449718</v>
      </c>
      <c r="AK187" s="250"/>
      <c r="AL187" s="250"/>
      <c r="AM187" s="250"/>
      <c r="AN187" s="250"/>
      <c r="AO187" s="10"/>
      <c r="AP187" s="10"/>
    </row>
    <row r="188" spans="1:42">
      <c r="A188" s="199" t="s">
        <v>16</v>
      </c>
      <c r="B188" s="199" t="str">
        <f t="shared" si="167"/>
        <v>TPPRMOT</v>
      </c>
      <c r="C188" s="199" t="str">
        <f t="shared" si="167"/>
        <v>Motorbikes Priv.Veh. Vehicle km</v>
      </c>
      <c r="E188" s="10">
        <f t="shared" si="164"/>
        <v>3.1110391443224037</v>
      </c>
      <c r="F188" s="10">
        <f t="shared" si="164"/>
        <v>2.6757591695633347</v>
      </c>
      <c r="G188" s="10">
        <f t="shared" si="164"/>
        <v>2.900958287540234</v>
      </c>
      <c r="H188" s="10">
        <f t="shared" si="164"/>
        <v>3.10967433568872</v>
      </c>
      <c r="I188" s="10">
        <f t="shared" si="164"/>
        <v>4.7692262526491982</v>
      </c>
      <c r="J188" s="10">
        <f t="shared" si="164"/>
        <v>6.7263240743850883</v>
      </c>
      <c r="K188" s="10">
        <f t="shared" si="164"/>
        <v>8.4986537080703712</v>
      </c>
      <c r="L188" s="267">
        <f t="shared" si="165"/>
        <v>3.1110391443224037</v>
      </c>
      <c r="M188" s="250">
        <f t="shared" si="166"/>
        <v>3.1544306609349424</v>
      </c>
      <c r="N188" s="250">
        <f t="shared" si="166"/>
        <v>3.1978221775474811</v>
      </c>
      <c r="O188" s="250">
        <f t="shared" si="166"/>
        <v>3.2412136941600198</v>
      </c>
      <c r="P188" s="250">
        <f t="shared" si="166"/>
        <v>3.2846052107725585</v>
      </c>
      <c r="Q188" s="250">
        <f t="shared" si="166"/>
        <v>3.3279967273850972</v>
      </c>
      <c r="R188" s="250">
        <f t="shared" si="166"/>
        <v>3.3713882439976359</v>
      </c>
      <c r="S188" s="250">
        <f t="shared" si="166"/>
        <v>3.4147797606101746</v>
      </c>
      <c r="T188" s="250">
        <f t="shared" si="166"/>
        <v>3.4581712772227133</v>
      </c>
      <c r="U188" s="250">
        <f t="shared" si="166"/>
        <v>3.501562793835252</v>
      </c>
      <c r="V188" s="250">
        <f t="shared" si="166"/>
        <v>3.5449543104477907</v>
      </c>
      <c r="W188" s="250">
        <f t="shared" si="166"/>
        <v>3.5883458270603295</v>
      </c>
      <c r="X188" s="250">
        <f t="shared" si="166"/>
        <v>3.6317373436728682</v>
      </c>
      <c r="Y188" s="250">
        <f t="shared" si="166"/>
        <v>3.6751288602854069</v>
      </c>
      <c r="Z188" s="250">
        <f t="shared" si="166"/>
        <v>3.7185203768979456</v>
      </c>
      <c r="AA188" s="250">
        <f t="shared" si="166"/>
        <v>3.7619118935104843</v>
      </c>
      <c r="AB188" s="250">
        <f t="shared" si="166"/>
        <v>3.805303410123023</v>
      </c>
      <c r="AC188" s="250">
        <f t="shared" si="166"/>
        <v>3.8486949267355617</v>
      </c>
      <c r="AD188" s="250">
        <f t="shared" si="166"/>
        <v>3.8920864433481004</v>
      </c>
      <c r="AE188" s="250">
        <f t="shared" si="166"/>
        <v>3.9354779599606391</v>
      </c>
      <c r="AF188" s="250">
        <f t="shared" si="166"/>
        <v>3.9788694765731778</v>
      </c>
      <c r="AG188" s="250">
        <f t="shared" si="166"/>
        <v>4.0222609931857161</v>
      </c>
      <c r="AH188" s="250">
        <f t="shared" si="166"/>
        <v>4.0656525097982543</v>
      </c>
      <c r="AI188" s="250">
        <f t="shared" si="166"/>
        <v>4.1090440264107926</v>
      </c>
      <c r="AJ188" s="250">
        <f t="shared" si="166"/>
        <v>4.1524355430233308</v>
      </c>
      <c r="AK188" s="250"/>
      <c r="AL188" s="250"/>
      <c r="AM188" s="250"/>
      <c r="AN188" s="250"/>
      <c r="AO188" s="10"/>
      <c r="AP188" s="10"/>
    </row>
    <row r="189" spans="1:42">
      <c r="A189" s="199" t="s">
        <v>16</v>
      </c>
      <c r="B189" s="199" t="str">
        <f t="shared" si="167"/>
        <v>TPPUBUS</v>
      </c>
      <c r="C189" s="199" t="str">
        <f t="shared" si="167"/>
        <v>Bus vehicle km</v>
      </c>
      <c r="E189" s="10">
        <f t="shared" si="164"/>
        <v>0.61799148971758899</v>
      </c>
      <c r="F189" s="10">
        <f t="shared" si="164"/>
        <v>0.65</v>
      </c>
      <c r="G189" s="10">
        <f t="shared" si="164"/>
        <v>0.671544296289739</v>
      </c>
      <c r="H189" s="10">
        <f t="shared" si="164"/>
        <v>1.2322830582147091</v>
      </c>
      <c r="I189" s="10">
        <f t="shared" si="164"/>
        <v>0.84438464869280094</v>
      </c>
      <c r="J189" s="10">
        <f t="shared" si="164"/>
        <v>0.88840325539129461</v>
      </c>
      <c r="K189" s="10">
        <f t="shared" si="164"/>
        <v>0.99239422647901432</v>
      </c>
      <c r="L189" s="267">
        <f t="shared" si="165"/>
        <v>0.61799148971758899</v>
      </c>
      <c r="M189" s="250">
        <f t="shared" si="166"/>
        <v>0.67621979553905986</v>
      </c>
      <c r="N189" s="250">
        <f t="shared" si="166"/>
        <v>0.73444810136053074</v>
      </c>
      <c r="O189" s="250">
        <f t="shared" si="166"/>
        <v>0.79267640718200161</v>
      </c>
      <c r="P189" s="250">
        <f t="shared" si="166"/>
        <v>0.85090471300347248</v>
      </c>
      <c r="Q189" s="250">
        <f t="shared" si="166"/>
        <v>0.90913301882494335</v>
      </c>
      <c r="R189" s="250">
        <f t="shared" si="166"/>
        <v>0.96736132464641422</v>
      </c>
      <c r="S189" s="250">
        <f t="shared" si="166"/>
        <v>1.0255896304678851</v>
      </c>
      <c r="T189" s="250">
        <f t="shared" si="166"/>
        <v>1.0838179362893561</v>
      </c>
      <c r="U189" s="250">
        <f t="shared" si="166"/>
        <v>1.1420462421108271</v>
      </c>
      <c r="V189" s="250">
        <f t="shared" si="166"/>
        <v>1.200274547932298</v>
      </c>
      <c r="W189" s="250">
        <f t="shared" si="166"/>
        <v>1.258502853753769</v>
      </c>
      <c r="X189" s="250">
        <f t="shared" si="166"/>
        <v>1.31673115957524</v>
      </c>
      <c r="Y189" s="250">
        <f t="shared" si="166"/>
        <v>1.374959465396711</v>
      </c>
      <c r="Z189" s="250">
        <f t="shared" si="166"/>
        <v>1.433187771218182</v>
      </c>
      <c r="AA189" s="250">
        <f t="shared" si="166"/>
        <v>1.491416077039653</v>
      </c>
      <c r="AB189" s="250">
        <f t="shared" si="166"/>
        <v>1.5496443828611239</v>
      </c>
      <c r="AC189" s="250">
        <f t="shared" si="166"/>
        <v>1.6078726886825949</v>
      </c>
      <c r="AD189" s="250">
        <f t="shared" si="166"/>
        <v>1.6661009945040659</v>
      </c>
      <c r="AE189" s="250">
        <f t="shared" si="166"/>
        <v>1.7243293003255369</v>
      </c>
      <c r="AF189" s="250">
        <f t="shared" si="166"/>
        <v>1.7825576061470079</v>
      </c>
      <c r="AG189" s="250">
        <f t="shared" si="166"/>
        <v>1.8407859119684788</v>
      </c>
      <c r="AH189" s="250">
        <f t="shared" si="166"/>
        <v>1.8990142177899498</v>
      </c>
      <c r="AI189" s="250">
        <f t="shared" si="166"/>
        <v>1.9572425236114208</v>
      </c>
      <c r="AJ189" s="250">
        <f t="shared" si="166"/>
        <v>2.0154708294328918</v>
      </c>
      <c r="AK189" s="250"/>
      <c r="AL189" s="250"/>
      <c r="AM189" s="250"/>
      <c r="AN189" s="250"/>
      <c r="AO189" s="10"/>
      <c r="AP189" s="10"/>
    </row>
    <row r="190" spans="1:42">
      <c r="A190" s="199" t="s">
        <v>16</v>
      </c>
      <c r="B190" s="199" t="str">
        <f t="shared" si="167"/>
        <v>TPPUMBT</v>
      </c>
      <c r="C190" s="199" t="str">
        <f t="shared" si="167"/>
        <v>Minibus vehicle km</v>
      </c>
      <c r="E190" s="10">
        <f t="shared" si="164"/>
        <v>5.9557068103794597</v>
      </c>
      <c r="F190" s="10">
        <f t="shared" si="164"/>
        <v>6.9</v>
      </c>
      <c r="G190" s="10">
        <f t="shared" si="164"/>
        <v>7.1425530000000004</v>
      </c>
      <c r="H190" s="10">
        <f t="shared" si="164"/>
        <v>6.9384035294278847</v>
      </c>
      <c r="I190" s="10">
        <f t="shared" si="164"/>
        <v>7.9772343137845452</v>
      </c>
      <c r="J190" s="10">
        <f t="shared" si="164"/>
        <v>8.3930954267782774</v>
      </c>
      <c r="K190" s="10">
        <f t="shared" si="164"/>
        <v>9.3755390846171345</v>
      </c>
      <c r="L190" s="267">
        <f t="shared" si="165"/>
        <v>5.9557068103794597</v>
      </c>
      <c r="M190" s="250">
        <f t="shared" si="166"/>
        <v>5.9595471633222479</v>
      </c>
      <c r="N190" s="250">
        <f t="shared" si="166"/>
        <v>5.963387516265036</v>
      </c>
      <c r="O190" s="250">
        <f t="shared" si="166"/>
        <v>5.9672278692078242</v>
      </c>
      <c r="P190" s="250">
        <f t="shared" si="166"/>
        <v>5.9710682221506124</v>
      </c>
      <c r="Q190" s="250">
        <f t="shared" si="166"/>
        <v>5.9749085750934006</v>
      </c>
      <c r="R190" s="250">
        <f t="shared" si="166"/>
        <v>5.9787489280361887</v>
      </c>
      <c r="S190" s="250">
        <f t="shared" si="166"/>
        <v>5.9825892809789769</v>
      </c>
      <c r="T190" s="250">
        <f t="shared" si="166"/>
        <v>5.9864296339217651</v>
      </c>
      <c r="U190" s="250">
        <f t="shared" si="166"/>
        <v>5.9902699868645533</v>
      </c>
      <c r="V190" s="250">
        <f t="shared" si="166"/>
        <v>5.9941103398073414</v>
      </c>
      <c r="W190" s="250">
        <f t="shared" si="166"/>
        <v>5.9979506927501296</v>
      </c>
      <c r="X190" s="250">
        <f t="shared" si="166"/>
        <v>6.0017910456929178</v>
      </c>
      <c r="Y190" s="250">
        <f t="shared" si="166"/>
        <v>6.0056313986357059</v>
      </c>
      <c r="Z190" s="250">
        <f t="shared" si="166"/>
        <v>6.0094717515784941</v>
      </c>
      <c r="AA190" s="250">
        <f t="shared" si="166"/>
        <v>6.0133121045212823</v>
      </c>
      <c r="AB190" s="250">
        <f t="shared" si="166"/>
        <v>6.0171524574640705</v>
      </c>
      <c r="AC190" s="250">
        <f t="shared" si="166"/>
        <v>6.0209928104068586</v>
      </c>
      <c r="AD190" s="250">
        <f t="shared" si="166"/>
        <v>6.0248331633496468</v>
      </c>
      <c r="AE190" s="250">
        <f t="shared" si="166"/>
        <v>6.028673516292435</v>
      </c>
      <c r="AF190" s="250">
        <f t="shared" si="166"/>
        <v>6.0325138692352231</v>
      </c>
      <c r="AG190" s="250">
        <f t="shared" si="166"/>
        <v>6.0363542221780113</v>
      </c>
      <c r="AH190" s="250">
        <f t="shared" si="166"/>
        <v>6.0401945751207995</v>
      </c>
      <c r="AI190" s="250">
        <f t="shared" si="166"/>
        <v>6.0440349280635877</v>
      </c>
      <c r="AJ190" s="250">
        <f t="shared" si="166"/>
        <v>6.0478752810063758</v>
      </c>
      <c r="AK190" s="250"/>
      <c r="AL190" s="250"/>
      <c r="AM190" s="250"/>
      <c r="AN190" s="250"/>
      <c r="AO190" s="10"/>
      <c r="AP190" s="10"/>
    </row>
    <row r="191" spans="1:42">
      <c r="A191" s="199" t="s">
        <v>16</v>
      </c>
      <c r="B191" s="199" t="str">
        <f t="shared" si="167"/>
        <v>TPPUBRT</v>
      </c>
      <c r="C191" s="199" t="str">
        <f t="shared" si="167"/>
        <v>BRT vehicle km</v>
      </c>
      <c r="E191" s="10">
        <f t="shared" si="164"/>
        <v>2.1058630711849068E-2</v>
      </c>
      <c r="F191" s="10">
        <f t="shared" si="164"/>
        <v>2.2956231284398162E-2</v>
      </c>
      <c r="G191" s="10">
        <f t="shared" si="164"/>
        <v>2.4202826606252802E-2</v>
      </c>
      <c r="H191" s="10">
        <f t="shared" si="164"/>
        <v>0.22722938399699999</v>
      </c>
      <c r="I191" s="10">
        <f t="shared" si="164"/>
        <v>0.60645138245336661</v>
      </c>
      <c r="J191" s="10">
        <f t="shared" si="164"/>
        <v>1.156198864940619</v>
      </c>
      <c r="K191" s="10">
        <f t="shared" si="164"/>
        <v>1.7423343022606306</v>
      </c>
      <c r="L191" s="267">
        <f t="shared" si="165"/>
        <v>2.1058630711849068E-2</v>
      </c>
      <c r="M191" s="250">
        <f t="shared" si="166"/>
        <v>4.148594598310925E-2</v>
      </c>
      <c r="N191" s="250">
        <f t="shared" si="166"/>
        <v>6.1913261254369432E-2</v>
      </c>
      <c r="O191" s="250">
        <f t="shared" si="166"/>
        <v>8.2340576525629622E-2</v>
      </c>
      <c r="P191" s="250">
        <f t="shared" si="166"/>
        <v>0.1027678917968898</v>
      </c>
      <c r="Q191" s="250">
        <f t="shared" si="166"/>
        <v>0.12319520706814999</v>
      </c>
      <c r="R191" s="250">
        <f t="shared" si="166"/>
        <v>0.14362252233941017</v>
      </c>
      <c r="S191" s="250">
        <f t="shared" si="166"/>
        <v>0.16404983761067035</v>
      </c>
      <c r="T191" s="250">
        <f t="shared" si="166"/>
        <v>0.18447715288193053</v>
      </c>
      <c r="U191" s="250">
        <f t="shared" si="166"/>
        <v>0.20490446815319072</v>
      </c>
      <c r="V191" s="250">
        <f t="shared" si="166"/>
        <v>0.2253317834244509</v>
      </c>
      <c r="W191" s="250">
        <f t="shared" si="166"/>
        <v>0.24575909869571108</v>
      </c>
      <c r="X191" s="250">
        <f t="shared" si="166"/>
        <v>0.26618641396697129</v>
      </c>
      <c r="Y191" s="250">
        <f t="shared" si="166"/>
        <v>0.28661372923823147</v>
      </c>
      <c r="Z191" s="250">
        <f t="shared" si="166"/>
        <v>0.30704104450949166</v>
      </c>
      <c r="AA191" s="250">
        <f t="shared" si="166"/>
        <v>0.32746835978075184</v>
      </c>
      <c r="AB191" s="250">
        <f t="shared" si="166"/>
        <v>0.34789567505201202</v>
      </c>
      <c r="AC191" s="250">
        <f t="shared" si="166"/>
        <v>0.3683229903232722</v>
      </c>
      <c r="AD191" s="250">
        <f t="shared" si="166"/>
        <v>0.38875030559453239</v>
      </c>
      <c r="AE191" s="250">
        <f t="shared" si="166"/>
        <v>0.40917762086579257</v>
      </c>
      <c r="AF191" s="250">
        <f t="shared" si="166"/>
        <v>0.42960493613705275</v>
      </c>
      <c r="AG191" s="250">
        <f t="shared" si="166"/>
        <v>0.45003225140831293</v>
      </c>
      <c r="AH191" s="250">
        <f t="shared" si="166"/>
        <v>0.47045956667957312</v>
      </c>
      <c r="AI191" s="250">
        <f t="shared" si="166"/>
        <v>0.4908868819508333</v>
      </c>
      <c r="AJ191" s="250">
        <f t="shared" si="166"/>
        <v>0.51131419722209348</v>
      </c>
      <c r="AK191" s="250"/>
      <c r="AL191" s="250"/>
      <c r="AM191" s="250"/>
      <c r="AN191" s="250"/>
      <c r="AO191" s="10"/>
      <c r="AP191" s="10"/>
    </row>
    <row r="192" spans="1:42">
      <c r="A192" s="199" t="s">
        <v>16</v>
      </c>
      <c r="B192" s="199" t="str">
        <f t="shared" si="167"/>
        <v>TPPUMER</v>
      </c>
      <c r="C192" s="199" t="str">
        <f t="shared" si="167"/>
        <v>Metro Rail pkm</v>
      </c>
      <c r="E192" s="10">
        <f t="shared" si="164"/>
        <v>14.481708081439214</v>
      </c>
      <c r="F192" s="10">
        <f t="shared" si="164"/>
        <v>11.972556579022449</v>
      </c>
      <c r="G192" s="10">
        <f t="shared" si="164"/>
        <v>9.4720341660962628</v>
      </c>
      <c r="H192" s="10">
        <f t="shared" si="164"/>
        <v>9.4824769976881882</v>
      </c>
      <c r="I192" s="10">
        <f t="shared" si="164"/>
        <v>9.8416453986154089</v>
      </c>
      <c r="J192" s="10">
        <f t="shared" si="164"/>
        <v>10.354700105067447</v>
      </c>
      <c r="K192" s="10">
        <f t="shared" si="164"/>
        <v>11.566757031596611</v>
      </c>
      <c r="L192" s="267">
        <f t="shared" si="165"/>
        <v>14.481708081439214</v>
      </c>
      <c r="M192" s="250">
        <f t="shared" si="166"/>
        <v>14.232700123305788</v>
      </c>
      <c r="N192" s="250">
        <f t="shared" si="166"/>
        <v>13.983692165172362</v>
      </c>
      <c r="O192" s="250">
        <f t="shared" si="166"/>
        <v>13.734684207038937</v>
      </c>
      <c r="P192" s="250">
        <f t="shared" si="166"/>
        <v>13.485676248905511</v>
      </c>
      <c r="Q192" s="250">
        <f t="shared" si="166"/>
        <v>13.236668290772085</v>
      </c>
      <c r="R192" s="250">
        <f t="shared" si="166"/>
        <v>12.98766033263866</v>
      </c>
      <c r="S192" s="250">
        <f t="shared" si="166"/>
        <v>12.738652374505234</v>
      </c>
      <c r="T192" s="250">
        <f t="shared" si="166"/>
        <v>12.489644416371808</v>
      </c>
      <c r="U192" s="250">
        <f t="shared" si="166"/>
        <v>12.240636458238383</v>
      </c>
      <c r="V192" s="250">
        <f t="shared" si="166"/>
        <v>11.991628500104957</v>
      </c>
      <c r="W192" s="250">
        <f t="shared" si="166"/>
        <v>11.742620541971531</v>
      </c>
      <c r="X192" s="250">
        <f t="shared" si="166"/>
        <v>11.493612583838106</v>
      </c>
      <c r="Y192" s="250">
        <f t="shared" si="166"/>
        <v>11.24460462570468</v>
      </c>
      <c r="Z192" s="250">
        <f t="shared" si="166"/>
        <v>10.995596667571254</v>
      </c>
      <c r="AA192" s="250">
        <f t="shared" si="166"/>
        <v>10.746588709437829</v>
      </c>
      <c r="AB192" s="250">
        <f t="shared" si="166"/>
        <v>10.497580751304403</v>
      </c>
      <c r="AC192" s="250">
        <f t="shared" si="166"/>
        <v>10.248572793170977</v>
      </c>
      <c r="AD192" s="250">
        <f t="shared" si="166"/>
        <v>9.9995648350375514</v>
      </c>
      <c r="AE192" s="250">
        <f t="shared" si="166"/>
        <v>9.7505568769041258</v>
      </c>
      <c r="AF192" s="250">
        <f t="shared" si="166"/>
        <v>9.5015489187707001</v>
      </c>
      <c r="AG192" s="250">
        <f t="shared" si="166"/>
        <v>9.2525409606372744</v>
      </c>
      <c r="AH192" s="250">
        <f t="shared" si="166"/>
        <v>9.0035330025038487</v>
      </c>
      <c r="AI192" s="250">
        <f t="shared" si="166"/>
        <v>8.754525044370423</v>
      </c>
      <c r="AJ192" s="250">
        <f t="shared" si="166"/>
        <v>8.5055170862369973</v>
      </c>
      <c r="AK192" s="250"/>
      <c r="AL192" s="250"/>
      <c r="AM192" s="250"/>
      <c r="AN192" s="250"/>
      <c r="AO192" s="10"/>
      <c r="AP192" s="10"/>
    </row>
    <row r="193" spans="1:61">
      <c r="A193" s="199" t="s">
        <v>16</v>
      </c>
      <c r="B193" s="199" t="str">
        <f t="shared" si="167"/>
        <v>TPPUGAT</v>
      </c>
      <c r="C193" s="199" t="str">
        <f t="shared" si="167"/>
        <v>Gautrain pkm</v>
      </c>
      <c r="E193" s="10">
        <f t="shared" si="164"/>
        <v>0.51926218869795138</v>
      </c>
      <c r="F193" s="10">
        <f t="shared" si="164"/>
        <v>0.6155080844206664</v>
      </c>
      <c r="G193" s="10">
        <f t="shared" si="164"/>
        <v>0.67172432237420632</v>
      </c>
      <c r="H193" s="10">
        <f t="shared" si="164"/>
        <v>0.72286969068405627</v>
      </c>
      <c r="I193" s="10">
        <f t="shared" si="164"/>
        <v>1.1623691684853323</v>
      </c>
      <c r="J193" s="10">
        <f t="shared" si="164"/>
        <v>1.6828407879974545</v>
      </c>
      <c r="K193" s="10">
        <f t="shared" si="164"/>
        <v>2.2058101148995513</v>
      </c>
      <c r="L193" s="267">
        <f t="shared" si="165"/>
        <v>0.51926218869795138</v>
      </c>
      <c r="M193" s="250">
        <f t="shared" si="166"/>
        <v>0.52999834932429035</v>
      </c>
      <c r="N193" s="250">
        <f t="shared" si="166"/>
        <v>0.54073450995062933</v>
      </c>
      <c r="O193" s="250">
        <f t="shared" si="166"/>
        <v>0.5514706705769683</v>
      </c>
      <c r="P193" s="250">
        <f t="shared" si="166"/>
        <v>0.56220683120330728</v>
      </c>
      <c r="Q193" s="250">
        <f t="shared" si="166"/>
        <v>0.57294299182964625</v>
      </c>
      <c r="R193" s="250">
        <f t="shared" si="166"/>
        <v>0.58367915245598523</v>
      </c>
      <c r="S193" s="250">
        <f t="shared" si="166"/>
        <v>0.5944153130823242</v>
      </c>
      <c r="T193" s="250">
        <f t="shared" si="166"/>
        <v>0.60515147370866318</v>
      </c>
      <c r="U193" s="250">
        <f t="shared" si="166"/>
        <v>0.61588763433500215</v>
      </c>
      <c r="V193" s="250">
        <f t="shared" si="166"/>
        <v>0.62662379496134113</v>
      </c>
      <c r="W193" s="250">
        <f t="shared" si="166"/>
        <v>0.6373599555876801</v>
      </c>
      <c r="X193" s="250">
        <f t="shared" si="166"/>
        <v>0.64809611621401908</v>
      </c>
      <c r="Y193" s="250">
        <f t="shared" si="166"/>
        <v>0.65883227684035806</v>
      </c>
      <c r="Z193" s="250">
        <f t="shared" si="166"/>
        <v>0.66956843746669703</v>
      </c>
      <c r="AA193" s="250">
        <f t="shared" si="166"/>
        <v>0.68030459809303601</v>
      </c>
      <c r="AB193" s="250">
        <f t="shared" si="166"/>
        <v>0.69104075871937498</v>
      </c>
      <c r="AC193" s="250">
        <f t="shared" si="166"/>
        <v>0.70177691934571396</v>
      </c>
      <c r="AD193" s="250">
        <f t="shared" si="166"/>
        <v>0.71251307997205293</v>
      </c>
      <c r="AE193" s="250">
        <f t="shared" si="166"/>
        <v>0.72324924059839191</v>
      </c>
      <c r="AF193" s="250">
        <f t="shared" si="166"/>
        <v>0.73398540122473088</v>
      </c>
      <c r="AG193" s="250">
        <f t="shared" si="166"/>
        <v>0.74472156185106986</v>
      </c>
      <c r="AH193" s="250">
        <f t="shared" si="166"/>
        <v>0.75545772247740883</v>
      </c>
      <c r="AI193" s="250">
        <f t="shared" si="166"/>
        <v>0.76619388310374781</v>
      </c>
      <c r="AJ193" s="250">
        <f t="shared" si="166"/>
        <v>0.77693004373008678</v>
      </c>
      <c r="AK193" s="250"/>
      <c r="AL193" s="250"/>
      <c r="AM193" s="250"/>
      <c r="AN193" s="250"/>
      <c r="AO193" s="10"/>
      <c r="AP193" s="10"/>
    </row>
    <row r="194" spans="1:61">
      <c r="E194" s="10"/>
      <c r="F194" s="10"/>
      <c r="G194" s="10"/>
      <c r="H194" s="10"/>
      <c r="I194" s="10"/>
      <c r="J194" s="10"/>
      <c r="K194" s="10"/>
      <c r="L194" s="267"/>
      <c r="M194" s="250"/>
      <c r="N194" s="250"/>
      <c r="O194" s="250"/>
      <c r="P194" s="250"/>
      <c r="Q194" s="250"/>
      <c r="R194" s="250"/>
      <c r="S194" s="250"/>
      <c r="T194" s="250"/>
      <c r="U194" s="250"/>
      <c r="V194" s="250"/>
      <c r="W194" s="250"/>
      <c r="X194" s="250"/>
      <c r="Y194" s="250"/>
      <c r="Z194" s="250"/>
      <c r="AA194" s="250"/>
      <c r="AB194" s="250"/>
      <c r="AC194" s="250"/>
      <c r="AD194" s="250"/>
      <c r="AE194" s="250"/>
      <c r="AF194" s="250"/>
      <c r="AG194" s="250"/>
      <c r="AH194" s="250"/>
      <c r="AI194" s="250"/>
      <c r="AJ194" s="250"/>
      <c r="AK194" s="250"/>
      <c r="AL194" s="250"/>
      <c r="AM194" s="250"/>
      <c r="AN194" s="250"/>
      <c r="AO194" s="10"/>
      <c r="AP194" s="10"/>
    </row>
    <row r="195" spans="1:61" ht="23.25">
      <c r="A195" s="199" t="s">
        <v>16</v>
      </c>
      <c r="B195" s="16" t="s">
        <v>18</v>
      </c>
      <c r="C195" s="16" t="s">
        <v>19</v>
      </c>
      <c r="D195" s="16" t="s">
        <v>20</v>
      </c>
      <c r="E195" s="16" t="s">
        <v>21</v>
      </c>
      <c r="F195" s="16"/>
      <c r="G195" s="16" t="s">
        <v>22</v>
      </c>
      <c r="H195" s="16" t="s">
        <v>23</v>
      </c>
      <c r="I195" s="16" t="s">
        <v>24</v>
      </c>
      <c r="J195" s="17" t="s">
        <v>25</v>
      </c>
      <c r="K195" s="18">
        <v>2012</v>
      </c>
      <c r="L195" s="18">
        <f t="shared" ref="L195:AM195" si="168">1+K195</f>
        <v>2013</v>
      </c>
      <c r="M195" s="18">
        <f t="shared" si="168"/>
        <v>2014</v>
      </c>
      <c r="N195" s="18">
        <f>1+M195</f>
        <v>2015</v>
      </c>
      <c r="O195" s="18">
        <f t="shared" si="168"/>
        <v>2016</v>
      </c>
      <c r="P195" s="18">
        <f t="shared" si="168"/>
        <v>2017</v>
      </c>
      <c r="Q195" s="18">
        <f t="shared" si="168"/>
        <v>2018</v>
      </c>
      <c r="R195" s="18">
        <f t="shared" si="168"/>
        <v>2019</v>
      </c>
      <c r="S195" s="18">
        <f t="shared" si="168"/>
        <v>2020</v>
      </c>
      <c r="T195" s="18">
        <f t="shared" si="168"/>
        <v>2021</v>
      </c>
      <c r="U195" s="18">
        <f t="shared" si="168"/>
        <v>2022</v>
      </c>
      <c r="V195" s="18">
        <f t="shared" si="168"/>
        <v>2023</v>
      </c>
      <c r="W195" s="18">
        <f t="shared" si="168"/>
        <v>2024</v>
      </c>
      <c r="X195" s="18">
        <f t="shared" si="168"/>
        <v>2025</v>
      </c>
      <c r="Y195" s="18">
        <f t="shared" si="168"/>
        <v>2026</v>
      </c>
      <c r="Z195" s="18">
        <f t="shared" si="168"/>
        <v>2027</v>
      </c>
      <c r="AA195" s="18">
        <f t="shared" si="168"/>
        <v>2028</v>
      </c>
      <c r="AB195" s="18">
        <f t="shared" si="168"/>
        <v>2029</v>
      </c>
      <c r="AC195" s="18">
        <f t="shared" si="168"/>
        <v>2030</v>
      </c>
      <c r="AD195" s="18">
        <f t="shared" si="168"/>
        <v>2031</v>
      </c>
      <c r="AE195" s="18">
        <f t="shared" si="168"/>
        <v>2032</v>
      </c>
      <c r="AF195" s="18">
        <f t="shared" si="168"/>
        <v>2033</v>
      </c>
      <c r="AG195" s="18">
        <f t="shared" si="168"/>
        <v>2034</v>
      </c>
      <c r="AH195" s="18">
        <f t="shared" si="168"/>
        <v>2035</v>
      </c>
      <c r="AI195" s="18">
        <f t="shared" si="168"/>
        <v>2036</v>
      </c>
      <c r="AJ195" s="18">
        <f t="shared" si="168"/>
        <v>2037</v>
      </c>
      <c r="AK195" s="18">
        <f t="shared" si="168"/>
        <v>2038</v>
      </c>
      <c r="AL195" s="18">
        <f t="shared" si="168"/>
        <v>2039</v>
      </c>
      <c r="AM195" s="18">
        <f t="shared" si="168"/>
        <v>2040</v>
      </c>
      <c r="AN195" s="18">
        <v>2045</v>
      </c>
      <c r="AO195" s="18">
        <v>2050</v>
      </c>
      <c r="AP195" s="18">
        <v>2060</v>
      </c>
      <c r="AQ195" s="18">
        <v>2070</v>
      </c>
      <c r="AS195" s="18"/>
      <c r="AT195" s="18"/>
      <c r="AW195" s="18"/>
      <c r="AX195" s="18"/>
      <c r="BH195" s="18">
        <v>2012</v>
      </c>
      <c r="BI195" s="18"/>
    </row>
    <row r="196" spans="1:61" s="205" customFormat="1">
      <c r="A196" s="124" t="s">
        <v>16</v>
      </c>
      <c r="B196" s="205" t="s">
        <v>392</v>
      </c>
      <c r="C196" s="205">
        <v>1</v>
      </c>
      <c r="D196" s="205">
        <v>2012</v>
      </c>
      <c r="E196" s="205">
        <v>2015</v>
      </c>
      <c r="F196" s="205">
        <v>2017</v>
      </c>
      <c r="G196" s="205">
        <v>2020</v>
      </c>
      <c r="H196" s="205">
        <v>2030</v>
      </c>
      <c r="I196" s="205">
        <v>2040</v>
      </c>
      <c r="J196" s="254">
        <v>2050</v>
      </c>
      <c r="K196" s="124">
        <f t="shared" ref="K196:AO196" si="169">MATCH(J$209,$E$185:$K$185,$C196)</f>
        <v>1</v>
      </c>
      <c r="L196" s="124">
        <f t="shared" si="169"/>
        <v>1</v>
      </c>
      <c r="M196" s="124">
        <f t="shared" si="169"/>
        <v>1</v>
      </c>
      <c r="N196" s="124">
        <f t="shared" si="169"/>
        <v>2</v>
      </c>
      <c r="O196" s="124">
        <f t="shared" si="169"/>
        <v>2</v>
      </c>
      <c r="P196" s="124">
        <f t="shared" si="169"/>
        <v>3</v>
      </c>
      <c r="Q196" s="124">
        <f t="shared" si="169"/>
        <v>3</v>
      </c>
      <c r="R196" s="124">
        <f t="shared" si="169"/>
        <v>3</v>
      </c>
      <c r="S196" s="124">
        <f t="shared" si="169"/>
        <v>4</v>
      </c>
      <c r="T196" s="124">
        <f t="shared" si="169"/>
        <v>4</v>
      </c>
      <c r="U196" s="124">
        <f t="shared" si="169"/>
        <v>4</v>
      </c>
      <c r="V196" s="124">
        <f t="shared" si="169"/>
        <v>4</v>
      </c>
      <c r="W196" s="124">
        <f t="shared" si="169"/>
        <v>4</v>
      </c>
      <c r="X196" s="124">
        <f t="shared" si="169"/>
        <v>4</v>
      </c>
      <c r="Y196" s="124">
        <f t="shared" si="169"/>
        <v>4</v>
      </c>
      <c r="Z196" s="124">
        <f t="shared" si="169"/>
        <v>4</v>
      </c>
      <c r="AA196" s="124">
        <f t="shared" si="169"/>
        <v>4</v>
      </c>
      <c r="AB196" s="124">
        <f t="shared" si="169"/>
        <v>4</v>
      </c>
      <c r="AC196" s="124">
        <f t="shared" si="169"/>
        <v>5</v>
      </c>
      <c r="AD196" s="124">
        <f t="shared" si="169"/>
        <v>5</v>
      </c>
      <c r="AE196" s="124">
        <f t="shared" si="169"/>
        <v>5</v>
      </c>
      <c r="AF196" s="124">
        <f t="shared" si="169"/>
        <v>5</v>
      </c>
      <c r="AG196" s="124">
        <f t="shared" si="169"/>
        <v>5</v>
      </c>
      <c r="AH196" s="124">
        <f t="shared" si="169"/>
        <v>5</v>
      </c>
      <c r="AI196" s="124">
        <f t="shared" si="169"/>
        <v>5</v>
      </c>
      <c r="AJ196" s="124">
        <f t="shared" si="169"/>
        <v>5</v>
      </c>
      <c r="AK196" s="124">
        <f t="shared" si="169"/>
        <v>5</v>
      </c>
      <c r="AL196" s="124">
        <f t="shared" si="169"/>
        <v>5</v>
      </c>
      <c r="AM196" s="124">
        <f t="shared" si="169"/>
        <v>6</v>
      </c>
      <c r="AN196" s="124">
        <f t="shared" si="169"/>
        <v>6</v>
      </c>
      <c r="AO196" s="124">
        <f t="shared" si="169"/>
        <v>7</v>
      </c>
      <c r="AP196" s="205">
        <f>MATCH(AO$209,$C$210:$I$210,$C196)</f>
        <v>7</v>
      </c>
      <c r="AQ196" s="205">
        <f>MATCH(AP$209,$C$210:$I$210,$C196)</f>
        <v>7</v>
      </c>
      <c r="BH196" s="124">
        <f>MATCH(BG$209,$C$210:$I$210,$C196)</f>
        <v>1</v>
      </c>
    </row>
    <row r="197" spans="1:61">
      <c r="A197" s="41" t="s">
        <v>16</v>
      </c>
      <c r="B197" s="199" t="s">
        <v>393</v>
      </c>
      <c r="C197" s="199">
        <v>0</v>
      </c>
      <c r="D197" s="199">
        <f t="shared" ref="D197:J197" si="170">INDEX($D196:$J196,0,COUNT($D196:$J196)-D198)</f>
        <v>2050</v>
      </c>
      <c r="E197" s="199">
        <f t="shared" si="170"/>
        <v>2040</v>
      </c>
      <c r="F197" s="199">
        <f t="shared" si="170"/>
        <v>2030</v>
      </c>
      <c r="G197" s="199">
        <f t="shared" si="170"/>
        <v>2020</v>
      </c>
      <c r="H197" s="199">
        <f t="shared" si="170"/>
        <v>2017</v>
      </c>
      <c r="I197" s="199">
        <f t="shared" si="170"/>
        <v>2015</v>
      </c>
      <c r="J197" s="131">
        <f t="shared" si="170"/>
        <v>2012</v>
      </c>
      <c r="K197" s="41">
        <f t="shared" ref="K197:AO197" si="171">MATCH(J$209,$E$185:$K$185,$C197)</f>
        <v>1</v>
      </c>
      <c r="L197" s="41" t="e">
        <f t="shared" si="171"/>
        <v>#N/A</v>
      </c>
      <c r="M197" s="41" t="e">
        <f t="shared" si="171"/>
        <v>#N/A</v>
      </c>
      <c r="N197" s="41">
        <f t="shared" si="171"/>
        <v>2</v>
      </c>
      <c r="O197" s="41" t="e">
        <f t="shared" si="171"/>
        <v>#N/A</v>
      </c>
      <c r="P197" s="41">
        <f t="shared" si="171"/>
        <v>3</v>
      </c>
      <c r="Q197" s="41" t="e">
        <f t="shared" si="171"/>
        <v>#N/A</v>
      </c>
      <c r="R197" s="41" t="e">
        <f t="shared" si="171"/>
        <v>#N/A</v>
      </c>
      <c r="S197" s="41">
        <f t="shared" si="171"/>
        <v>4</v>
      </c>
      <c r="T197" s="41" t="e">
        <f t="shared" si="171"/>
        <v>#N/A</v>
      </c>
      <c r="U197" s="41" t="e">
        <f t="shared" si="171"/>
        <v>#N/A</v>
      </c>
      <c r="V197" s="41" t="e">
        <f t="shared" si="171"/>
        <v>#N/A</v>
      </c>
      <c r="W197" s="41" t="e">
        <f t="shared" si="171"/>
        <v>#N/A</v>
      </c>
      <c r="X197" s="41" t="e">
        <f t="shared" si="171"/>
        <v>#N/A</v>
      </c>
      <c r="Y197" s="41" t="e">
        <f t="shared" si="171"/>
        <v>#N/A</v>
      </c>
      <c r="Z197" s="41" t="e">
        <f t="shared" si="171"/>
        <v>#N/A</v>
      </c>
      <c r="AA197" s="41" t="e">
        <f t="shared" si="171"/>
        <v>#N/A</v>
      </c>
      <c r="AB197" s="41" t="e">
        <f t="shared" si="171"/>
        <v>#N/A</v>
      </c>
      <c r="AC197" s="41">
        <f t="shared" si="171"/>
        <v>5</v>
      </c>
      <c r="AD197" s="41" t="e">
        <f t="shared" si="171"/>
        <v>#N/A</v>
      </c>
      <c r="AE197" s="41" t="e">
        <f t="shared" si="171"/>
        <v>#N/A</v>
      </c>
      <c r="AF197" s="41" t="e">
        <f t="shared" si="171"/>
        <v>#N/A</v>
      </c>
      <c r="AG197" s="41" t="e">
        <f t="shared" si="171"/>
        <v>#N/A</v>
      </c>
      <c r="AH197" s="41" t="e">
        <f t="shared" si="171"/>
        <v>#N/A</v>
      </c>
      <c r="AI197" s="41" t="e">
        <f t="shared" si="171"/>
        <v>#N/A</v>
      </c>
      <c r="AJ197" s="41" t="e">
        <f t="shared" si="171"/>
        <v>#N/A</v>
      </c>
      <c r="AK197" s="41" t="e">
        <f t="shared" si="171"/>
        <v>#N/A</v>
      </c>
      <c r="AL197" s="41" t="e">
        <f t="shared" si="171"/>
        <v>#N/A</v>
      </c>
      <c r="AM197" s="41">
        <f t="shared" si="171"/>
        <v>6</v>
      </c>
      <c r="AN197" s="41" t="e">
        <f t="shared" si="171"/>
        <v>#N/A</v>
      </c>
      <c r="AO197" s="41">
        <f t="shared" si="171"/>
        <v>7</v>
      </c>
      <c r="AP197" s="199" t="e">
        <f>MATCH(AO$209,$C$210:$I$210,$C197)</f>
        <v>#N/A</v>
      </c>
      <c r="AQ197" s="199" t="e">
        <f>MATCH(AP$209,$C$210:$I$210,$C197)</f>
        <v>#N/A</v>
      </c>
      <c r="BH197" s="41">
        <f>MATCH(BG$209,$C$210:$I$210,$C197)</f>
        <v>1</v>
      </c>
    </row>
    <row r="198" spans="1:61">
      <c r="A198" s="41" t="s">
        <v>16</v>
      </c>
      <c r="B198" s="199" t="s">
        <v>391</v>
      </c>
      <c r="C198" s="199">
        <v>-1</v>
      </c>
      <c r="D198" s="199">
        <v>0</v>
      </c>
      <c r="E198" s="199">
        <v>1</v>
      </c>
      <c r="F198" s="202">
        <v>2</v>
      </c>
      <c r="G198" s="199">
        <v>3</v>
      </c>
      <c r="H198" s="199">
        <v>4</v>
      </c>
      <c r="I198" s="199">
        <v>5</v>
      </c>
      <c r="J198" s="199">
        <v>6</v>
      </c>
      <c r="K198" s="199">
        <f>MATCH(J$209,$C$211:$I$211,$C198)</f>
        <v>7</v>
      </c>
      <c r="L198" s="199">
        <f>MATCH(K$209,$D$197:$J$197,$C198)</f>
        <v>6</v>
      </c>
      <c r="M198" s="199">
        <f t="shared" ref="M198:AQ198" si="172">MATCH(L$209,$C$211:$I$211,$C198)</f>
        <v>6</v>
      </c>
      <c r="N198" s="199">
        <f t="shared" si="172"/>
        <v>6</v>
      </c>
      <c r="O198" s="199">
        <f t="shared" si="172"/>
        <v>5</v>
      </c>
      <c r="P198" s="199">
        <f t="shared" si="172"/>
        <v>5</v>
      </c>
      <c r="Q198" s="199">
        <f t="shared" si="172"/>
        <v>4</v>
      </c>
      <c r="R198" s="199">
        <f t="shared" si="172"/>
        <v>4</v>
      </c>
      <c r="S198" s="199">
        <f t="shared" si="172"/>
        <v>4</v>
      </c>
      <c r="T198" s="199">
        <f t="shared" si="172"/>
        <v>3</v>
      </c>
      <c r="U198" s="199">
        <f t="shared" si="172"/>
        <v>3</v>
      </c>
      <c r="V198" s="199">
        <f t="shared" si="172"/>
        <v>3</v>
      </c>
      <c r="W198" s="199">
        <f t="shared" si="172"/>
        <v>3</v>
      </c>
      <c r="X198" s="199">
        <f t="shared" si="172"/>
        <v>3</v>
      </c>
      <c r="Y198" s="199">
        <f t="shared" si="172"/>
        <v>3</v>
      </c>
      <c r="Z198" s="199">
        <f t="shared" si="172"/>
        <v>3</v>
      </c>
      <c r="AA198" s="199">
        <f t="shared" si="172"/>
        <v>3</v>
      </c>
      <c r="AB198" s="199">
        <f t="shared" si="172"/>
        <v>3</v>
      </c>
      <c r="AC198" s="199">
        <f t="shared" si="172"/>
        <v>3</v>
      </c>
      <c r="AD198" s="199">
        <f t="shared" si="172"/>
        <v>2</v>
      </c>
      <c r="AE198" s="199">
        <f t="shared" si="172"/>
        <v>2</v>
      </c>
      <c r="AF198" s="199">
        <f t="shared" si="172"/>
        <v>2</v>
      </c>
      <c r="AG198" s="199">
        <f t="shared" si="172"/>
        <v>2</v>
      </c>
      <c r="AH198" s="199">
        <f t="shared" si="172"/>
        <v>2</v>
      </c>
      <c r="AI198" s="199">
        <f t="shared" si="172"/>
        <v>2</v>
      </c>
      <c r="AJ198" s="199">
        <f t="shared" si="172"/>
        <v>2</v>
      </c>
      <c r="AK198" s="199">
        <f t="shared" si="172"/>
        <v>2</v>
      </c>
      <c r="AL198" s="199">
        <f t="shared" si="172"/>
        <v>2</v>
      </c>
      <c r="AM198" s="199">
        <f t="shared" si="172"/>
        <v>2</v>
      </c>
      <c r="AN198" s="199">
        <f t="shared" si="172"/>
        <v>1</v>
      </c>
      <c r="AO198" s="199">
        <f t="shared" si="172"/>
        <v>1</v>
      </c>
      <c r="AP198" s="199" t="e">
        <f t="shared" si="172"/>
        <v>#N/A</v>
      </c>
      <c r="AQ198" s="199" t="e">
        <f t="shared" si="172"/>
        <v>#N/A</v>
      </c>
      <c r="BH198" s="199">
        <f>MATCH(BG$209,$C$211:$I$211,$C198)</f>
        <v>7</v>
      </c>
    </row>
    <row r="199" spans="1:61" s="127" customFormat="1">
      <c r="A199" s="126" t="s">
        <v>16</v>
      </c>
      <c r="B199" s="127" t="s">
        <v>394</v>
      </c>
      <c r="J199" s="132"/>
      <c r="K199" s="203">
        <f>IF(ISNA(K196),-1,IF(ISNA(K198),99,IF(ISNA(K197),K196,0)))</f>
        <v>0</v>
      </c>
      <c r="L199" s="203">
        <f>IF(ISNA(L196),-1,IF(ISNA(L198),99,IF(ISNA(L197),L196,0)))</f>
        <v>1</v>
      </c>
      <c r="M199" s="203">
        <f t="shared" ref="M199:AQ199" si="173">IF(ISNA(M196),-1,IF(ISNA(M198),99,IF(ISNA(M197),M196,0)))</f>
        <v>1</v>
      </c>
      <c r="N199" s="203">
        <f t="shared" si="173"/>
        <v>0</v>
      </c>
      <c r="O199" s="203">
        <f t="shared" si="173"/>
        <v>2</v>
      </c>
      <c r="P199" s="203">
        <f t="shared" ref="P199" si="174">IF(ISNA(P196),-1,IF(ISNA(P198),99,IF(ISNA(P197),P196,0)))</f>
        <v>0</v>
      </c>
      <c r="Q199" s="203">
        <f t="shared" si="173"/>
        <v>3</v>
      </c>
      <c r="R199" s="203">
        <f t="shared" si="173"/>
        <v>3</v>
      </c>
      <c r="S199" s="203">
        <f t="shared" si="173"/>
        <v>0</v>
      </c>
      <c r="T199" s="203">
        <f t="shared" si="173"/>
        <v>4</v>
      </c>
      <c r="U199" s="203">
        <f t="shared" si="173"/>
        <v>4</v>
      </c>
      <c r="V199" s="203">
        <f t="shared" si="173"/>
        <v>4</v>
      </c>
      <c r="W199" s="203">
        <f t="shared" si="173"/>
        <v>4</v>
      </c>
      <c r="X199" s="203">
        <f t="shared" si="173"/>
        <v>4</v>
      </c>
      <c r="Y199" s="203">
        <f t="shared" si="173"/>
        <v>4</v>
      </c>
      <c r="Z199" s="203">
        <f t="shared" si="173"/>
        <v>4</v>
      </c>
      <c r="AA199" s="203">
        <f t="shared" si="173"/>
        <v>4</v>
      </c>
      <c r="AB199" s="203">
        <f t="shared" si="173"/>
        <v>4</v>
      </c>
      <c r="AC199" s="203">
        <f t="shared" si="173"/>
        <v>0</v>
      </c>
      <c r="AD199" s="203">
        <f t="shared" si="173"/>
        <v>5</v>
      </c>
      <c r="AE199" s="203">
        <f t="shared" si="173"/>
        <v>5</v>
      </c>
      <c r="AF199" s="203">
        <f t="shared" si="173"/>
        <v>5</v>
      </c>
      <c r="AG199" s="203">
        <f t="shared" si="173"/>
        <v>5</v>
      </c>
      <c r="AH199" s="203">
        <f t="shared" si="173"/>
        <v>5</v>
      </c>
      <c r="AI199" s="203">
        <f t="shared" si="173"/>
        <v>5</v>
      </c>
      <c r="AJ199" s="203">
        <f t="shared" si="173"/>
        <v>5</v>
      </c>
      <c r="AK199" s="203">
        <f t="shared" si="173"/>
        <v>5</v>
      </c>
      <c r="AL199" s="203">
        <f t="shared" si="173"/>
        <v>5</v>
      </c>
      <c r="AM199" s="203">
        <f t="shared" si="173"/>
        <v>0</v>
      </c>
      <c r="AN199" s="203">
        <f t="shared" si="173"/>
        <v>6</v>
      </c>
      <c r="AO199" s="203">
        <f t="shared" si="173"/>
        <v>0</v>
      </c>
      <c r="AP199" s="203">
        <f t="shared" si="173"/>
        <v>99</v>
      </c>
      <c r="AQ199" s="203">
        <f t="shared" si="173"/>
        <v>99</v>
      </c>
      <c r="AS199" s="203"/>
      <c r="AT199" s="203"/>
      <c r="AW199" s="203"/>
      <c r="AX199" s="203"/>
      <c r="BH199" s="203">
        <f>IF(ISNA(BH196),-1,IF(ISNA(BH198),99,IF(ISNA(BH197),BH196,0)))</f>
        <v>0</v>
      </c>
      <c r="BI199" s="203"/>
    </row>
    <row r="200" spans="1:61">
      <c r="A200" s="199" t="s">
        <v>16</v>
      </c>
      <c r="B200" s="22" t="str">
        <f t="shared" ref="B200:B207" si="175">IF(A200="*","","COM_PROJ")</f>
        <v/>
      </c>
      <c r="C200" s="23" t="str">
        <f t="shared" ref="C200:C207" si="176">IF($A200="*","","-")</f>
        <v/>
      </c>
      <c r="D200" s="61" t="str">
        <f t="shared" ref="D200:D207" si="177">B172</f>
        <v>TPPRCAR</v>
      </c>
      <c r="E200" s="23" t="str">
        <f t="shared" ref="E200:I207" si="178">IF($A200="*","","-")</f>
        <v/>
      </c>
      <c r="F200" s="23"/>
      <c r="G200" s="23" t="str">
        <f t="shared" si="178"/>
        <v/>
      </c>
      <c r="H200" s="23" t="str">
        <f t="shared" si="178"/>
        <v/>
      </c>
      <c r="I200" s="23" t="str">
        <f t="shared" si="178"/>
        <v/>
      </c>
      <c r="J200" s="22" t="str">
        <f t="shared" ref="J200:J207" si="179">IF(A200="*","",0)</f>
        <v/>
      </c>
      <c r="K200" s="200">
        <f t="shared" ref="K200:AP207" si="180">IF(K$199=-1,L200,IF(K$199=99,J200,IF(K$199=0,INDEX($E186:$K186,0,K$197),(INDEX($E186:$K186,0,K$199+1)-INDEX($E186:$K186,0,K$199))/(INDEX($E$185:$K$185,0,K$199+1)-INDEX($E$185:$K$185,0,K$199))+J200)))</f>
        <v>79.483105557424096</v>
      </c>
      <c r="L200" s="200">
        <f t="shared" si="180"/>
        <v>83.905507154383585</v>
      </c>
      <c r="M200" s="200">
        <f t="shared" si="180"/>
        <v>88.327908751343074</v>
      </c>
      <c r="N200" s="200">
        <f t="shared" si="180"/>
        <v>92.750310348302548</v>
      </c>
      <c r="O200" s="200">
        <f t="shared" si="180"/>
        <v>96.653368650431077</v>
      </c>
      <c r="P200" s="200">
        <f t="shared" si="180"/>
        <v>100.5564269525596</v>
      </c>
      <c r="Q200" s="200">
        <f t="shared" si="180"/>
        <v>103.31715188474146</v>
      </c>
      <c r="R200" s="200">
        <f t="shared" si="180"/>
        <v>106.07787681692332</v>
      </c>
      <c r="S200" s="200">
        <f t="shared" si="180"/>
        <v>108.83860174910519</v>
      </c>
      <c r="T200" s="200">
        <f t="shared" si="180"/>
        <v>113.54308234419325</v>
      </c>
      <c r="U200" s="200">
        <f t="shared" si="180"/>
        <v>118.24756293928131</v>
      </c>
      <c r="V200" s="200">
        <f t="shared" si="180"/>
        <v>122.95204353436937</v>
      </c>
      <c r="W200" s="200">
        <f t="shared" si="180"/>
        <v>127.65652412945742</v>
      </c>
      <c r="X200" s="200">
        <f t="shared" si="180"/>
        <v>132.3610047245455</v>
      </c>
      <c r="Y200" s="200">
        <f t="shared" si="180"/>
        <v>137.06548531963355</v>
      </c>
      <c r="Z200" s="200">
        <f t="shared" si="180"/>
        <v>141.76996591472161</v>
      </c>
      <c r="AA200" s="200">
        <f t="shared" si="180"/>
        <v>146.47444650980967</v>
      </c>
      <c r="AB200" s="200">
        <f t="shared" si="180"/>
        <v>151.17892710489772</v>
      </c>
      <c r="AC200" s="200">
        <f t="shared" si="180"/>
        <v>155.88340769998581</v>
      </c>
      <c r="AD200" s="200">
        <f t="shared" si="180"/>
        <v>160.70986411396171</v>
      </c>
      <c r="AE200" s="200">
        <f t="shared" si="180"/>
        <v>165.53632052793762</v>
      </c>
      <c r="AF200" s="200">
        <f t="shared" si="180"/>
        <v>170.36277694191352</v>
      </c>
      <c r="AG200" s="200">
        <f t="shared" si="180"/>
        <v>175.18923335588943</v>
      </c>
      <c r="AH200" s="200">
        <f t="shared" si="180"/>
        <v>180.01568976986533</v>
      </c>
      <c r="AI200" s="200">
        <f t="shared" si="180"/>
        <v>184.84214618384124</v>
      </c>
      <c r="AJ200" s="200">
        <f t="shared" si="180"/>
        <v>189.66860259781714</v>
      </c>
      <c r="AK200" s="200">
        <f t="shared" si="180"/>
        <v>194.49505901179305</v>
      </c>
      <c r="AL200" s="200">
        <f t="shared" si="180"/>
        <v>199.32151542576895</v>
      </c>
      <c r="AM200" s="200">
        <f t="shared" si="180"/>
        <v>204.14797183974494</v>
      </c>
      <c r="AN200" s="200">
        <f t="shared" si="180"/>
        <v>207.5429506301119</v>
      </c>
      <c r="AO200" s="200">
        <f t="shared" si="180"/>
        <v>238.09775974341463</v>
      </c>
      <c r="AP200" s="200">
        <f t="shared" si="180"/>
        <v>238.09775974341463</v>
      </c>
      <c r="AQ200" s="200">
        <f t="shared" ref="AQ200:AQ207" si="181">IF(AQ$199=-1,AS200,IF(AQ$199=99,AP200,IF(AQ$199=0,INDEX($E186:$K186,0,AQ$197),(INDEX($E186:$K186,0,AQ$199+1)-INDEX($E186:$K186,0,AQ$199))/(INDEX($E$185:$K$185,0,AQ$199+1)-INDEX($E$185:$K$185,0,AQ$199))+AP200)))</f>
        <v>238.09775974341463</v>
      </c>
      <c r="AS200" s="200"/>
      <c r="AT200" s="200"/>
      <c r="AW200" s="200"/>
      <c r="AX200" s="200"/>
      <c r="BH200" s="200">
        <f t="shared" ref="BH200:BH207" si="182">E186</f>
        <v>79.483105557424096</v>
      </c>
      <c r="BI200" s="118">
        <f t="shared" ref="BI200:BI207" si="183">(K200-BH200)/K200</f>
        <v>0</v>
      </c>
    </row>
    <row r="201" spans="1:61">
      <c r="A201" s="199" t="s">
        <v>16</v>
      </c>
      <c r="B201" s="22" t="str">
        <f t="shared" si="175"/>
        <v/>
      </c>
      <c r="C201" s="23" t="str">
        <f t="shared" si="176"/>
        <v/>
      </c>
      <c r="D201" s="61" t="str">
        <f t="shared" si="177"/>
        <v>TPPRSUV</v>
      </c>
      <c r="E201" s="23" t="str">
        <f t="shared" si="178"/>
        <v/>
      </c>
      <c r="F201" s="23"/>
      <c r="G201" s="23" t="str">
        <f t="shared" si="178"/>
        <v/>
      </c>
      <c r="H201" s="23" t="str">
        <f t="shared" si="178"/>
        <v/>
      </c>
      <c r="I201" s="23" t="str">
        <f t="shared" si="178"/>
        <v/>
      </c>
      <c r="J201" s="22" t="str">
        <f t="shared" si="179"/>
        <v/>
      </c>
      <c r="K201" s="200">
        <f t="shared" si="180"/>
        <v>9.1263671637063464</v>
      </c>
      <c r="L201" s="200">
        <f t="shared" si="180"/>
        <v>9.6341538239803892</v>
      </c>
      <c r="M201" s="200">
        <f t="shared" si="180"/>
        <v>10.141940484254432</v>
      </c>
      <c r="N201" s="200">
        <f t="shared" si="180"/>
        <v>10.649727144528473</v>
      </c>
      <c r="O201" s="200">
        <f t="shared" si="180"/>
        <v>11.097882043318158</v>
      </c>
      <c r="P201" s="200">
        <f t="shared" si="180"/>
        <v>11.546036942107843</v>
      </c>
      <c r="Q201" s="200">
        <f t="shared" si="180"/>
        <v>11.843590408990188</v>
      </c>
      <c r="R201" s="200">
        <f t="shared" si="180"/>
        <v>12.141143875872533</v>
      </c>
      <c r="S201" s="200">
        <f t="shared" si="180"/>
        <v>12.43869734275488</v>
      </c>
      <c r="T201" s="200">
        <f t="shared" si="180"/>
        <v>12.966470398123887</v>
      </c>
      <c r="U201" s="200">
        <f t="shared" si="180"/>
        <v>13.494243453492894</v>
      </c>
      <c r="V201" s="200">
        <f t="shared" si="180"/>
        <v>14.022016508861901</v>
      </c>
      <c r="W201" s="200">
        <f t="shared" si="180"/>
        <v>14.549789564230908</v>
      </c>
      <c r="X201" s="200">
        <f t="shared" si="180"/>
        <v>15.077562619599915</v>
      </c>
      <c r="Y201" s="200">
        <f t="shared" si="180"/>
        <v>15.605335674968922</v>
      </c>
      <c r="Z201" s="200">
        <f t="shared" si="180"/>
        <v>16.133108730337931</v>
      </c>
      <c r="AA201" s="200">
        <f t="shared" si="180"/>
        <v>16.660881785706938</v>
      </c>
      <c r="AB201" s="200">
        <f t="shared" si="180"/>
        <v>17.188654841075945</v>
      </c>
      <c r="AC201" s="200">
        <f t="shared" si="180"/>
        <v>17.716427896444952</v>
      </c>
      <c r="AD201" s="200">
        <f t="shared" si="180"/>
        <v>18.264963294247565</v>
      </c>
      <c r="AE201" s="200">
        <f t="shared" si="180"/>
        <v>18.813498692050178</v>
      </c>
      <c r="AF201" s="200">
        <f t="shared" si="180"/>
        <v>19.362034089852791</v>
      </c>
      <c r="AG201" s="200">
        <f t="shared" si="180"/>
        <v>19.910569487655405</v>
      </c>
      <c r="AH201" s="200">
        <f t="shared" si="180"/>
        <v>20.459104885458018</v>
      </c>
      <c r="AI201" s="200">
        <f t="shared" si="180"/>
        <v>21.007640283260631</v>
      </c>
      <c r="AJ201" s="200">
        <f t="shared" si="180"/>
        <v>21.556175681063245</v>
      </c>
      <c r="AK201" s="200">
        <f t="shared" si="180"/>
        <v>22.104711078865858</v>
      </c>
      <c r="AL201" s="200">
        <f t="shared" si="180"/>
        <v>22.653246476668471</v>
      </c>
      <c r="AM201" s="200">
        <f t="shared" si="180"/>
        <v>23.20178187447107</v>
      </c>
      <c r="AN201" s="200">
        <f t="shared" si="180"/>
        <v>23.587627281862058</v>
      </c>
      <c r="AO201" s="200">
        <f t="shared" si="180"/>
        <v>27.060235948380942</v>
      </c>
      <c r="AP201" s="200">
        <f t="shared" si="180"/>
        <v>27.060235948380942</v>
      </c>
      <c r="AQ201" s="200">
        <f t="shared" si="181"/>
        <v>27.060235948380942</v>
      </c>
      <c r="AS201" s="200"/>
      <c r="AT201" s="200"/>
      <c r="AW201" s="200"/>
      <c r="AX201" s="200"/>
      <c r="BH201" s="200">
        <f t="shared" si="182"/>
        <v>9.1263671637063464</v>
      </c>
      <c r="BI201" s="118">
        <f t="shared" si="183"/>
        <v>0</v>
      </c>
    </row>
    <row r="202" spans="1:61">
      <c r="A202" s="199" t="s">
        <v>16</v>
      </c>
      <c r="B202" s="22" t="str">
        <f t="shared" si="175"/>
        <v/>
      </c>
      <c r="C202" s="23" t="str">
        <f t="shared" si="176"/>
        <v/>
      </c>
      <c r="D202" s="61" t="str">
        <f t="shared" si="177"/>
        <v>TPPRMOT</v>
      </c>
      <c r="E202" s="23" t="str">
        <f t="shared" si="178"/>
        <v/>
      </c>
      <c r="F202" s="23"/>
      <c r="G202" s="23" t="str">
        <f t="shared" si="178"/>
        <v/>
      </c>
      <c r="H202" s="23" t="str">
        <f t="shared" si="178"/>
        <v/>
      </c>
      <c r="I202" s="23" t="str">
        <f t="shared" si="178"/>
        <v/>
      </c>
      <c r="J202" s="22" t="str">
        <f t="shared" si="179"/>
        <v/>
      </c>
      <c r="K202" s="200">
        <f t="shared" si="180"/>
        <v>3.1110391443224037</v>
      </c>
      <c r="L202" s="200">
        <f t="shared" si="180"/>
        <v>2.9659458194027142</v>
      </c>
      <c r="M202" s="200">
        <f t="shared" si="180"/>
        <v>2.8208524944830247</v>
      </c>
      <c r="N202" s="200">
        <f t="shared" si="180"/>
        <v>2.6757591695633347</v>
      </c>
      <c r="O202" s="200">
        <f t="shared" si="180"/>
        <v>2.7883587285517843</v>
      </c>
      <c r="P202" s="200">
        <f t="shared" si="180"/>
        <v>2.900958287540234</v>
      </c>
      <c r="Q202" s="200">
        <f t="shared" si="180"/>
        <v>2.9705303035897295</v>
      </c>
      <c r="R202" s="200">
        <f t="shared" si="180"/>
        <v>3.0401023196392249</v>
      </c>
      <c r="S202" s="200">
        <f t="shared" si="180"/>
        <v>3.10967433568872</v>
      </c>
      <c r="T202" s="200">
        <f t="shared" si="180"/>
        <v>3.2756295273847678</v>
      </c>
      <c r="U202" s="200">
        <f t="shared" si="180"/>
        <v>3.4415847190808155</v>
      </c>
      <c r="V202" s="200">
        <f t="shared" si="180"/>
        <v>3.6075399107768633</v>
      </c>
      <c r="W202" s="200">
        <f t="shared" si="180"/>
        <v>3.7734951024729111</v>
      </c>
      <c r="X202" s="200">
        <f t="shared" si="180"/>
        <v>3.9394502941689589</v>
      </c>
      <c r="Y202" s="200">
        <f t="shared" si="180"/>
        <v>4.1054054858650071</v>
      </c>
      <c r="Z202" s="200">
        <f t="shared" si="180"/>
        <v>4.2713606775610549</v>
      </c>
      <c r="AA202" s="200">
        <f t="shared" si="180"/>
        <v>4.4373158692571026</v>
      </c>
      <c r="AB202" s="200">
        <f t="shared" si="180"/>
        <v>4.6032710609531504</v>
      </c>
      <c r="AC202" s="200">
        <f t="shared" si="180"/>
        <v>4.7692262526491982</v>
      </c>
      <c r="AD202" s="200">
        <f t="shared" si="180"/>
        <v>4.9649360348227871</v>
      </c>
      <c r="AE202" s="200">
        <f t="shared" si="180"/>
        <v>5.160645816996376</v>
      </c>
      <c r="AF202" s="200">
        <f t="shared" si="180"/>
        <v>5.356355599169965</v>
      </c>
      <c r="AG202" s="200">
        <f t="shared" si="180"/>
        <v>5.5520653813435539</v>
      </c>
      <c r="AH202" s="200">
        <f t="shared" si="180"/>
        <v>5.7477751635171428</v>
      </c>
      <c r="AI202" s="200">
        <f t="shared" si="180"/>
        <v>5.9434849456907317</v>
      </c>
      <c r="AJ202" s="200">
        <f t="shared" si="180"/>
        <v>6.1391947278643206</v>
      </c>
      <c r="AK202" s="200">
        <f t="shared" si="180"/>
        <v>6.3349045100379096</v>
      </c>
      <c r="AL202" s="200">
        <f t="shared" si="180"/>
        <v>6.5306142922114985</v>
      </c>
      <c r="AM202" s="200">
        <f t="shared" si="180"/>
        <v>6.7263240743850883</v>
      </c>
      <c r="AN202" s="200">
        <f t="shared" si="180"/>
        <v>6.9035570377536164</v>
      </c>
      <c r="AO202" s="200">
        <f t="shared" si="180"/>
        <v>8.4986537080703712</v>
      </c>
      <c r="AP202" s="200">
        <f t="shared" si="180"/>
        <v>8.4986537080703712</v>
      </c>
      <c r="AQ202" s="200">
        <f t="shared" si="181"/>
        <v>8.4986537080703712</v>
      </c>
      <c r="AS202" s="200"/>
      <c r="AT202" s="200"/>
      <c r="AW202" s="200"/>
      <c r="AX202" s="200"/>
      <c r="BH202" s="200">
        <f t="shared" si="182"/>
        <v>3.1110391443224037</v>
      </c>
      <c r="BI202" s="118">
        <f t="shared" si="183"/>
        <v>0</v>
      </c>
    </row>
    <row r="203" spans="1:61">
      <c r="A203" s="199" t="s">
        <v>16</v>
      </c>
      <c r="B203" s="22" t="str">
        <f t="shared" si="175"/>
        <v/>
      </c>
      <c r="C203" s="23" t="str">
        <f t="shared" si="176"/>
        <v/>
      </c>
      <c r="D203" s="61" t="str">
        <f t="shared" si="177"/>
        <v>TPPUBUS</v>
      </c>
      <c r="E203" s="23" t="str">
        <f t="shared" si="178"/>
        <v/>
      </c>
      <c r="F203" s="23"/>
      <c r="G203" s="23" t="str">
        <f t="shared" si="178"/>
        <v/>
      </c>
      <c r="H203" s="23" t="str">
        <f t="shared" si="178"/>
        <v/>
      </c>
      <c r="I203" s="23" t="str">
        <f t="shared" si="178"/>
        <v/>
      </c>
      <c r="J203" s="22" t="str">
        <f t="shared" si="179"/>
        <v/>
      </c>
      <c r="K203" s="200">
        <f>INDEX('[2]TS BYDem'!J$10:J$59,MATCH($D203,'[2]TS BYDem'!D$10:D$59,0))</f>
        <v>1.4990333520535337</v>
      </c>
      <c r="L203" s="200">
        <f t="shared" si="180"/>
        <v>1.5097028554810041</v>
      </c>
      <c r="M203" s="200">
        <f t="shared" si="180"/>
        <v>1.5203723589084746</v>
      </c>
      <c r="N203" s="200">
        <f t="shared" si="180"/>
        <v>0.65</v>
      </c>
      <c r="O203" s="200">
        <f t="shared" si="180"/>
        <v>0.66077214814486951</v>
      </c>
      <c r="P203" s="200">
        <f t="shared" si="180"/>
        <v>0.671544296289739</v>
      </c>
      <c r="Q203" s="200">
        <f t="shared" si="180"/>
        <v>0.85845721693139565</v>
      </c>
      <c r="R203" s="200">
        <f t="shared" si="180"/>
        <v>1.0453701375730524</v>
      </c>
      <c r="S203" s="200">
        <f t="shared" si="180"/>
        <v>1.2322830582147091</v>
      </c>
      <c r="T203" s="200">
        <f t="shared" si="180"/>
        <v>1.1934932172625183</v>
      </c>
      <c r="U203" s="200">
        <f t="shared" si="180"/>
        <v>1.1547033763103276</v>
      </c>
      <c r="V203" s="200">
        <f t="shared" si="180"/>
        <v>1.1159135353581369</v>
      </c>
      <c r="W203" s="200">
        <f t="shared" si="180"/>
        <v>1.0771236944059461</v>
      </c>
      <c r="X203" s="200">
        <f t="shared" si="180"/>
        <v>1.0383338534537554</v>
      </c>
      <c r="Y203" s="200">
        <f t="shared" si="180"/>
        <v>0.99954401250156455</v>
      </c>
      <c r="Z203" s="200">
        <f t="shared" si="180"/>
        <v>0.9607541715493737</v>
      </c>
      <c r="AA203" s="200">
        <f t="shared" si="180"/>
        <v>0.92196433059718286</v>
      </c>
      <c r="AB203" s="200">
        <f t="shared" si="180"/>
        <v>0.88317448964499201</v>
      </c>
      <c r="AC203" s="200">
        <f t="shared" si="180"/>
        <v>0.84438464869280094</v>
      </c>
      <c r="AD203" s="200">
        <f t="shared" si="180"/>
        <v>0.84878650936265032</v>
      </c>
      <c r="AE203" s="200">
        <f t="shared" si="180"/>
        <v>0.8531883700324997</v>
      </c>
      <c r="AF203" s="200">
        <f t="shared" si="180"/>
        <v>0.85759023070234908</v>
      </c>
      <c r="AG203" s="200">
        <f t="shared" si="180"/>
        <v>0.86199209137219845</v>
      </c>
      <c r="AH203" s="200">
        <f t="shared" si="180"/>
        <v>0.86639395204204783</v>
      </c>
      <c r="AI203" s="200">
        <f t="shared" si="180"/>
        <v>0.87079581271189721</v>
      </c>
      <c r="AJ203" s="200">
        <f t="shared" si="180"/>
        <v>0.87519767338174659</v>
      </c>
      <c r="AK203" s="200">
        <f t="shared" si="180"/>
        <v>0.87959953405159597</v>
      </c>
      <c r="AL203" s="200">
        <f t="shared" si="180"/>
        <v>0.88400139472144534</v>
      </c>
      <c r="AM203" s="200">
        <f t="shared" si="180"/>
        <v>0.88840325539129461</v>
      </c>
      <c r="AN203" s="200">
        <f t="shared" si="180"/>
        <v>0.89880235250006657</v>
      </c>
      <c r="AO203" s="200">
        <f t="shared" si="180"/>
        <v>0.99239422647901432</v>
      </c>
      <c r="AP203" s="200">
        <f t="shared" si="180"/>
        <v>0.99239422647901432</v>
      </c>
      <c r="AQ203" s="200">
        <f t="shared" si="181"/>
        <v>0.99239422647901432</v>
      </c>
      <c r="AS203" s="200"/>
      <c r="AT203" s="200"/>
      <c r="AW203" s="200"/>
      <c r="AX203" s="200"/>
      <c r="BH203" s="200">
        <f t="shared" si="182"/>
        <v>0.61799148971758899</v>
      </c>
      <c r="BI203" s="118">
        <f t="shared" si="183"/>
        <v>0.5877400000000006</v>
      </c>
    </row>
    <row r="204" spans="1:61">
      <c r="A204" s="199" t="s">
        <v>16</v>
      </c>
      <c r="B204" s="22" t="str">
        <f t="shared" si="175"/>
        <v/>
      </c>
      <c r="C204" s="23" t="str">
        <f t="shared" si="176"/>
        <v/>
      </c>
      <c r="D204" s="61" t="str">
        <f t="shared" si="177"/>
        <v>TPPUMBT</v>
      </c>
      <c r="E204" s="23" t="str">
        <f t="shared" si="178"/>
        <v/>
      </c>
      <c r="F204" s="23"/>
      <c r="G204" s="23" t="str">
        <f t="shared" si="178"/>
        <v/>
      </c>
      <c r="H204" s="23" t="str">
        <f t="shared" si="178"/>
        <v/>
      </c>
      <c r="I204" s="23" t="str">
        <f t="shared" si="178"/>
        <v/>
      </c>
      <c r="J204" s="22" t="str">
        <f t="shared" si="179"/>
        <v/>
      </c>
      <c r="K204" s="200">
        <f>INDEX('[2]TS BYDem'!J$10:J$59,MATCH($D204,'[2]TS BYDem'!D$10:D$59,0))</f>
        <v>6.4978638621089795</v>
      </c>
      <c r="L204" s="200">
        <f t="shared" si="180"/>
        <v>6.81262825864916</v>
      </c>
      <c r="M204" s="200">
        <f t="shared" si="180"/>
        <v>7.1273926551893405</v>
      </c>
      <c r="N204" s="200">
        <f t="shared" si="180"/>
        <v>6.9</v>
      </c>
      <c r="O204" s="200">
        <f t="shared" si="180"/>
        <v>7.0212765000000008</v>
      </c>
      <c r="P204" s="200">
        <f t="shared" si="180"/>
        <v>7.1425530000000004</v>
      </c>
      <c r="Q204" s="200">
        <f t="shared" si="180"/>
        <v>7.0745031764759618</v>
      </c>
      <c r="R204" s="200">
        <f t="shared" si="180"/>
        <v>7.0064533529519233</v>
      </c>
      <c r="S204" s="200">
        <f t="shared" si="180"/>
        <v>6.9384035294278847</v>
      </c>
      <c r="T204" s="200">
        <f t="shared" si="180"/>
        <v>7.0422866078635504</v>
      </c>
      <c r="U204" s="200">
        <f t="shared" si="180"/>
        <v>7.1461696862992161</v>
      </c>
      <c r="V204" s="200">
        <f t="shared" si="180"/>
        <v>7.2500527647348818</v>
      </c>
      <c r="W204" s="200">
        <f t="shared" si="180"/>
        <v>7.3539358431705475</v>
      </c>
      <c r="X204" s="200">
        <f t="shared" si="180"/>
        <v>7.4578189216062132</v>
      </c>
      <c r="Y204" s="200">
        <f t="shared" si="180"/>
        <v>7.5617020000418789</v>
      </c>
      <c r="Z204" s="200">
        <f t="shared" si="180"/>
        <v>7.6655850784775446</v>
      </c>
      <c r="AA204" s="200">
        <f t="shared" si="180"/>
        <v>7.7694681569132102</v>
      </c>
      <c r="AB204" s="200">
        <f t="shared" si="180"/>
        <v>7.8733512353488759</v>
      </c>
      <c r="AC204" s="200">
        <f t="shared" si="180"/>
        <v>7.9772343137845452</v>
      </c>
      <c r="AD204" s="200">
        <f t="shared" si="180"/>
        <v>8.0188204250839181</v>
      </c>
      <c r="AE204" s="200">
        <f t="shared" si="180"/>
        <v>8.060406536383292</v>
      </c>
      <c r="AF204" s="200">
        <f t="shared" si="180"/>
        <v>8.1019926476826658</v>
      </c>
      <c r="AG204" s="200">
        <f t="shared" si="180"/>
        <v>8.1435787589820396</v>
      </c>
      <c r="AH204" s="200">
        <f t="shared" si="180"/>
        <v>8.1851648702814135</v>
      </c>
      <c r="AI204" s="200">
        <f t="shared" si="180"/>
        <v>8.2267509815807873</v>
      </c>
      <c r="AJ204" s="200">
        <f t="shared" si="180"/>
        <v>8.2683370928801612</v>
      </c>
      <c r="AK204" s="200">
        <f t="shared" si="180"/>
        <v>8.309923204179535</v>
      </c>
      <c r="AL204" s="200">
        <f t="shared" si="180"/>
        <v>8.3515093154789088</v>
      </c>
      <c r="AM204" s="200">
        <f t="shared" si="180"/>
        <v>8.3930954267782774</v>
      </c>
      <c r="AN204" s="200">
        <f t="shared" si="180"/>
        <v>8.4913397925621634</v>
      </c>
      <c r="AO204" s="200">
        <f t="shared" si="180"/>
        <v>9.3755390846171345</v>
      </c>
      <c r="AP204" s="200">
        <f t="shared" si="180"/>
        <v>9.3755390846171345</v>
      </c>
      <c r="AQ204" s="200">
        <f t="shared" si="181"/>
        <v>9.3755390846171345</v>
      </c>
      <c r="AS204" s="200"/>
      <c r="AT204" s="200"/>
      <c r="AW204" s="200"/>
      <c r="AX204" s="200"/>
      <c r="BH204" s="200">
        <f t="shared" si="182"/>
        <v>5.9557068103794597</v>
      </c>
      <c r="BI204" s="118">
        <f t="shared" si="183"/>
        <v>8.3436197377264612E-2</v>
      </c>
    </row>
    <row r="205" spans="1:61">
      <c r="A205" s="199" t="s">
        <v>16</v>
      </c>
      <c r="B205" s="22" t="str">
        <f t="shared" si="175"/>
        <v/>
      </c>
      <c r="C205" s="23" t="str">
        <f t="shared" si="176"/>
        <v/>
      </c>
      <c r="D205" s="61" t="str">
        <f t="shared" si="177"/>
        <v>TPPUBRT</v>
      </c>
      <c r="E205" s="23" t="str">
        <f t="shared" si="178"/>
        <v/>
      </c>
      <c r="F205" s="23"/>
      <c r="G205" s="23" t="str">
        <f t="shared" si="178"/>
        <v/>
      </c>
      <c r="H205" s="23" t="str">
        <f t="shared" si="178"/>
        <v/>
      </c>
      <c r="I205" s="23" t="str">
        <f t="shared" si="178"/>
        <v/>
      </c>
      <c r="J205" s="22" t="str">
        <f t="shared" si="179"/>
        <v/>
      </c>
      <c r="K205" s="200">
        <f>INDEX('[2]TS BYDem'!J$10:J$59,MATCH($D205,'[2]TS BYDem'!D$10:D$59,0))</f>
        <v>0</v>
      </c>
      <c r="L205" s="200">
        <f t="shared" si="180"/>
        <v>6.3253352418303141E-4</v>
      </c>
      <c r="M205" s="200">
        <f t="shared" si="180"/>
        <v>1.2650670483660628E-3</v>
      </c>
      <c r="N205" s="200">
        <f t="shared" si="180"/>
        <v>2.2956231284398162E-2</v>
      </c>
      <c r="O205" s="200">
        <f t="shared" si="180"/>
        <v>2.357952894532548E-2</v>
      </c>
      <c r="P205" s="200">
        <f t="shared" si="180"/>
        <v>2.4202826606252802E-2</v>
      </c>
      <c r="Q205" s="200">
        <f t="shared" si="180"/>
        <v>9.187834573650186E-2</v>
      </c>
      <c r="R205" s="200">
        <f t="shared" si="180"/>
        <v>0.15955386486675094</v>
      </c>
      <c r="S205" s="200">
        <f t="shared" si="180"/>
        <v>0.22722938399699999</v>
      </c>
      <c r="T205" s="200">
        <f t="shared" si="180"/>
        <v>0.26515158384263665</v>
      </c>
      <c r="U205" s="200">
        <f t="shared" si="180"/>
        <v>0.30307378368827331</v>
      </c>
      <c r="V205" s="200">
        <f t="shared" si="180"/>
        <v>0.34099598353390997</v>
      </c>
      <c r="W205" s="200">
        <f t="shared" si="180"/>
        <v>0.37891818337954664</v>
      </c>
      <c r="X205" s="200">
        <f t="shared" si="180"/>
        <v>0.4168403832251833</v>
      </c>
      <c r="Y205" s="200">
        <f t="shared" si="180"/>
        <v>0.45476258307081996</v>
      </c>
      <c r="Z205" s="200">
        <f t="shared" si="180"/>
        <v>0.49268478291645662</v>
      </c>
      <c r="AA205" s="200">
        <f t="shared" si="180"/>
        <v>0.53060698276209328</v>
      </c>
      <c r="AB205" s="200">
        <f t="shared" si="180"/>
        <v>0.56852918260772989</v>
      </c>
      <c r="AC205" s="200">
        <f t="shared" si="180"/>
        <v>0.60645138245336661</v>
      </c>
      <c r="AD205" s="200">
        <f t="shared" si="180"/>
        <v>0.66142613070209189</v>
      </c>
      <c r="AE205" s="200">
        <f t="shared" si="180"/>
        <v>0.71640087895081717</v>
      </c>
      <c r="AF205" s="200">
        <f t="shared" si="180"/>
        <v>0.77137562719954245</v>
      </c>
      <c r="AG205" s="200">
        <f t="shared" si="180"/>
        <v>0.82635037544826773</v>
      </c>
      <c r="AH205" s="200">
        <f t="shared" si="180"/>
        <v>0.88132512369699301</v>
      </c>
      <c r="AI205" s="200">
        <f t="shared" si="180"/>
        <v>0.93629987194571829</v>
      </c>
      <c r="AJ205" s="200">
        <f t="shared" si="180"/>
        <v>0.99127462019444357</v>
      </c>
      <c r="AK205" s="200">
        <f t="shared" si="180"/>
        <v>1.0462493684431688</v>
      </c>
      <c r="AL205" s="200">
        <f t="shared" si="180"/>
        <v>1.1012241166918941</v>
      </c>
      <c r="AM205" s="200">
        <f t="shared" si="180"/>
        <v>1.156198864940619</v>
      </c>
      <c r="AN205" s="200">
        <f t="shared" si="180"/>
        <v>1.2148124086726202</v>
      </c>
      <c r="AO205" s="200">
        <f t="shared" si="180"/>
        <v>1.7423343022606306</v>
      </c>
      <c r="AP205" s="200">
        <f t="shared" si="180"/>
        <v>1.7423343022606306</v>
      </c>
      <c r="AQ205" s="200">
        <f t="shared" si="181"/>
        <v>1.7423343022606306</v>
      </c>
      <c r="AS205" s="200"/>
      <c r="AT205" s="200"/>
      <c r="AW205" s="200"/>
      <c r="AX205" s="200"/>
      <c r="BH205" s="200">
        <f t="shared" si="182"/>
        <v>2.1058630711849068E-2</v>
      </c>
      <c r="BI205" s="118" t="e">
        <f t="shared" si="183"/>
        <v>#DIV/0!</v>
      </c>
    </row>
    <row r="206" spans="1:61">
      <c r="A206" s="199" t="s">
        <v>16</v>
      </c>
      <c r="B206" s="22" t="str">
        <f t="shared" si="175"/>
        <v/>
      </c>
      <c r="C206" s="23" t="str">
        <f t="shared" si="176"/>
        <v/>
      </c>
      <c r="D206" s="61" t="str">
        <f t="shared" si="177"/>
        <v>TPPUMER</v>
      </c>
      <c r="E206" s="23" t="str">
        <f t="shared" si="178"/>
        <v/>
      </c>
      <c r="F206" s="23"/>
      <c r="G206" s="23" t="str">
        <f t="shared" si="178"/>
        <v/>
      </c>
      <c r="H206" s="23" t="str">
        <f t="shared" si="178"/>
        <v/>
      </c>
      <c r="I206" s="23" t="str">
        <f t="shared" si="178"/>
        <v/>
      </c>
      <c r="J206" s="22" t="str">
        <f t="shared" si="179"/>
        <v/>
      </c>
      <c r="K206" s="200">
        <f>INDEX('[2]TS BYDem'!J$10:J$59,MATCH($D206,'[2]TS BYDem'!D$10:D$59,0))</f>
        <v>15.8</v>
      </c>
      <c r="L206" s="200">
        <f t="shared" si="180"/>
        <v>14.96361616586108</v>
      </c>
      <c r="M206" s="200">
        <f t="shared" si="180"/>
        <v>14.127232331722158</v>
      </c>
      <c r="N206" s="200">
        <f t="shared" si="180"/>
        <v>11.972556579022449</v>
      </c>
      <c r="O206" s="200">
        <f t="shared" si="180"/>
        <v>10.722295372559355</v>
      </c>
      <c r="P206" s="200">
        <f t="shared" si="180"/>
        <v>9.4720341660962628</v>
      </c>
      <c r="Q206" s="200">
        <f t="shared" si="180"/>
        <v>9.4755151099602379</v>
      </c>
      <c r="R206" s="200">
        <f t="shared" si="180"/>
        <v>9.4789960538242131</v>
      </c>
      <c r="S206" s="200">
        <f t="shared" si="180"/>
        <v>9.4824769976881882</v>
      </c>
      <c r="T206" s="200">
        <f t="shared" si="180"/>
        <v>9.518393837780911</v>
      </c>
      <c r="U206" s="200">
        <f t="shared" si="180"/>
        <v>9.5543106778736338</v>
      </c>
      <c r="V206" s="200">
        <f t="shared" si="180"/>
        <v>9.5902275179663565</v>
      </c>
      <c r="W206" s="200">
        <f t="shared" si="180"/>
        <v>9.6261443580590793</v>
      </c>
      <c r="X206" s="200">
        <f t="shared" si="180"/>
        <v>9.6620611981518021</v>
      </c>
      <c r="Y206" s="200">
        <f t="shared" si="180"/>
        <v>9.6979780382445249</v>
      </c>
      <c r="Z206" s="200">
        <f t="shared" si="180"/>
        <v>9.7338948783372476</v>
      </c>
      <c r="AA206" s="200">
        <f t="shared" si="180"/>
        <v>9.7698117184299704</v>
      </c>
      <c r="AB206" s="200">
        <f t="shared" si="180"/>
        <v>9.8057285585226932</v>
      </c>
      <c r="AC206" s="200">
        <f t="shared" si="180"/>
        <v>9.8416453986154089</v>
      </c>
      <c r="AD206" s="200">
        <f t="shared" si="180"/>
        <v>9.8929508692606127</v>
      </c>
      <c r="AE206" s="200">
        <f t="shared" si="180"/>
        <v>9.9442563399058166</v>
      </c>
      <c r="AF206" s="200">
        <f t="shared" si="180"/>
        <v>9.9955618105510204</v>
      </c>
      <c r="AG206" s="200">
        <f t="shared" si="180"/>
        <v>10.046867281196224</v>
      </c>
      <c r="AH206" s="200">
        <f t="shared" si="180"/>
        <v>10.098172751841428</v>
      </c>
      <c r="AI206" s="200">
        <f t="shared" si="180"/>
        <v>10.149478222486632</v>
      </c>
      <c r="AJ206" s="200">
        <f t="shared" si="180"/>
        <v>10.200783693131836</v>
      </c>
      <c r="AK206" s="200">
        <f t="shared" si="180"/>
        <v>10.25208916377704</v>
      </c>
      <c r="AL206" s="200">
        <f t="shared" si="180"/>
        <v>10.303394634422244</v>
      </c>
      <c r="AM206" s="200">
        <f t="shared" si="180"/>
        <v>10.354700105067447</v>
      </c>
      <c r="AN206" s="200">
        <f t="shared" si="180"/>
        <v>10.475905797720364</v>
      </c>
      <c r="AO206" s="200">
        <f t="shared" si="180"/>
        <v>11.566757031596611</v>
      </c>
      <c r="AP206" s="200">
        <f t="shared" si="180"/>
        <v>11.566757031596611</v>
      </c>
      <c r="AQ206" s="200">
        <f t="shared" si="181"/>
        <v>11.566757031596611</v>
      </c>
      <c r="AS206" s="200"/>
      <c r="AT206" s="200"/>
      <c r="AW206" s="200"/>
      <c r="AX206" s="200"/>
      <c r="BH206" s="200">
        <f t="shared" si="182"/>
        <v>14.481708081439214</v>
      </c>
      <c r="BI206" s="118">
        <f t="shared" si="183"/>
        <v>8.3436197377264987E-2</v>
      </c>
    </row>
    <row r="207" spans="1:61">
      <c r="A207" s="199" t="s">
        <v>16</v>
      </c>
      <c r="B207" s="22" t="str">
        <f t="shared" si="175"/>
        <v/>
      </c>
      <c r="C207" s="23" t="str">
        <f t="shared" si="176"/>
        <v/>
      </c>
      <c r="D207" s="61" t="str">
        <f t="shared" si="177"/>
        <v>TPPUGAT</v>
      </c>
      <c r="E207" s="23" t="str">
        <f t="shared" si="178"/>
        <v/>
      </c>
      <c r="F207" s="23"/>
      <c r="G207" s="23" t="str">
        <f t="shared" si="178"/>
        <v/>
      </c>
      <c r="H207" s="23" t="str">
        <f t="shared" si="178"/>
        <v/>
      </c>
      <c r="I207" s="23" t="str">
        <f t="shared" si="178"/>
        <v/>
      </c>
      <c r="J207" s="22" t="str">
        <f t="shared" si="179"/>
        <v/>
      </c>
      <c r="K207" s="200">
        <f>INDEX('[2]TS BYDem'!J$10:J$59,MATCH($D207,'[2]TS BYDem'!D$10:D$59,0))</f>
        <v>0</v>
      </c>
      <c r="L207" s="200">
        <f t="shared" si="180"/>
        <v>3.2081965240905008E-2</v>
      </c>
      <c r="M207" s="200">
        <f t="shared" si="180"/>
        <v>6.4163930481810016E-2</v>
      </c>
      <c r="N207" s="200">
        <f t="shared" si="180"/>
        <v>0.6155080844206664</v>
      </c>
      <c r="O207" s="200">
        <f t="shared" si="180"/>
        <v>0.64361620339743641</v>
      </c>
      <c r="P207" s="200">
        <f t="shared" si="180"/>
        <v>0.67172432237420632</v>
      </c>
      <c r="Q207" s="200">
        <f t="shared" si="180"/>
        <v>0.68877277847748963</v>
      </c>
      <c r="R207" s="200">
        <f t="shared" si="180"/>
        <v>0.70582123458077295</v>
      </c>
      <c r="S207" s="200">
        <f t="shared" si="180"/>
        <v>0.72286969068405627</v>
      </c>
      <c r="T207" s="200">
        <f t="shared" si="180"/>
        <v>0.76681963846418388</v>
      </c>
      <c r="U207" s="200">
        <f t="shared" si="180"/>
        <v>0.8107695862443115</v>
      </c>
      <c r="V207" s="200">
        <f t="shared" si="180"/>
        <v>0.85471953402443912</v>
      </c>
      <c r="W207" s="200">
        <f t="shared" si="180"/>
        <v>0.89866948180456674</v>
      </c>
      <c r="X207" s="200">
        <f t="shared" si="180"/>
        <v>0.94261942958469436</v>
      </c>
      <c r="Y207" s="200">
        <f t="shared" si="180"/>
        <v>0.98656937736482198</v>
      </c>
      <c r="Z207" s="200">
        <f t="shared" si="180"/>
        <v>1.0305193251449496</v>
      </c>
      <c r="AA207" s="200">
        <f t="shared" si="180"/>
        <v>1.0744692729250771</v>
      </c>
      <c r="AB207" s="200">
        <f t="shared" si="180"/>
        <v>1.1184192207052046</v>
      </c>
      <c r="AC207" s="200">
        <f t="shared" si="180"/>
        <v>1.1623691684853323</v>
      </c>
      <c r="AD207" s="200">
        <f t="shared" si="180"/>
        <v>1.2144163304365445</v>
      </c>
      <c r="AE207" s="200">
        <f t="shared" si="180"/>
        <v>1.2664634923877567</v>
      </c>
      <c r="AF207" s="200">
        <f t="shared" si="180"/>
        <v>1.3185106543389689</v>
      </c>
      <c r="AG207" s="200">
        <f t="shared" si="180"/>
        <v>1.370557816290181</v>
      </c>
      <c r="AH207" s="200">
        <f t="shared" si="180"/>
        <v>1.4226049782413932</v>
      </c>
      <c r="AI207" s="200">
        <f t="shared" si="180"/>
        <v>1.4746521401926054</v>
      </c>
      <c r="AJ207" s="200">
        <f t="shared" si="180"/>
        <v>1.5266993021438175</v>
      </c>
      <c r="AK207" s="200">
        <f t="shared" si="180"/>
        <v>1.5787464640950297</v>
      </c>
      <c r="AL207" s="200">
        <f t="shared" si="180"/>
        <v>1.6307936260462419</v>
      </c>
      <c r="AM207" s="200">
        <f t="shared" si="180"/>
        <v>1.6828407879974545</v>
      </c>
      <c r="AN207" s="200">
        <f t="shared" si="180"/>
        <v>1.7351377206876641</v>
      </c>
      <c r="AO207" s="200">
        <f t="shared" si="180"/>
        <v>2.2058101148995513</v>
      </c>
      <c r="AP207" s="200">
        <f t="shared" si="180"/>
        <v>2.2058101148995513</v>
      </c>
      <c r="AQ207" s="200">
        <f t="shared" si="181"/>
        <v>2.2058101148995513</v>
      </c>
      <c r="AS207" s="200"/>
      <c r="AT207" s="200"/>
      <c r="AW207" s="200"/>
      <c r="AX207" s="200"/>
      <c r="BH207" s="200">
        <f t="shared" si="182"/>
        <v>0.51926218869795138</v>
      </c>
      <c r="BI207" s="118" t="e">
        <f t="shared" si="183"/>
        <v>#DIV/0!</v>
      </c>
    </row>
    <row r="208" spans="1:61">
      <c r="A208" s="199" t="s">
        <v>16</v>
      </c>
      <c r="G208" s="200"/>
      <c r="H208" s="200"/>
      <c r="I208" s="200"/>
      <c r="L208" s="200"/>
      <c r="M208" s="41"/>
      <c r="N208" s="250"/>
    </row>
    <row r="209" spans="1:60" ht="23.25">
      <c r="A209" s="199" t="s">
        <v>16</v>
      </c>
      <c r="B209" s="16" t="s">
        <v>19</v>
      </c>
      <c r="C209" s="16" t="s">
        <v>20</v>
      </c>
      <c r="D209" s="16" t="s">
        <v>21</v>
      </c>
      <c r="E209" s="16"/>
      <c r="F209" s="16" t="s">
        <v>22</v>
      </c>
      <c r="G209" s="16" t="s">
        <v>23</v>
      </c>
      <c r="H209" s="16" t="s">
        <v>24</v>
      </c>
      <c r="I209" s="17" t="s">
        <v>25</v>
      </c>
      <c r="J209" s="18">
        <v>2012</v>
      </c>
      <c r="K209" s="18">
        <f>1+J209</f>
        <v>2013</v>
      </c>
      <c r="L209" s="18">
        <f t="shared" ref="L209:AL209" si="184">1+K209</f>
        <v>2014</v>
      </c>
      <c r="M209" s="18">
        <f>1+L209</f>
        <v>2015</v>
      </c>
      <c r="N209" s="18">
        <f t="shared" si="184"/>
        <v>2016</v>
      </c>
      <c r="O209" s="18">
        <f t="shared" si="184"/>
        <v>2017</v>
      </c>
      <c r="P209" s="18">
        <f t="shared" si="184"/>
        <v>2018</v>
      </c>
      <c r="Q209" s="18">
        <f t="shared" si="184"/>
        <v>2019</v>
      </c>
      <c r="R209" s="18">
        <f t="shared" si="184"/>
        <v>2020</v>
      </c>
      <c r="S209" s="18">
        <f t="shared" si="184"/>
        <v>2021</v>
      </c>
      <c r="T209" s="18">
        <f t="shared" si="184"/>
        <v>2022</v>
      </c>
      <c r="U209" s="18">
        <f t="shared" si="184"/>
        <v>2023</v>
      </c>
      <c r="V209" s="18">
        <f t="shared" si="184"/>
        <v>2024</v>
      </c>
      <c r="W209" s="18">
        <f t="shared" si="184"/>
        <v>2025</v>
      </c>
      <c r="X209" s="18">
        <f t="shared" si="184"/>
        <v>2026</v>
      </c>
      <c r="Y209" s="18">
        <f t="shared" si="184"/>
        <v>2027</v>
      </c>
      <c r="Z209" s="18">
        <f t="shared" si="184"/>
        <v>2028</v>
      </c>
      <c r="AA209" s="18">
        <f t="shared" si="184"/>
        <v>2029</v>
      </c>
      <c r="AB209" s="18">
        <f t="shared" si="184"/>
        <v>2030</v>
      </c>
      <c r="AC209" s="18">
        <f t="shared" si="184"/>
        <v>2031</v>
      </c>
      <c r="AD209" s="18">
        <f t="shared" si="184"/>
        <v>2032</v>
      </c>
      <c r="AE209" s="18">
        <f t="shared" si="184"/>
        <v>2033</v>
      </c>
      <c r="AF209" s="18">
        <f t="shared" si="184"/>
        <v>2034</v>
      </c>
      <c r="AG209" s="18">
        <f t="shared" si="184"/>
        <v>2035</v>
      </c>
      <c r="AH209" s="18">
        <f t="shared" si="184"/>
        <v>2036</v>
      </c>
      <c r="AI209" s="18">
        <f t="shared" si="184"/>
        <v>2037</v>
      </c>
      <c r="AJ209" s="18">
        <f t="shared" si="184"/>
        <v>2038</v>
      </c>
      <c r="AK209" s="18">
        <f t="shared" si="184"/>
        <v>2039</v>
      </c>
      <c r="AL209" s="18">
        <f t="shared" si="184"/>
        <v>2040</v>
      </c>
      <c r="AM209" s="18">
        <v>2045</v>
      </c>
      <c r="AN209" s="18">
        <v>2050</v>
      </c>
      <c r="AO209" s="18">
        <v>2060</v>
      </c>
      <c r="AP209" s="18">
        <v>2070</v>
      </c>
      <c r="AR209" s="18"/>
      <c r="AS209" s="18"/>
      <c r="AV209" s="18"/>
      <c r="AW209" s="18"/>
      <c r="BG209" s="18">
        <v>2012</v>
      </c>
      <c r="BH209" s="18"/>
    </row>
    <row r="210" spans="1:60" s="205" customFormat="1">
      <c r="A210" s="124" t="s">
        <v>16</v>
      </c>
      <c r="B210" s="205">
        <v>1</v>
      </c>
      <c r="C210" s="205">
        <v>2012</v>
      </c>
      <c r="D210" s="205">
        <f>F4</f>
        <v>2015</v>
      </c>
      <c r="E210" s="205">
        <v>2017</v>
      </c>
      <c r="F210" s="205">
        <v>2020</v>
      </c>
      <c r="G210" s="205">
        <v>2030</v>
      </c>
      <c r="H210" s="205">
        <v>2040</v>
      </c>
      <c r="I210" s="254">
        <v>2050</v>
      </c>
      <c r="J210" s="124">
        <f t="shared" ref="J210:S211" si="185">MATCH(J$209,$C$210:$I$210,$B210)</f>
        <v>1</v>
      </c>
      <c r="K210" s="205">
        <f t="shared" si="185"/>
        <v>1</v>
      </c>
      <c r="L210" s="205">
        <f t="shared" si="185"/>
        <v>1</v>
      </c>
      <c r="M210" s="205">
        <f t="shared" si="185"/>
        <v>2</v>
      </c>
      <c r="N210" s="205">
        <f t="shared" si="185"/>
        <v>2</v>
      </c>
      <c r="O210" s="205">
        <f t="shared" si="185"/>
        <v>3</v>
      </c>
      <c r="P210" s="205">
        <f t="shared" si="185"/>
        <v>3</v>
      </c>
      <c r="Q210" s="205">
        <f t="shared" si="185"/>
        <v>3</v>
      </c>
      <c r="R210" s="205">
        <f t="shared" si="185"/>
        <v>4</v>
      </c>
      <c r="S210" s="205">
        <f t="shared" si="185"/>
        <v>4</v>
      </c>
      <c r="T210" s="205">
        <f t="shared" ref="T210:AC211" si="186">MATCH(T$209,$C$210:$I$210,$B210)</f>
        <v>4</v>
      </c>
      <c r="U210" s="205">
        <f t="shared" si="186"/>
        <v>4</v>
      </c>
      <c r="V210" s="205">
        <f t="shared" si="186"/>
        <v>4</v>
      </c>
      <c r="W210" s="205">
        <f t="shared" si="186"/>
        <v>4</v>
      </c>
      <c r="X210" s="205">
        <f t="shared" si="186"/>
        <v>4</v>
      </c>
      <c r="Y210" s="205">
        <f t="shared" si="186"/>
        <v>4</v>
      </c>
      <c r="Z210" s="205">
        <f t="shared" si="186"/>
        <v>4</v>
      </c>
      <c r="AA210" s="205">
        <f t="shared" si="186"/>
        <v>4</v>
      </c>
      <c r="AB210" s="205">
        <f t="shared" si="186"/>
        <v>5</v>
      </c>
      <c r="AC210" s="205">
        <f t="shared" si="186"/>
        <v>5</v>
      </c>
      <c r="AD210" s="205">
        <f t="shared" ref="AD210:AP211" si="187">MATCH(AD$209,$C$210:$I$210,$B210)</f>
        <v>5</v>
      </c>
      <c r="AE210" s="205">
        <f t="shared" si="187"/>
        <v>5</v>
      </c>
      <c r="AF210" s="205">
        <f t="shared" si="187"/>
        <v>5</v>
      </c>
      <c r="AG210" s="205">
        <f t="shared" si="187"/>
        <v>5</v>
      </c>
      <c r="AH210" s="205">
        <f t="shared" si="187"/>
        <v>5</v>
      </c>
      <c r="AI210" s="205">
        <f t="shared" si="187"/>
        <v>5</v>
      </c>
      <c r="AJ210" s="205">
        <f t="shared" si="187"/>
        <v>5</v>
      </c>
      <c r="AK210" s="205">
        <f t="shared" si="187"/>
        <v>5</v>
      </c>
      <c r="AL210" s="205">
        <f t="shared" si="187"/>
        <v>6</v>
      </c>
      <c r="AM210" s="205">
        <f t="shared" si="187"/>
        <v>6</v>
      </c>
      <c r="AN210" s="205">
        <f t="shared" si="187"/>
        <v>7</v>
      </c>
      <c r="AO210" s="205">
        <f t="shared" si="187"/>
        <v>7</v>
      </c>
      <c r="AP210" s="205">
        <f t="shared" si="187"/>
        <v>7</v>
      </c>
      <c r="BG210" s="124">
        <f>MATCH(BG$209,$C$210:$I$210,$B210)</f>
        <v>1</v>
      </c>
    </row>
    <row r="211" spans="1:60">
      <c r="A211" s="41" t="s">
        <v>16</v>
      </c>
      <c r="B211" s="199">
        <v>0</v>
      </c>
      <c r="C211" s="199">
        <f t="shared" ref="C211:I211" si="188">INDEX($C210:$I210,0,COUNT($C210:$I210)-C212)</f>
        <v>2050</v>
      </c>
      <c r="D211" s="199">
        <f t="shared" si="188"/>
        <v>2040</v>
      </c>
      <c r="E211" s="199">
        <f t="shared" si="188"/>
        <v>2030</v>
      </c>
      <c r="F211" s="199">
        <f t="shared" si="188"/>
        <v>2020</v>
      </c>
      <c r="G211" s="199">
        <f t="shared" si="188"/>
        <v>2017</v>
      </c>
      <c r="H211" s="199">
        <f t="shared" si="188"/>
        <v>2015</v>
      </c>
      <c r="I211" s="131">
        <f t="shared" si="188"/>
        <v>2012</v>
      </c>
      <c r="J211" s="41">
        <f t="shared" si="185"/>
        <v>1</v>
      </c>
      <c r="K211" s="199" t="e">
        <f t="shared" si="185"/>
        <v>#N/A</v>
      </c>
      <c r="L211" s="199" t="e">
        <f t="shared" si="185"/>
        <v>#N/A</v>
      </c>
      <c r="M211" s="199">
        <f t="shared" si="185"/>
        <v>2</v>
      </c>
      <c r="N211" s="199" t="e">
        <f t="shared" si="185"/>
        <v>#N/A</v>
      </c>
      <c r="O211" s="199">
        <f t="shared" si="185"/>
        <v>3</v>
      </c>
      <c r="P211" s="199" t="e">
        <f t="shared" si="185"/>
        <v>#N/A</v>
      </c>
      <c r="Q211" s="199" t="e">
        <f t="shared" si="185"/>
        <v>#N/A</v>
      </c>
      <c r="R211" s="199">
        <f t="shared" si="185"/>
        <v>4</v>
      </c>
      <c r="S211" s="199" t="e">
        <f t="shared" si="185"/>
        <v>#N/A</v>
      </c>
      <c r="T211" s="199" t="e">
        <f t="shared" si="186"/>
        <v>#N/A</v>
      </c>
      <c r="U211" s="199" t="e">
        <f t="shared" si="186"/>
        <v>#N/A</v>
      </c>
      <c r="V211" s="199" t="e">
        <f t="shared" si="186"/>
        <v>#N/A</v>
      </c>
      <c r="W211" s="199" t="e">
        <f t="shared" si="186"/>
        <v>#N/A</v>
      </c>
      <c r="X211" s="199" t="e">
        <f t="shared" si="186"/>
        <v>#N/A</v>
      </c>
      <c r="Y211" s="199" t="e">
        <f t="shared" si="186"/>
        <v>#N/A</v>
      </c>
      <c r="Z211" s="199" t="e">
        <f t="shared" si="186"/>
        <v>#N/A</v>
      </c>
      <c r="AA211" s="199" t="e">
        <f t="shared" si="186"/>
        <v>#N/A</v>
      </c>
      <c r="AB211" s="199">
        <f t="shared" si="186"/>
        <v>5</v>
      </c>
      <c r="AC211" s="199" t="e">
        <f t="shared" si="186"/>
        <v>#N/A</v>
      </c>
      <c r="AD211" s="199" t="e">
        <f t="shared" si="187"/>
        <v>#N/A</v>
      </c>
      <c r="AE211" s="199" t="e">
        <f t="shared" si="187"/>
        <v>#N/A</v>
      </c>
      <c r="AF211" s="199" t="e">
        <f t="shared" si="187"/>
        <v>#N/A</v>
      </c>
      <c r="AG211" s="199" t="e">
        <f t="shared" si="187"/>
        <v>#N/A</v>
      </c>
      <c r="AH211" s="199" t="e">
        <f t="shared" si="187"/>
        <v>#N/A</v>
      </c>
      <c r="AI211" s="199" t="e">
        <f t="shared" si="187"/>
        <v>#N/A</v>
      </c>
      <c r="AJ211" s="199" t="e">
        <f t="shared" si="187"/>
        <v>#N/A</v>
      </c>
      <c r="AK211" s="199" t="e">
        <f t="shared" si="187"/>
        <v>#N/A</v>
      </c>
      <c r="AL211" s="199">
        <f t="shared" si="187"/>
        <v>6</v>
      </c>
      <c r="AM211" s="199" t="e">
        <f t="shared" si="187"/>
        <v>#N/A</v>
      </c>
      <c r="AN211" s="199">
        <f t="shared" si="187"/>
        <v>7</v>
      </c>
      <c r="AO211" s="199" t="e">
        <f t="shared" si="187"/>
        <v>#N/A</v>
      </c>
      <c r="AP211" s="199" t="e">
        <f t="shared" si="187"/>
        <v>#N/A</v>
      </c>
      <c r="BG211" s="41">
        <f>MATCH(BG$209,$C$210:$I$210,$B211)</f>
        <v>1</v>
      </c>
    </row>
    <row r="212" spans="1:60">
      <c r="A212" s="41" t="s">
        <v>16</v>
      </c>
      <c r="B212" s="199">
        <v>-1</v>
      </c>
      <c r="C212" s="199">
        <v>0</v>
      </c>
      <c r="D212" s="199">
        <v>1</v>
      </c>
      <c r="E212" s="202">
        <v>2</v>
      </c>
      <c r="F212" s="199">
        <v>3</v>
      </c>
      <c r="G212" s="199">
        <v>4</v>
      </c>
      <c r="H212" s="199">
        <v>5</v>
      </c>
      <c r="I212" s="199">
        <v>6</v>
      </c>
      <c r="J212" s="199">
        <f t="shared" ref="J212:AP212" si="189">MATCH(J$209,$C$211:$I$211,$B212)</f>
        <v>7</v>
      </c>
      <c r="K212" s="199">
        <f t="shared" si="189"/>
        <v>6</v>
      </c>
      <c r="L212" s="199">
        <f t="shared" si="189"/>
        <v>6</v>
      </c>
      <c r="M212" s="199">
        <f t="shared" si="189"/>
        <v>6</v>
      </c>
      <c r="N212" s="199">
        <f t="shared" si="189"/>
        <v>5</v>
      </c>
      <c r="O212" s="199">
        <f t="shared" si="189"/>
        <v>5</v>
      </c>
      <c r="P212" s="199">
        <f t="shared" si="189"/>
        <v>4</v>
      </c>
      <c r="Q212" s="199">
        <f t="shared" si="189"/>
        <v>4</v>
      </c>
      <c r="R212" s="199">
        <f t="shared" si="189"/>
        <v>4</v>
      </c>
      <c r="S212" s="199">
        <f t="shared" si="189"/>
        <v>3</v>
      </c>
      <c r="T212" s="199">
        <f t="shared" si="189"/>
        <v>3</v>
      </c>
      <c r="U212" s="199">
        <f t="shared" si="189"/>
        <v>3</v>
      </c>
      <c r="V212" s="199">
        <f t="shared" si="189"/>
        <v>3</v>
      </c>
      <c r="W212" s="199">
        <f t="shared" si="189"/>
        <v>3</v>
      </c>
      <c r="X212" s="199">
        <f t="shared" si="189"/>
        <v>3</v>
      </c>
      <c r="Y212" s="199">
        <f t="shared" si="189"/>
        <v>3</v>
      </c>
      <c r="Z212" s="199">
        <f t="shared" si="189"/>
        <v>3</v>
      </c>
      <c r="AA212" s="199">
        <f t="shared" si="189"/>
        <v>3</v>
      </c>
      <c r="AB212" s="199">
        <f t="shared" si="189"/>
        <v>3</v>
      </c>
      <c r="AC212" s="199">
        <f t="shared" si="189"/>
        <v>2</v>
      </c>
      <c r="AD212" s="199">
        <f t="shared" si="189"/>
        <v>2</v>
      </c>
      <c r="AE212" s="199">
        <f t="shared" si="189"/>
        <v>2</v>
      </c>
      <c r="AF212" s="199">
        <f t="shared" si="189"/>
        <v>2</v>
      </c>
      <c r="AG212" s="199">
        <f t="shared" si="189"/>
        <v>2</v>
      </c>
      <c r="AH212" s="199">
        <f t="shared" si="189"/>
        <v>2</v>
      </c>
      <c r="AI212" s="199">
        <f t="shared" si="189"/>
        <v>2</v>
      </c>
      <c r="AJ212" s="199">
        <f t="shared" si="189"/>
        <v>2</v>
      </c>
      <c r="AK212" s="199">
        <f t="shared" si="189"/>
        <v>2</v>
      </c>
      <c r="AL212" s="199">
        <f t="shared" si="189"/>
        <v>2</v>
      </c>
      <c r="AM212" s="199">
        <f t="shared" si="189"/>
        <v>1</v>
      </c>
      <c r="AN212" s="199">
        <f t="shared" si="189"/>
        <v>1</v>
      </c>
      <c r="AO212" s="199" t="e">
        <f t="shared" si="189"/>
        <v>#N/A</v>
      </c>
      <c r="AP212" s="199" t="e">
        <f t="shared" si="189"/>
        <v>#N/A</v>
      </c>
      <c r="BG212" s="199">
        <f>MATCH(BG$209,$C$211:$I$211,$B212)</f>
        <v>7</v>
      </c>
    </row>
    <row r="213" spans="1:60" s="127" customFormat="1">
      <c r="A213" s="126" t="s">
        <v>16</v>
      </c>
      <c r="I213" s="132"/>
      <c r="J213" s="203">
        <f>IF(ISNA(J210),-1,IF(ISNA(J212),99,IF(ISNA(J211),J210,0)))</f>
        <v>0</v>
      </c>
      <c r="K213" s="203">
        <f t="shared" ref="K213:AP213" si="190">IF(ISNA(K210),-1,IF(ISNA(K212),99,IF(ISNA(K211),K210,0)))</f>
        <v>1</v>
      </c>
      <c r="L213" s="203">
        <f t="shared" si="190"/>
        <v>1</v>
      </c>
      <c r="M213" s="203">
        <f t="shared" si="190"/>
        <v>0</v>
      </c>
      <c r="N213" s="203">
        <f t="shared" si="190"/>
        <v>2</v>
      </c>
      <c r="O213" s="203">
        <f t="shared" si="190"/>
        <v>0</v>
      </c>
      <c r="P213" s="203">
        <f t="shared" si="190"/>
        <v>3</v>
      </c>
      <c r="Q213" s="203">
        <f t="shared" si="190"/>
        <v>3</v>
      </c>
      <c r="R213" s="203">
        <f t="shared" si="190"/>
        <v>0</v>
      </c>
      <c r="S213" s="203">
        <f t="shared" si="190"/>
        <v>4</v>
      </c>
      <c r="T213" s="203">
        <f t="shared" si="190"/>
        <v>4</v>
      </c>
      <c r="U213" s="203">
        <f t="shared" si="190"/>
        <v>4</v>
      </c>
      <c r="V213" s="203">
        <f t="shared" si="190"/>
        <v>4</v>
      </c>
      <c r="W213" s="203">
        <f t="shared" si="190"/>
        <v>4</v>
      </c>
      <c r="X213" s="203">
        <f t="shared" si="190"/>
        <v>4</v>
      </c>
      <c r="Y213" s="203">
        <f t="shared" si="190"/>
        <v>4</v>
      </c>
      <c r="Z213" s="203">
        <f t="shared" si="190"/>
        <v>4</v>
      </c>
      <c r="AA213" s="203">
        <f t="shared" si="190"/>
        <v>4</v>
      </c>
      <c r="AB213" s="203">
        <f t="shared" si="190"/>
        <v>0</v>
      </c>
      <c r="AC213" s="203">
        <f t="shared" si="190"/>
        <v>5</v>
      </c>
      <c r="AD213" s="203">
        <f t="shared" si="190"/>
        <v>5</v>
      </c>
      <c r="AE213" s="203">
        <f t="shared" si="190"/>
        <v>5</v>
      </c>
      <c r="AF213" s="203">
        <f t="shared" si="190"/>
        <v>5</v>
      </c>
      <c r="AG213" s="203">
        <f t="shared" si="190"/>
        <v>5</v>
      </c>
      <c r="AH213" s="203">
        <f t="shared" si="190"/>
        <v>5</v>
      </c>
      <c r="AI213" s="203">
        <f t="shared" si="190"/>
        <v>5</v>
      </c>
      <c r="AJ213" s="203">
        <f t="shared" si="190"/>
        <v>5</v>
      </c>
      <c r="AK213" s="203">
        <f t="shared" si="190"/>
        <v>5</v>
      </c>
      <c r="AL213" s="203">
        <f t="shared" si="190"/>
        <v>0</v>
      </c>
      <c r="AM213" s="203">
        <f t="shared" si="190"/>
        <v>6</v>
      </c>
      <c r="AN213" s="203">
        <f t="shared" si="190"/>
        <v>0</v>
      </c>
      <c r="AO213" s="203">
        <f t="shared" si="190"/>
        <v>99</v>
      </c>
      <c r="AP213" s="203">
        <f t="shared" si="190"/>
        <v>99</v>
      </c>
      <c r="AR213" s="203"/>
      <c r="AS213" s="203"/>
      <c r="AV213" s="203"/>
      <c r="AW213" s="203"/>
      <c r="BG213" s="203">
        <f>IF(ISNA(BG210),-1,IF(ISNA(BG212),99,IF(ISNA(BG211),BG210,0)))</f>
        <v>0</v>
      </c>
      <c r="BH213" s="203"/>
    </row>
    <row r="214" spans="1:60">
      <c r="B214" s="22" t="str">
        <f t="shared" ref="B214:B221" si="191">IF(A214="*","","COM_PROJ")</f>
        <v>COM_PROJ</v>
      </c>
      <c r="C214" s="23" t="str">
        <f t="shared" ref="C214:C221" si="192">IF($A214="*","","-")</f>
        <v>-</v>
      </c>
      <c r="D214" s="61" t="str">
        <f t="shared" ref="D214:D221" si="193">B186</f>
        <v>TPPRCAR</v>
      </c>
      <c r="E214" s="23" t="str">
        <f t="shared" ref="E214:H221" si="194">IF($A214="*","","-")</f>
        <v>-</v>
      </c>
      <c r="F214" s="23" t="str">
        <f t="shared" si="194"/>
        <v>-</v>
      </c>
      <c r="G214" s="23" t="str">
        <f t="shared" si="194"/>
        <v>-</v>
      </c>
      <c r="H214" s="23" t="str">
        <f t="shared" si="194"/>
        <v>-</v>
      </c>
      <c r="I214" s="22">
        <f t="shared" ref="I214:I221" si="195">IF(A214="*","",0)</f>
        <v>0</v>
      </c>
      <c r="J214" s="200">
        <f t="shared" ref="J214:K216" si="196">IF(J$213=-1,K214,IF(J$213=99,BF214,IF(J$213=0,INDEX($E186:$K186,0,J$211),(INDEX($E186:$K186,0,J$213+1)-INDEX($E186:$K186,0,J$213))/(INDEX($E$185:$K$185,0,J$213+1)-INDEX($E$185:$K$185,0,J$213))+BF214)))</f>
        <v>79.483105557424096</v>
      </c>
      <c r="K214" s="200">
        <f t="shared" si="196"/>
        <v>83.905507154383585</v>
      </c>
      <c r="L214" s="200">
        <f t="shared" ref="L214:AL214" si="197">IF(L$213=-1,M214,IF(L$213=99,K214,IF(L$213=0,INDEX($E186:$K186,0,L$211),(INDEX($E186:$K186,0,L$213+1)-INDEX($E186:$K186,0,L$213))/(INDEX($E$185:$K$185,0,L$213+1)-INDEX($E$185:$K$185,0,L$213))+K214)))</f>
        <v>88.327908751343074</v>
      </c>
      <c r="M214" s="200">
        <f t="shared" si="197"/>
        <v>92.750310348302548</v>
      </c>
      <c r="N214" s="200">
        <f t="shared" si="197"/>
        <v>96.653368650431077</v>
      </c>
      <c r="O214" s="200">
        <f t="shared" si="197"/>
        <v>100.5564269525596</v>
      </c>
      <c r="P214" s="200">
        <f t="shared" si="197"/>
        <v>103.31715188474146</v>
      </c>
      <c r="Q214" s="200">
        <f t="shared" si="197"/>
        <v>106.07787681692332</v>
      </c>
      <c r="R214" s="200">
        <f t="shared" si="197"/>
        <v>108.83860174910519</v>
      </c>
      <c r="S214" s="200">
        <f t="shared" si="197"/>
        <v>113.54308234419325</v>
      </c>
      <c r="T214" s="200">
        <f t="shared" si="197"/>
        <v>118.24756293928131</v>
      </c>
      <c r="U214" s="200">
        <f t="shared" si="197"/>
        <v>122.95204353436937</v>
      </c>
      <c r="V214" s="200">
        <f t="shared" si="197"/>
        <v>127.65652412945742</v>
      </c>
      <c r="W214" s="200">
        <f t="shared" si="197"/>
        <v>132.3610047245455</v>
      </c>
      <c r="X214" s="200">
        <f t="shared" si="197"/>
        <v>137.06548531963355</v>
      </c>
      <c r="Y214" s="200">
        <f t="shared" si="197"/>
        <v>141.76996591472161</v>
      </c>
      <c r="Z214" s="200">
        <f t="shared" si="197"/>
        <v>146.47444650980967</v>
      </c>
      <c r="AA214" s="200">
        <f t="shared" si="197"/>
        <v>151.17892710489772</v>
      </c>
      <c r="AB214" s="200">
        <f t="shared" si="197"/>
        <v>155.88340769998581</v>
      </c>
      <c r="AC214" s="200">
        <f t="shared" si="197"/>
        <v>160.70986411396171</v>
      </c>
      <c r="AD214" s="200">
        <f t="shared" si="197"/>
        <v>165.53632052793762</v>
      </c>
      <c r="AE214" s="200">
        <f t="shared" si="197"/>
        <v>170.36277694191352</v>
      </c>
      <c r="AF214" s="200">
        <f t="shared" si="197"/>
        <v>175.18923335588943</v>
      </c>
      <c r="AG214" s="200">
        <f t="shared" si="197"/>
        <v>180.01568976986533</v>
      </c>
      <c r="AH214" s="200">
        <f t="shared" si="197"/>
        <v>184.84214618384124</v>
      </c>
      <c r="AI214" s="200">
        <f t="shared" si="197"/>
        <v>189.66860259781714</v>
      </c>
      <c r="AJ214" s="200">
        <f t="shared" si="197"/>
        <v>194.49505901179305</v>
      </c>
      <c r="AK214" s="200">
        <f t="shared" si="197"/>
        <v>199.32151542576895</v>
      </c>
      <c r="AL214" s="200">
        <f t="shared" si="197"/>
        <v>204.14797183974494</v>
      </c>
      <c r="AM214" s="230">
        <f>(AL214+AN214)/2</f>
        <v>221.12286579157978</v>
      </c>
      <c r="AN214" s="200">
        <f t="shared" ref="AN214:AO221" si="198">IF(AN$213=-1,AO214,IF(AN$213=99,AM214,IF(AN$213=0,INDEX($E186:$K186,0,AN$211),(INDEX($E186:$K186,0,AN$213+1)-INDEX($E186:$K186,0,AN$213))/(INDEX($E$185:$K$185,0,AN$213+1)-INDEX($E$185:$K$185,0,AN$213))+AM214)))</f>
        <v>238.09775974341463</v>
      </c>
      <c r="AO214" s="200">
        <f t="shared" si="198"/>
        <v>238.09775974341463</v>
      </c>
      <c r="AP214" s="200">
        <f t="shared" ref="AP214:AP221" si="199">IF(AP$213=-1,AR214,IF(AP$213=99,AO214,IF(AP$213=0,INDEX($E186:$K186,0,AP$211),(INDEX($E186:$K186,0,AP$213+1)-INDEX($E186:$K186,0,AP$213))/(INDEX($E$185:$K$185,0,AP$213+1)-INDEX($E$185:$K$185,0,AP$213))+AO214)))</f>
        <v>238.09775974341463</v>
      </c>
      <c r="AR214" s="200"/>
      <c r="AS214" s="200"/>
      <c r="AV214" s="200"/>
      <c r="AW214" s="200"/>
      <c r="BG214" s="200">
        <f t="shared" ref="BG214:BG221" si="200">E186</f>
        <v>79.483105557424096</v>
      </c>
      <c r="BH214" s="118">
        <f t="shared" ref="BH214:BH221" si="201">(J214-BG214)/J214</f>
        <v>0</v>
      </c>
    </row>
    <row r="215" spans="1:60">
      <c r="B215" s="22" t="str">
        <f t="shared" si="191"/>
        <v>COM_PROJ</v>
      </c>
      <c r="C215" s="23" t="str">
        <f t="shared" si="192"/>
        <v>-</v>
      </c>
      <c r="D215" s="61" t="str">
        <f t="shared" si="193"/>
        <v>TPPRSUV</v>
      </c>
      <c r="E215" s="23" t="str">
        <f t="shared" si="194"/>
        <v>-</v>
      </c>
      <c r="F215" s="23" t="str">
        <f t="shared" si="194"/>
        <v>-</v>
      </c>
      <c r="G215" s="23" t="str">
        <f t="shared" si="194"/>
        <v>-</v>
      </c>
      <c r="H215" s="23" t="str">
        <f t="shared" si="194"/>
        <v>-</v>
      </c>
      <c r="I215" s="22">
        <f t="shared" si="195"/>
        <v>0</v>
      </c>
      <c r="J215" s="200">
        <f t="shared" si="196"/>
        <v>9.1263671637063464</v>
      </c>
      <c r="K215" s="200">
        <f t="shared" si="196"/>
        <v>9.6341538239803892</v>
      </c>
      <c r="L215" s="200">
        <f t="shared" ref="L215:AL215" si="202">IF(L$213=-1,M215,IF(L$213=99,K215,IF(L$213=0,INDEX($E187:$K187,0,L$211),(INDEX($E187:$K187,0,L$213+1)-INDEX($E187:$K187,0,L$213))/(INDEX($E$185:$K$185,0,L$213+1)-INDEX($E$185:$K$185,0,L$213))+K215)))</f>
        <v>10.141940484254432</v>
      </c>
      <c r="M215" s="200">
        <f t="shared" si="202"/>
        <v>10.649727144528473</v>
      </c>
      <c r="N215" s="200">
        <f t="shared" si="202"/>
        <v>11.097882043318158</v>
      </c>
      <c r="O215" s="200">
        <f t="shared" si="202"/>
        <v>11.546036942107843</v>
      </c>
      <c r="P215" s="200">
        <f t="shared" si="202"/>
        <v>11.843590408990188</v>
      </c>
      <c r="Q215" s="200">
        <f t="shared" si="202"/>
        <v>12.141143875872533</v>
      </c>
      <c r="R215" s="200">
        <f t="shared" si="202"/>
        <v>12.43869734275488</v>
      </c>
      <c r="S215" s="200">
        <f t="shared" si="202"/>
        <v>12.966470398123887</v>
      </c>
      <c r="T215" s="200">
        <f t="shared" si="202"/>
        <v>13.494243453492894</v>
      </c>
      <c r="U215" s="200">
        <f t="shared" si="202"/>
        <v>14.022016508861901</v>
      </c>
      <c r="V215" s="200">
        <f t="shared" si="202"/>
        <v>14.549789564230908</v>
      </c>
      <c r="W215" s="200">
        <f t="shared" si="202"/>
        <v>15.077562619599915</v>
      </c>
      <c r="X215" s="200">
        <f t="shared" si="202"/>
        <v>15.605335674968922</v>
      </c>
      <c r="Y215" s="200">
        <f t="shared" si="202"/>
        <v>16.133108730337931</v>
      </c>
      <c r="Z215" s="200">
        <f t="shared" si="202"/>
        <v>16.660881785706938</v>
      </c>
      <c r="AA215" s="200">
        <f t="shared" si="202"/>
        <v>17.188654841075945</v>
      </c>
      <c r="AB215" s="200">
        <f t="shared" si="202"/>
        <v>17.716427896444952</v>
      </c>
      <c r="AC215" s="200">
        <f t="shared" si="202"/>
        <v>18.264963294247565</v>
      </c>
      <c r="AD215" s="200">
        <f t="shared" si="202"/>
        <v>18.813498692050178</v>
      </c>
      <c r="AE215" s="200">
        <f t="shared" si="202"/>
        <v>19.362034089852791</v>
      </c>
      <c r="AF215" s="200">
        <f t="shared" si="202"/>
        <v>19.910569487655405</v>
      </c>
      <c r="AG215" s="200">
        <f t="shared" si="202"/>
        <v>20.459104885458018</v>
      </c>
      <c r="AH215" s="200">
        <f t="shared" si="202"/>
        <v>21.007640283260631</v>
      </c>
      <c r="AI215" s="200">
        <f t="shared" si="202"/>
        <v>21.556175681063245</v>
      </c>
      <c r="AJ215" s="200">
        <f t="shared" si="202"/>
        <v>22.104711078865858</v>
      </c>
      <c r="AK215" s="200">
        <f t="shared" si="202"/>
        <v>22.653246476668471</v>
      </c>
      <c r="AL215" s="200">
        <f t="shared" si="202"/>
        <v>23.20178187447107</v>
      </c>
      <c r="AM215" s="230">
        <f t="shared" ref="AM215:AM221" si="203">(AL215+AN215)/2</f>
        <v>25.131008911426008</v>
      </c>
      <c r="AN215" s="200">
        <f t="shared" si="198"/>
        <v>27.060235948380942</v>
      </c>
      <c r="AO215" s="200">
        <f t="shared" si="198"/>
        <v>27.060235948380942</v>
      </c>
      <c r="AP215" s="200">
        <f t="shared" si="199"/>
        <v>27.060235948380942</v>
      </c>
      <c r="AR215" s="200"/>
      <c r="AS215" s="200"/>
      <c r="AV215" s="200"/>
      <c r="AW215" s="200"/>
      <c r="BG215" s="200">
        <f t="shared" si="200"/>
        <v>9.1263671637063464</v>
      </c>
      <c r="BH215" s="118">
        <f t="shared" si="201"/>
        <v>0</v>
      </c>
    </row>
    <row r="216" spans="1:60">
      <c r="B216" s="22" t="str">
        <f t="shared" si="191"/>
        <v>COM_PROJ</v>
      </c>
      <c r="C216" s="23" t="str">
        <f t="shared" si="192"/>
        <v>-</v>
      </c>
      <c r="D216" s="61" t="str">
        <f t="shared" si="193"/>
        <v>TPPRMOT</v>
      </c>
      <c r="E216" s="23" t="str">
        <f t="shared" si="194"/>
        <v>-</v>
      </c>
      <c r="F216" s="23" t="str">
        <f t="shared" si="194"/>
        <v>-</v>
      </c>
      <c r="G216" s="23" t="str">
        <f t="shared" si="194"/>
        <v>-</v>
      </c>
      <c r="H216" s="23" t="str">
        <f t="shared" si="194"/>
        <v>-</v>
      </c>
      <c r="I216" s="22">
        <f t="shared" si="195"/>
        <v>0</v>
      </c>
      <c r="J216" s="200">
        <f t="shared" si="196"/>
        <v>3.1110391443224037</v>
      </c>
      <c r="K216" s="200">
        <f t="shared" si="196"/>
        <v>2.9659458194027142</v>
      </c>
      <c r="L216" s="200">
        <f t="shared" ref="L216:AL216" si="204">IF(L$213=-1,M216,IF(L$213=99,K216,IF(L$213=0,INDEX($E188:$K188,0,L$211),(INDEX($E188:$K188,0,L$213+1)-INDEX($E188:$K188,0,L$213))/(INDEX($E$185:$K$185,0,L$213+1)-INDEX($E$185:$K$185,0,L$213))+K216)))</f>
        <v>2.8208524944830247</v>
      </c>
      <c r="M216" s="200">
        <f t="shared" si="204"/>
        <v>2.6757591695633347</v>
      </c>
      <c r="N216" s="200">
        <f t="shared" si="204"/>
        <v>2.7883587285517843</v>
      </c>
      <c r="O216" s="200">
        <f t="shared" si="204"/>
        <v>2.900958287540234</v>
      </c>
      <c r="P216" s="200">
        <f t="shared" si="204"/>
        <v>2.9705303035897295</v>
      </c>
      <c r="Q216" s="200">
        <f t="shared" si="204"/>
        <v>3.0401023196392249</v>
      </c>
      <c r="R216" s="200">
        <f t="shared" si="204"/>
        <v>3.10967433568872</v>
      </c>
      <c r="S216" s="200">
        <f t="shared" si="204"/>
        <v>3.2756295273847678</v>
      </c>
      <c r="T216" s="200">
        <f t="shared" si="204"/>
        <v>3.4415847190808155</v>
      </c>
      <c r="U216" s="200">
        <f t="shared" si="204"/>
        <v>3.6075399107768633</v>
      </c>
      <c r="V216" s="200">
        <f t="shared" si="204"/>
        <v>3.7734951024729111</v>
      </c>
      <c r="W216" s="200">
        <f t="shared" si="204"/>
        <v>3.9394502941689589</v>
      </c>
      <c r="X216" s="200">
        <f t="shared" si="204"/>
        <v>4.1054054858650071</v>
      </c>
      <c r="Y216" s="200">
        <f t="shared" si="204"/>
        <v>4.2713606775610549</v>
      </c>
      <c r="Z216" s="200">
        <f t="shared" si="204"/>
        <v>4.4373158692571026</v>
      </c>
      <c r="AA216" s="200">
        <f t="shared" si="204"/>
        <v>4.6032710609531504</v>
      </c>
      <c r="AB216" s="200">
        <f t="shared" si="204"/>
        <v>4.7692262526491982</v>
      </c>
      <c r="AC216" s="200">
        <f t="shared" si="204"/>
        <v>4.9649360348227871</v>
      </c>
      <c r="AD216" s="200">
        <f t="shared" si="204"/>
        <v>5.160645816996376</v>
      </c>
      <c r="AE216" s="200">
        <f t="shared" si="204"/>
        <v>5.356355599169965</v>
      </c>
      <c r="AF216" s="200">
        <f t="shared" si="204"/>
        <v>5.5520653813435539</v>
      </c>
      <c r="AG216" s="200">
        <f t="shared" si="204"/>
        <v>5.7477751635171428</v>
      </c>
      <c r="AH216" s="200">
        <f t="shared" si="204"/>
        <v>5.9434849456907317</v>
      </c>
      <c r="AI216" s="200">
        <f t="shared" si="204"/>
        <v>6.1391947278643206</v>
      </c>
      <c r="AJ216" s="200">
        <f t="shared" si="204"/>
        <v>6.3349045100379096</v>
      </c>
      <c r="AK216" s="200">
        <f t="shared" si="204"/>
        <v>6.5306142922114985</v>
      </c>
      <c r="AL216" s="200">
        <f t="shared" si="204"/>
        <v>6.7263240743850883</v>
      </c>
      <c r="AM216" s="230">
        <f t="shared" si="203"/>
        <v>7.6124888912277298</v>
      </c>
      <c r="AN216" s="200">
        <f t="shared" si="198"/>
        <v>8.4986537080703712</v>
      </c>
      <c r="AO216" s="200">
        <f t="shared" si="198"/>
        <v>8.4986537080703712</v>
      </c>
      <c r="AP216" s="200">
        <f t="shared" si="199"/>
        <v>8.4986537080703712</v>
      </c>
      <c r="AR216" s="200"/>
      <c r="AS216" s="200"/>
      <c r="AV216" s="200"/>
      <c r="AW216" s="200"/>
      <c r="BG216" s="200">
        <f t="shared" si="200"/>
        <v>3.1110391443224037</v>
      </c>
      <c r="BH216" s="118">
        <f t="shared" si="201"/>
        <v>0</v>
      </c>
    </row>
    <row r="217" spans="1:60">
      <c r="B217" s="22" t="str">
        <f t="shared" si="191"/>
        <v>COM_PROJ</v>
      </c>
      <c r="C217" s="23" t="str">
        <f t="shared" si="192"/>
        <v>-</v>
      </c>
      <c r="D217" s="61" t="str">
        <f t="shared" si="193"/>
        <v>TPPUBUS</v>
      </c>
      <c r="E217" s="23" t="str">
        <f t="shared" si="194"/>
        <v>-</v>
      </c>
      <c r="F217" s="23" t="str">
        <f t="shared" si="194"/>
        <v>-</v>
      </c>
      <c r="G217" s="23" t="str">
        <f t="shared" si="194"/>
        <v>-</v>
      </c>
      <c r="H217" s="23" t="str">
        <f t="shared" si="194"/>
        <v>-</v>
      </c>
      <c r="I217" s="22">
        <f t="shared" si="195"/>
        <v>0</v>
      </c>
      <c r="J217" s="200">
        <f>INDEX('[2]TS BYDem'!J$10:J$59,MATCH($D217,'[2]TS BYDem'!D$10:D$59,0))</f>
        <v>1.4990333520535337</v>
      </c>
      <c r="K217" s="200">
        <f>IF(K$213=-1,L217,IF(K$213=99,BG217,IF(K$213=0,INDEX($E189:$K189,0,K$211),(INDEX($E189:$K189,0,K$213+1)-INDEX($E189:$K189,0,K$213))/(INDEX($E$185:$K$185,0,K$213+1)-INDEX($E$185:$K$185,0,K$213))+BG217)))</f>
        <v>0.6286609931450593</v>
      </c>
      <c r="L217" s="200">
        <f t="shared" ref="L217:AL217" si="205">IF(L$213=-1,M217,IF(L$213=99,K217,IF(L$213=0,INDEX($E189:$K189,0,L$211),(INDEX($E189:$K189,0,L$213+1)-INDEX($E189:$K189,0,L$213))/(INDEX($E$185:$K$185,0,L$213+1)-INDEX($E$185:$K$185,0,L$213))+K217)))</f>
        <v>0.63933049657252961</v>
      </c>
      <c r="M217" s="200">
        <f t="shared" si="205"/>
        <v>0.65</v>
      </c>
      <c r="N217" s="200">
        <f t="shared" si="205"/>
        <v>0.66077214814486951</v>
      </c>
      <c r="O217" s="200">
        <f t="shared" si="205"/>
        <v>0.671544296289739</v>
      </c>
      <c r="P217" s="200">
        <f t="shared" si="205"/>
        <v>0.85845721693139565</v>
      </c>
      <c r="Q217" s="200">
        <f t="shared" si="205"/>
        <v>1.0453701375730524</v>
      </c>
      <c r="R217" s="200">
        <f t="shared" si="205"/>
        <v>1.2322830582147091</v>
      </c>
      <c r="S217" s="200">
        <f t="shared" si="205"/>
        <v>1.1934932172625183</v>
      </c>
      <c r="T217" s="200">
        <f t="shared" si="205"/>
        <v>1.1547033763103276</v>
      </c>
      <c r="U217" s="200">
        <f t="shared" si="205"/>
        <v>1.1159135353581369</v>
      </c>
      <c r="V217" s="200">
        <f t="shared" si="205"/>
        <v>1.0771236944059461</v>
      </c>
      <c r="W217" s="200">
        <f t="shared" si="205"/>
        <v>1.0383338534537554</v>
      </c>
      <c r="X217" s="200">
        <f t="shared" si="205"/>
        <v>0.99954401250156455</v>
      </c>
      <c r="Y217" s="200">
        <f t="shared" si="205"/>
        <v>0.9607541715493737</v>
      </c>
      <c r="Z217" s="200">
        <f t="shared" si="205"/>
        <v>0.92196433059718286</v>
      </c>
      <c r="AA217" s="200">
        <f t="shared" si="205"/>
        <v>0.88317448964499201</v>
      </c>
      <c r="AB217" s="200">
        <f t="shared" si="205"/>
        <v>0.84438464869280094</v>
      </c>
      <c r="AC217" s="200">
        <f t="shared" si="205"/>
        <v>0.84878650936265032</v>
      </c>
      <c r="AD217" s="200">
        <f t="shared" si="205"/>
        <v>0.8531883700324997</v>
      </c>
      <c r="AE217" s="200">
        <f t="shared" si="205"/>
        <v>0.85759023070234908</v>
      </c>
      <c r="AF217" s="200">
        <f t="shared" si="205"/>
        <v>0.86199209137219845</v>
      </c>
      <c r="AG217" s="200">
        <f t="shared" si="205"/>
        <v>0.86639395204204783</v>
      </c>
      <c r="AH217" s="200">
        <f t="shared" si="205"/>
        <v>0.87079581271189721</v>
      </c>
      <c r="AI217" s="200">
        <f t="shared" si="205"/>
        <v>0.87519767338174659</v>
      </c>
      <c r="AJ217" s="200">
        <f t="shared" si="205"/>
        <v>0.87959953405159597</v>
      </c>
      <c r="AK217" s="200">
        <f t="shared" si="205"/>
        <v>0.88400139472144534</v>
      </c>
      <c r="AL217" s="200">
        <f t="shared" si="205"/>
        <v>0.88840325539129461</v>
      </c>
      <c r="AM217" s="230">
        <f t="shared" si="203"/>
        <v>0.94039874093515441</v>
      </c>
      <c r="AN217" s="200">
        <f t="shared" si="198"/>
        <v>0.99239422647901432</v>
      </c>
      <c r="AO217" s="200">
        <f t="shared" si="198"/>
        <v>0.99239422647901432</v>
      </c>
      <c r="AP217" s="200">
        <f t="shared" si="199"/>
        <v>0.99239422647901432</v>
      </c>
      <c r="AR217" s="200"/>
      <c r="AS217" s="200"/>
      <c r="AV217" s="200"/>
      <c r="AW217" s="200"/>
      <c r="BG217" s="200">
        <f t="shared" si="200"/>
        <v>0.61799148971758899</v>
      </c>
      <c r="BH217" s="118">
        <f t="shared" si="201"/>
        <v>0.5877400000000006</v>
      </c>
    </row>
    <row r="218" spans="1:60">
      <c r="B218" s="22" t="str">
        <f t="shared" si="191"/>
        <v>COM_PROJ</v>
      </c>
      <c r="C218" s="23" t="str">
        <f t="shared" si="192"/>
        <v>-</v>
      </c>
      <c r="D218" s="61" t="str">
        <f t="shared" si="193"/>
        <v>TPPUMBT</v>
      </c>
      <c r="E218" s="23" t="str">
        <f t="shared" si="194"/>
        <v>-</v>
      </c>
      <c r="F218" s="23" t="str">
        <f t="shared" si="194"/>
        <v>-</v>
      </c>
      <c r="G218" s="23" t="str">
        <f t="shared" si="194"/>
        <v>-</v>
      </c>
      <c r="H218" s="23" t="str">
        <f t="shared" si="194"/>
        <v>-</v>
      </c>
      <c r="I218" s="22">
        <f t="shared" si="195"/>
        <v>0</v>
      </c>
      <c r="J218" s="200">
        <f>INDEX('[2]TS BYDem'!J$10:J$59,MATCH($D218,'[2]TS BYDem'!D$10:D$59,0))</f>
        <v>6.4978638621089795</v>
      </c>
      <c r="K218" s="200">
        <f>IF(K$213=-1,L218,IF(K$213=99,BG218,IF(K$213=0,INDEX($E190:$K190,0,K$211),(INDEX($E190:$K190,0,K$213+1)-INDEX($E190:$K190,0,K$213))/(INDEX($E$185:$K$185,0,K$213+1)-INDEX($E$185:$K$185,0,K$213))+BG218)))</f>
        <v>6.2704712069196402</v>
      </c>
      <c r="L218" s="200">
        <f t="shared" ref="L218:AL218" si="206">IF(L$213=-1,M218,IF(L$213=99,K218,IF(L$213=0,INDEX($E190:$K190,0,L$211),(INDEX($E190:$K190,0,L$213+1)-INDEX($E190:$K190,0,L$213))/(INDEX($E$185:$K$185,0,L$213+1)-INDEX($E$185:$K$185,0,L$213))+K218)))</f>
        <v>6.5852356034598207</v>
      </c>
      <c r="M218" s="200">
        <f t="shared" si="206"/>
        <v>6.9</v>
      </c>
      <c r="N218" s="200">
        <f t="shared" si="206"/>
        <v>7.0212765000000008</v>
      </c>
      <c r="O218" s="200">
        <f t="shared" si="206"/>
        <v>7.1425530000000004</v>
      </c>
      <c r="P218" s="200">
        <f t="shared" si="206"/>
        <v>7.0745031764759618</v>
      </c>
      <c r="Q218" s="200">
        <f t="shared" si="206"/>
        <v>7.0064533529519233</v>
      </c>
      <c r="R218" s="200">
        <f t="shared" si="206"/>
        <v>6.9384035294278847</v>
      </c>
      <c r="S218" s="200">
        <f t="shared" si="206"/>
        <v>7.0422866078635504</v>
      </c>
      <c r="T218" s="200">
        <f t="shared" si="206"/>
        <v>7.1461696862992161</v>
      </c>
      <c r="U218" s="200">
        <f t="shared" si="206"/>
        <v>7.2500527647348818</v>
      </c>
      <c r="V218" s="200">
        <f t="shared" si="206"/>
        <v>7.3539358431705475</v>
      </c>
      <c r="W218" s="200">
        <f t="shared" si="206"/>
        <v>7.4578189216062132</v>
      </c>
      <c r="X218" s="200">
        <f t="shared" si="206"/>
        <v>7.5617020000418789</v>
      </c>
      <c r="Y218" s="200">
        <f t="shared" si="206"/>
        <v>7.6655850784775446</v>
      </c>
      <c r="Z218" s="200">
        <f t="shared" si="206"/>
        <v>7.7694681569132102</v>
      </c>
      <c r="AA218" s="200">
        <f t="shared" si="206"/>
        <v>7.8733512353488759</v>
      </c>
      <c r="AB218" s="200">
        <f t="shared" si="206"/>
        <v>7.9772343137845452</v>
      </c>
      <c r="AC218" s="200">
        <f t="shared" si="206"/>
        <v>8.0188204250839181</v>
      </c>
      <c r="AD218" s="200">
        <f t="shared" si="206"/>
        <v>8.060406536383292</v>
      </c>
      <c r="AE218" s="200">
        <f t="shared" si="206"/>
        <v>8.1019926476826658</v>
      </c>
      <c r="AF218" s="200">
        <f t="shared" si="206"/>
        <v>8.1435787589820396</v>
      </c>
      <c r="AG218" s="200">
        <f t="shared" si="206"/>
        <v>8.1851648702814135</v>
      </c>
      <c r="AH218" s="200">
        <f t="shared" si="206"/>
        <v>8.2267509815807873</v>
      </c>
      <c r="AI218" s="200">
        <f t="shared" si="206"/>
        <v>8.2683370928801612</v>
      </c>
      <c r="AJ218" s="200">
        <f t="shared" si="206"/>
        <v>8.309923204179535</v>
      </c>
      <c r="AK218" s="200">
        <f t="shared" si="206"/>
        <v>8.3515093154789088</v>
      </c>
      <c r="AL218" s="200">
        <f t="shared" si="206"/>
        <v>8.3930954267782774</v>
      </c>
      <c r="AM218" s="230">
        <f t="shared" si="203"/>
        <v>8.8843172556977059</v>
      </c>
      <c r="AN218" s="200">
        <f t="shared" si="198"/>
        <v>9.3755390846171345</v>
      </c>
      <c r="AO218" s="200">
        <f t="shared" si="198"/>
        <v>9.3755390846171345</v>
      </c>
      <c r="AP218" s="200">
        <f t="shared" si="199"/>
        <v>9.3755390846171345</v>
      </c>
      <c r="AR218" s="200"/>
      <c r="AS218" s="200"/>
      <c r="AV218" s="200"/>
      <c r="AW218" s="200"/>
      <c r="BG218" s="200">
        <f t="shared" si="200"/>
        <v>5.9557068103794597</v>
      </c>
      <c r="BH218" s="118">
        <f t="shared" si="201"/>
        <v>8.3436197377264612E-2</v>
      </c>
    </row>
    <row r="219" spans="1:60">
      <c r="B219" s="22" t="str">
        <f t="shared" si="191"/>
        <v>COM_PROJ</v>
      </c>
      <c r="C219" s="23" t="str">
        <f t="shared" si="192"/>
        <v>-</v>
      </c>
      <c r="D219" s="61" t="str">
        <f t="shared" si="193"/>
        <v>TPPUBRT</v>
      </c>
      <c r="E219" s="23" t="str">
        <f t="shared" si="194"/>
        <v>-</v>
      </c>
      <c r="F219" s="23" t="str">
        <f t="shared" si="194"/>
        <v>-</v>
      </c>
      <c r="G219" s="23" t="str">
        <f t="shared" si="194"/>
        <v>-</v>
      </c>
      <c r="H219" s="23" t="str">
        <f t="shared" si="194"/>
        <v>-</v>
      </c>
      <c r="I219" s="22">
        <f t="shared" si="195"/>
        <v>0</v>
      </c>
      <c r="J219" s="200">
        <f>INDEX('[2]TS BYDem'!J$10:J$59,MATCH($D219,'[2]TS BYDem'!D$10:D$59,0))</f>
        <v>0</v>
      </c>
      <c r="K219" s="200">
        <f>IF(K$213=-1,L219,IF(K$213=99,BG219,IF(K$213=0,INDEX($E191:$K191,0,K$211),(INDEX($E191:$K191,0,K$213+1)-INDEX($E191:$K191,0,K$213))/(INDEX($E$185:$K$185,0,K$213+1)-INDEX($E$185:$K$185,0,K$213))+BG219)))</f>
        <v>2.1691164236032099E-2</v>
      </c>
      <c r="L219" s="200">
        <f t="shared" ref="L219:AL219" si="207">IF(L$213=-1,M219,IF(L$213=99,K219,IF(L$213=0,INDEX($E191:$K191,0,L$211),(INDEX($E191:$K191,0,L$213+1)-INDEX($E191:$K191,0,L$213))/(INDEX($E$185:$K$185,0,L$213+1)-INDEX($E$185:$K$185,0,L$213))+K219)))</f>
        <v>2.232369776021513E-2</v>
      </c>
      <c r="M219" s="200">
        <f t="shared" si="207"/>
        <v>2.2956231284398162E-2</v>
      </c>
      <c r="N219" s="200">
        <f t="shared" si="207"/>
        <v>2.357952894532548E-2</v>
      </c>
      <c r="O219" s="200">
        <f t="shared" si="207"/>
        <v>2.4202826606252802E-2</v>
      </c>
      <c r="P219" s="200">
        <f t="shared" si="207"/>
        <v>9.187834573650186E-2</v>
      </c>
      <c r="Q219" s="200">
        <f t="shared" si="207"/>
        <v>0.15955386486675094</v>
      </c>
      <c r="R219" s="200">
        <f t="shared" si="207"/>
        <v>0.22722938399699999</v>
      </c>
      <c r="S219" s="200">
        <f t="shared" si="207"/>
        <v>0.26515158384263665</v>
      </c>
      <c r="T219" s="200">
        <f t="shared" si="207"/>
        <v>0.30307378368827331</v>
      </c>
      <c r="U219" s="200">
        <f t="shared" si="207"/>
        <v>0.34099598353390997</v>
      </c>
      <c r="V219" s="200">
        <f t="shared" si="207"/>
        <v>0.37891818337954664</v>
      </c>
      <c r="W219" s="200">
        <f t="shared" si="207"/>
        <v>0.4168403832251833</v>
      </c>
      <c r="X219" s="200">
        <f t="shared" si="207"/>
        <v>0.45476258307081996</v>
      </c>
      <c r="Y219" s="200">
        <f t="shared" si="207"/>
        <v>0.49268478291645662</v>
      </c>
      <c r="Z219" s="200">
        <f t="shared" si="207"/>
        <v>0.53060698276209328</v>
      </c>
      <c r="AA219" s="200">
        <f t="shared" si="207"/>
        <v>0.56852918260772989</v>
      </c>
      <c r="AB219" s="200">
        <f t="shared" si="207"/>
        <v>0.60645138245336661</v>
      </c>
      <c r="AC219" s="200">
        <f t="shared" si="207"/>
        <v>0.66142613070209189</v>
      </c>
      <c r="AD219" s="200">
        <f t="shared" si="207"/>
        <v>0.71640087895081717</v>
      </c>
      <c r="AE219" s="200">
        <f t="shared" si="207"/>
        <v>0.77137562719954245</v>
      </c>
      <c r="AF219" s="200">
        <f t="shared" si="207"/>
        <v>0.82635037544826773</v>
      </c>
      <c r="AG219" s="200">
        <f t="shared" si="207"/>
        <v>0.88132512369699301</v>
      </c>
      <c r="AH219" s="200">
        <f t="shared" si="207"/>
        <v>0.93629987194571829</v>
      </c>
      <c r="AI219" s="200">
        <f t="shared" si="207"/>
        <v>0.99127462019444357</v>
      </c>
      <c r="AJ219" s="200">
        <f t="shared" si="207"/>
        <v>1.0462493684431688</v>
      </c>
      <c r="AK219" s="200">
        <f t="shared" si="207"/>
        <v>1.1012241166918941</v>
      </c>
      <c r="AL219" s="200">
        <f t="shared" si="207"/>
        <v>1.156198864940619</v>
      </c>
      <c r="AM219" s="230">
        <f t="shared" si="203"/>
        <v>1.4492665836006249</v>
      </c>
      <c r="AN219" s="200">
        <f t="shared" si="198"/>
        <v>1.7423343022606306</v>
      </c>
      <c r="AO219" s="200">
        <f t="shared" si="198"/>
        <v>1.7423343022606306</v>
      </c>
      <c r="AP219" s="200">
        <f t="shared" si="199"/>
        <v>1.7423343022606306</v>
      </c>
      <c r="AR219" s="200"/>
      <c r="AS219" s="200"/>
      <c r="AV219" s="200"/>
      <c r="AW219" s="200"/>
      <c r="BG219" s="200">
        <f t="shared" si="200"/>
        <v>2.1058630711849068E-2</v>
      </c>
      <c r="BH219" s="118" t="e">
        <f t="shared" si="201"/>
        <v>#DIV/0!</v>
      </c>
    </row>
    <row r="220" spans="1:60">
      <c r="B220" s="22" t="str">
        <f t="shared" si="191"/>
        <v>COM_PROJ</v>
      </c>
      <c r="C220" s="23" t="str">
        <f t="shared" si="192"/>
        <v>-</v>
      </c>
      <c r="D220" s="61" t="str">
        <f t="shared" si="193"/>
        <v>TPPUMER</v>
      </c>
      <c r="E220" s="23" t="str">
        <f t="shared" si="194"/>
        <v>-</v>
      </c>
      <c r="F220" s="23" t="str">
        <f t="shared" si="194"/>
        <v>-</v>
      </c>
      <c r="G220" s="23" t="str">
        <f t="shared" si="194"/>
        <v>-</v>
      </c>
      <c r="H220" s="23" t="str">
        <f t="shared" si="194"/>
        <v>-</v>
      </c>
      <c r="I220" s="22">
        <f t="shared" si="195"/>
        <v>0</v>
      </c>
      <c r="J220" s="200">
        <f>INDEX('[2]TS BYDem'!J$10:J$59,MATCH($D220,'[2]TS BYDem'!D$10:D$59,0))</f>
        <v>15.8</v>
      </c>
      <c r="K220" s="200">
        <f>IF(K$213=-1,L220,IF(K$213=99,BG220,IF(K$213=0,INDEX($E192:$K192,0,K$211),(INDEX($E192:$K192,0,K$213+1)-INDEX($E192:$K192,0,K$213))/(INDEX($E$185:$K$185,0,K$213+1)-INDEX($E$185:$K$185,0,K$213))+BG220)))</f>
        <v>13.645324247300293</v>
      </c>
      <c r="L220" s="200">
        <f t="shared" ref="L220:AL220" si="208">IF(L$213=-1,M220,IF(L$213=99,K220,IF(L$213=0,INDEX($E192:$K192,0,L$211),(INDEX($E192:$K192,0,L$213+1)-INDEX($E192:$K192,0,L$213))/(INDEX($E$185:$K$185,0,L$213+1)-INDEX($E$185:$K$185,0,L$213))+K220)))</f>
        <v>12.808940413161372</v>
      </c>
      <c r="M220" s="200">
        <f t="shared" si="208"/>
        <v>11.972556579022449</v>
      </c>
      <c r="N220" s="200">
        <f t="shared" si="208"/>
        <v>10.722295372559355</v>
      </c>
      <c r="O220" s="200">
        <f t="shared" si="208"/>
        <v>9.4720341660962628</v>
      </c>
      <c r="P220" s="200">
        <f t="shared" si="208"/>
        <v>9.4755151099602379</v>
      </c>
      <c r="Q220" s="200">
        <f t="shared" si="208"/>
        <v>9.4789960538242131</v>
      </c>
      <c r="R220" s="200">
        <f t="shared" si="208"/>
        <v>9.4824769976881882</v>
      </c>
      <c r="S220" s="200">
        <f t="shared" si="208"/>
        <v>9.518393837780911</v>
      </c>
      <c r="T220" s="200">
        <f t="shared" si="208"/>
        <v>9.5543106778736338</v>
      </c>
      <c r="U220" s="200">
        <f t="shared" si="208"/>
        <v>9.5902275179663565</v>
      </c>
      <c r="V220" s="200">
        <f t="shared" si="208"/>
        <v>9.6261443580590793</v>
      </c>
      <c r="W220" s="200">
        <f t="shared" si="208"/>
        <v>9.6620611981518021</v>
      </c>
      <c r="X220" s="200">
        <f t="shared" si="208"/>
        <v>9.6979780382445249</v>
      </c>
      <c r="Y220" s="200">
        <f t="shared" si="208"/>
        <v>9.7338948783372476</v>
      </c>
      <c r="Z220" s="200">
        <f t="shared" si="208"/>
        <v>9.7698117184299704</v>
      </c>
      <c r="AA220" s="200">
        <f t="shared" si="208"/>
        <v>9.8057285585226932</v>
      </c>
      <c r="AB220" s="200">
        <f t="shared" si="208"/>
        <v>9.8416453986154089</v>
      </c>
      <c r="AC220" s="200">
        <f t="shared" si="208"/>
        <v>9.8929508692606127</v>
      </c>
      <c r="AD220" s="200">
        <f t="shared" si="208"/>
        <v>9.9442563399058166</v>
      </c>
      <c r="AE220" s="200">
        <f t="shared" si="208"/>
        <v>9.9955618105510204</v>
      </c>
      <c r="AF220" s="200">
        <f t="shared" si="208"/>
        <v>10.046867281196224</v>
      </c>
      <c r="AG220" s="200">
        <f t="shared" si="208"/>
        <v>10.098172751841428</v>
      </c>
      <c r="AH220" s="200">
        <f t="shared" si="208"/>
        <v>10.149478222486632</v>
      </c>
      <c r="AI220" s="200">
        <f t="shared" si="208"/>
        <v>10.200783693131836</v>
      </c>
      <c r="AJ220" s="200">
        <f t="shared" si="208"/>
        <v>10.25208916377704</v>
      </c>
      <c r="AK220" s="200">
        <f t="shared" si="208"/>
        <v>10.303394634422244</v>
      </c>
      <c r="AL220" s="200">
        <f t="shared" si="208"/>
        <v>10.354700105067447</v>
      </c>
      <c r="AM220" s="230">
        <f t="shared" si="203"/>
        <v>10.96072856833203</v>
      </c>
      <c r="AN220" s="200">
        <f t="shared" si="198"/>
        <v>11.566757031596611</v>
      </c>
      <c r="AO220" s="200">
        <f t="shared" si="198"/>
        <v>11.566757031596611</v>
      </c>
      <c r="AP220" s="200">
        <f t="shared" si="199"/>
        <v>11.566757031596611</v>
      </c>
      <c r="AR220" s="200"/>
      <c r="AS220" s="200"/>
      <c r="AV220" s="200"/>
      <c r="AW220" s="200"/>
      <c r="BG220" s="200">
        <f t="shared" si="200"/>
        <v>14.481708081439214</v>
      </c>
      <c r="BH220" s="118">
        <f t="shared" si="201"/>
        <v>8.3436197377264987E-2</v>
      </c>
    </row>
    <row r="221" spans="1:60">
      <c r="B221" s="22" t="str">
        <f t="shared" si="191"/>
        <v>COM_PROJ</v>
      </c>
      <c r="C221" s="23" t="str">
        <f t="shared" si="192"/>
        <v>-</v>
      </c>
      <c r="D221" s="61" t="str">
        <f t="shared" si="193"/>
        <v>TPPUGAT</v>
      </c>
      <c r="E221" s="23" t="str">
        <f t="shared" si="194"/>
        <v>-</v>
      </c>
      <c r="F221" s="23" t="str">
        <f t="shared" si="194"/>
        <v>-</v>
      </c>
      <c r="G221" s="23" t="str">
        <f t="shared" si="194"/>
        <v>-</v>
      </c>
      <c r="H221" s="23" t="str">
        <f t="shared" si="194"/>
        <v>-</v>
      </c>
      <c r="I221" s="22">
        <f t="shared" si="195"/>
        <v>0</v>
      </c>
      <c r="J221" s="200">
        <f>INDEX('[2]TS BYDem'!J$10:J$59,MATCH($D221,'[2]TS BYDem'!D$10:D$59,0))</f>
        <v>0</v>
      </c>
      <c r="K221" s="200">
        <f>IF(K$213=-1,L221,IF(K$213=99,BG221,IF(K$213=0,INDEX($E193:$K193,0,K$211),(INDEX($E193:$K193,0,K$213+1)-INDEX($E193:$K193,0,K$213))/(INDEX($E$185:$K$185,0,K$213+1)-INDEX($E$185:$K$185,0,K$213))+BG221)))</f>
        <v>0.55134415393885639</v>
      </c>
      <c r="L221" s="200">
        <f t="shared" ref="L221:AL221" si="209">IF(L$213=-1,M221,IF(L$213=99,K221,IF(L$213=0,INDEX($E193:$K193,0,L$211),(INDEX($E193:$K193,0,L$213+1)-INDEX($E193:$K193,0,L$213))/(INDEX($E$185:$K$185,0,L$213+1)-INDEX($E$185:$K$185,0,L$213))+K221)))</f>
        <v>0.58342611917976139</v>
      </c>
      <c r="M221" s="200">
        <f t="shared" si="209"/>
        <v>0.6155080844206664</v>
      </c>
      <c r="N221" s="200">
        <f t="shared" si="209"/>
        <v>0.64361620339743641</v>
      </c>
      <c r="O221" s="200">
        <f t="shared" si="209"/>
        <v>0.67172432237420632</v>
      </c>
      <c r="P221" s="200">
        <f t="shared" si="209"/>
        <v>0.68877277847748963</v>
      </c>
      <c r="Q221" s="200">
        <f t="shared" si="209"/>
        <v>0.70582123458077295</v>
      </c>
      <c r="R221" s="200">
        <f t="shared" si="209"/>
        <v>0.72286969068405627</v>
      </c>
      <c r="S221" s="200">
        <f t="shared" si="209"/>
        <v>0.76681963846418388</v>
      </c>
      <c r="T221" s="200">
        <f t="shared" si="209"/>
        <v>0.8107695862443115</v>
      </c>
      <c r="U221" s="200">
        <f t="shared" si="209"/>
        <v>0.85471953402443912</v>
      </c>
      <c r="V221" s="200">
        <f t="shared" si="209"/>
        <v>0.89866948180456674</v>
      </c>
      <c r="W221" s="200">
        <f t="shared" si="209"/>
        <v>0.94261942958469436</v>
      </c>
      <c r="X221" s="200">
        <f t="shared" si="209"/>
        <v>0.98656937736482198</v>
      </c>
      <c r="Y221" s="200">
        <f t="shared" si="209"/>
        <v>1.0305193251449496</v>
      </c>
      <c r="Z221" s="200">
        <f t="shared" si="209"/>
        <v>1.0744692729250771</v>
      </c>
      <c r="AA221" s="200">
        <f t="shared" si="209"/>
        <v>1.1184192207052046</v>
      </c>
      <c r="AB221" s="200">
        <f t="shared" si="209"/>
        <v>1.1623691684853323</v>
      </c>
      <c r="AC221" s="200">
        <f t="shared" si="209"/>
        <v>1.2144163304365445</v>
      </c>
      <c r="AD221" s="200">
        <f t="shared" si="209"/>
        <v>1.2664634923877567</v>
      </c>
      <c r="AE221" s="200">
        <f t="shared" si="209"/>
        <v>1.3185106543389689</v>
      </c>
      <c r="AF221" s="200">
        <f t="shared" si="209"/>
        <v>1.370557816290181</v>
      </c>
      <c r="AG221" s="200">
        <f t="shared" si="209"/>
        <v>1.4226049782413932</v>
      </c>
      <c r="AH221" s="200">
        <f t="shared" si="209"/>
        <v>1.4746521401926054</v>
      </c>
      <c r="AI221" s="200">
        <f t="shared" si="209"/>
        <v>1.5266993021438175</v>
      </c>
      <c r="AJ221" s="200">
        <f t="shared" si="209"/>
        <v>1.5787464640950297</v>
      </c>
      <c r="AK221" s="200">
        <f t="shared" si="209"/>
        <v>1.6307936260462419</v>
      </c>
      <c r="AL221" s="200">
        <f t="shared" si="209"/>
        <v>1.6828407879974545</v>
      </c>
      <c r="AM221" s="230">
        <f t="shared" si="203"/>
        <v>1.9443254514485029</v>
      </c>
      <c r="AN221" s="200">
        <f t="shared" si="198"/>
        <v>2.2058101148995513</v>
      </c>
      <c r="AO221" s="200">
        <f t="shared" si="198"/>
        <v>2.2058101148995513</v>
      </c>
      <c r="AP221" s="200">
        <f t="shared" si="199"/>
        <v>2.2058101148995513</v>
      </c>
      <c r="AR221" s="200"/>
      <c r="AS221" s="200"/>
      <c r="AV221" s="200"/>
      <c r="AW221" s="200"/>
      <c r="BG221" s="200">
        <f t="shared" si="200"/>
        <v>0.51926218869795138</v>
      </c>
      <c r="BH221" s="118" t="e">
        <f t="shared" si="201"/>
        <v>#DIV/0!</v>
      </c>
    </row>
    <row r="222" spans="1:60">
      <c r="A222" s="199" t="s">
        <v>16</v>
      </c>
      <c r="L222" s="199"/>
      <c r="M222" s="41"/>
    </row>
    <row r="223" spans="1:60" s="205" customFormat="1">
      <c r="A223" s="124" t="s">
        <v>16</v>
      </c>
      <c r="B223" s="205" t="s">
        <v>392</v>
      </c>
      <c r="C223" s="205">
        <v>1</v>
      </c>
      <c r="D223" s="205">
        <v>2006</v>
      </c>
      <c r="E223" s="205">
        <f>F4</f>
        <v>2015</v>
      </c>
      <c r="F223" s="205">
        <v>2017</v>
      </c>
      <c r="G223" s="205">
        <v>2020</v>
      </c>
      <c r="H223" s="205">
        <v>2030</v>
      </c>
      <c r="I223" s="205">
        <v>2040</v>
      </c>
      <c r="J223" s="254">
        <v>2050</v>
      </c>
      <c r="K223" s="124">
        <f>MATCH(J$209,$C$210:$I$210,$C223)</f>
        <v>1</v>
      </c>
      <c r="L223" s="205">
        <f t="shared" ref="L223:AY223" si="210">MATCH(K$227,$D$223:$J$223,$C223)</f>
        <v>1</v>
      </c>
      <c r="M223" s="205">
        <f t="shared" si="210"/>
        <v>1</v>
      </c>
      <c r="N223" s="205">
        <f t="shared" si="210"/>
        <v>2</v>
      </c>
      <c r="O223" s="205">
        <f t="shared" si="210"/>
        <v>2</v>
      </c>
      <c r="P223" s="205">
        <f t="shared" si="210"/>
        <v>3</v>
      </c>
      <c r="Q223" s="205">
        <f t="shared" si="210"/>
        <v>3</v>
      </c>
      <c r="R223" s="205">
        <f t="shared" si="210"/>
        <v>3</v>
      </c>
      <c r="S223" s="205">
        <f t="shared" si="210"/>
        <v>4</v>
      </c>
      <c r="T223" s="205">
        <f t="shared" si="210"/>
        <v>4</v>
      </c>
      <c r="U223" s="205">
        <f t="shared" si="210"/>
        <v>4</v>
      </c>
      <c r="V223" s="205">
        <f t="shared" si="210"/>
        <v>4</v>
      </c>
      <c r="W223" s="205">
        <f t="shared" si="210"/>
        <v>4</v>
      </c>
      <c r="X223" s="205">
        <f t="shared" si="210"/>
        <v>4</v>
      </c>
      <c r="Y223" s="205">
        <f t="shared" si="210"/>
        <v>4</v>
      </c>
      <c r="Z223" s="205">
        <f t="shared" si="210"/>
        <v>4</v>
      </c>
      <c r="AA223" s="205">
        <f t="shared" si="210"/>
        <v>4</v>
      </c>
      <c r="AB223" s="205">
        <f t="shared" si="210"/>
        <v>4</v>
      </c>
      <c r="AC223" s="205">
        <f t="shared" si="210"/>
        <v>5</v>
      </c>
      <c r="AD223" s="205">
        <f t="shared" si="210"/>
        <v>5</v>
      </c>
      <c r="AE223" s="205">
        <f t="shared" si="210"/>
        <v>5</v>
      </c>
      <c r="AF223" s="205">
        <f t="shared" si="210"/>
        <v>5</v>
      </c>
      <c r="AG223" s="205">
        <f t="shared" si="210"/>
        <v>5</v>
      </c>
      <c r="AH223" s="205">
        <f t="shared" si="210"/>
        <v>5</v>
      </c>
      <c r="AI223" s="205">
        <f t="shared" si="210"/>
        <v>5</v>
      </c>
      <c r="AJ223" s="205">
        <f t="shared" si="210"/>
        <v>5</v>
      </c>
      <c r="AK223" s="205">
        <f t="shared" si="210"/>
        <v>5</v>
      </c>
      <c r="AL223" s="205">
        <f t="shared" si="210"/>
        <v>5</v>
      </c>
      <c r="AM223" s="205">
        <f t="shared" si="210"/>
        <v>6</v>
      </c>
      <c r="AN223" s="205">
        <f t="shared" si="210"/>
        <v>6</v>
      </c>
      <c r="AO223" s="205">
        <f t="shared" si="210"/>
        <v>6</v>
      </c>
      <c r="AP223" s="205">
        <f t="shared" si="210"/>
        <v>6</v>
      </c>
      <c r="AQ223" s="205">
        <f t="shared" si="210"/>
        <v>6</v>
      </c>
      <c r="AR223" s="205">
        <f t="shared" si="210"/>
        <v>6</v>
      </c>
      <c r="AS223" s="205">
        <f t="shared" si="210"/>
        <v>6</v>
      </c>
      <c r="AT223" s="205">
        <f t="shared" si="210"/>
        <v>6</v>
      </c>
      <c r="AU223" s="205">
        <f t="shared" si="210"/>
        <v>6</v>
      </c>
      <c r="AV223" s="205">
        <f t="shared" si="210"/>
        <v>6</v>
      </c>
      <c r="AW223" s="205">
        <f t="shared" si="210"/>
        <v>7</v>
      </c>
      <c r="AX223" s="205">
        <f t="shared" si="210"/>
        <v>7</v>
      </c>
      <c r="AY223" s="205">
        <f t="shared" si="210"/>
        <v>7</v>
      </c>
    </row>
    <row r="224" spans="1:60">
      <c r="A224" s="41" t="s">
        <v>16</v>
      </c>
      <c r="B224" s="199" t="s">
        <v>393</v>
      </c>
      <c r="C224" s="199">
        <v>0</v>
      </c>
      <c r="D224" s="199">
        <f t="shared" ref="D224:J224" si="211">INDEX($D223:$J223,0,COUNT($D223:$J223)-D225)</f>
        <v>2050</v>
      </c>
      <c r="E224" s="199">
        <f t="shared" si="211"/>
        <v>2040</v>
      </c>
      <c r="F224" s="199">
        <f t="shared" si="211"/>
        <v>2030</v>
      </c>
      <c r="G224" s="199">
        <f t="shared" si="211"/>
        <v>2020</v>
      </c>
      <c r="H224" s="199">
        <f t="shared" si="211"/>
        <v>2017</v>
      </c>
      <c r="I224" s="199">
        <f t="shared" si="211"/>
        <v>2015</v>
      </c>
      <c r="J224" s="131">
        <f t="shared" si="211"/>
        <v>2006</v>
      </c>
      <c r="K224" s="41">
        <f>MATCH(J$209,$C$210:$I$210,$C224)</f>
        <v>1</v>
      </c>
      <c r="L224" s="199" t="e">
        <f t="shared" ref="L224:AY224" si="212">MATCH(K$227,$D$223:$J$223,$C224)</f>
        <v>#N/A</v>
      </c>
      <c r="M224" s="199" t="e">
        <f t="shared" si="212"/>
        <v>#N/A</v>
      </c>
      <c r="N224" s="199">
        <f t="shared" si="212"/>
        <v>2</v>
      </c>
      <c r="O224" s="199" t="e">
        <f t="shared" si="212"/>
        <v>#N/A</v>
      </c>
      <c r="P224" s="199">
        <f t="shared" si="212"/>
        <v>3</v>
      </c>
      <c r="Q224" s="199" t="e">
        <f t="shared" si="212"/>
        <v>#N/A</v>
      </c>
      <c r="R224" s="199" t="e">
        <f t="shared" si="212"/>
        <v>#N/A</v>
      </c>
      <c r="S224" s="199">
        <f t="shared" si="212"/>
        <v>4</v>
      </c>
      <c r="T224" s="199" t="e">
        <f t="shared" si="212"/>
        <v>#N/A</v>
      </c>
      <c r="U224" s="199" t="e">
        <f t="shared" si="212"/>
        <v>#N/A</v>
      </c>
      <c r="V224" s="199" t="e">
        <f t="shared" si="212"/>
        <v>#N/A</v>
      </c>
      <c r="W224" s="199" t="e">
        <f t="shared" si="212"/>
        <v>#N/A</v>
      </c>
      <c r="X224" s="199" t="e">
        <f t="shared" si="212"/>
        <v>#N/A</v>
      </c>
      <c r="Y224" s="199" t="e">
        <f t="shared" si="212"/>
        <v>#N/A</v>
      </c>
      <c r="Z224" s="199" t="e">
        <f t="shared" si="212"/>
        <v>#N/A</v>
      </c>
      <c r="AA224" s="199" t="e">
        <f t="shared" si="212"/>
        <v>#N/A</v>
      </c>
      <c r="AB224" s="199" t="e">
        <f t="shared" si="212"/>
        <v>#N/A</v>
      </c>
      <c r="AC224" s="199">
        <f t="shared" si="212"/>
        <v>5</v>
      </c>
      <c r="AD224" s="199" t="e">
        <f t="shared" si="212"/>
        <v>#N/A</v>
      </c>
      <c r="AE224" s="199" t="e">
        <f t="shared" si="212"/>
        <v>#N/A</v>
      </c>
      <c r="AF224" s="199" t="e">
        <f t="shared" si="212"/>
        <v>#N/A</v>
      </c>
      <c r="AG224" s="199" t="e">
        <f t="shared" si="212"/>
        <v>#N/A</v>
      </c>
      <c r="AH224" s="199" t="e">
        <f t="shared" si="212"/>
        <v>#N/A</v>
      </c>
      <c r="AI224" s="199" t="e">
        <f t="shared" si="212"/>
        <v>#N/A</v>
      </c>
      <c r="AJ224" s="199" t="e">
        <f t="shared" si="212"/>
        <v>#N/A</v>
      </c>
      <c r="AK224" s="199" t="e">
        <f t="shared" si="212"/>
        <v>#N/A</v>
      </c>
      <c r="AL224" s="199" t="e">
        <f t="shared" si="212"/>
        <v>#N/A</v>
      </c>
      <c r="AM224" s="199">
        <f t="shared" si="212"/>
        <v>6</v>
      </c>
      <c r="AN224" s="199" t="e">
        <f t="shared" si="212"/>
        <v>#N/A</v>
      </c>
      <c r="AO224" s="199" t="e">
        <f t="shared" si="212"/>
        <v>#N/A</v>
      </c>
      <c r="AP224" s="199" t="e">
        <f t="shared" si="212"/>
        <v>#N/A</v>
      </c>
      <c r="AQ224" s="199" t="e">
        <f t="shared" si="212"/>
        <v>#N/A</v>
      </c>
      <c r="AR224" s="199" t="e">
        <f t="shared" si="212"/>
        <v>#N/A</v>
      </c>
      <c r="AS224" s="199" t="e">
        <f t="shared" si="212"/>
        <v>#N/A</v>
      </c>
      <c r="AT224" s="199" t="e">
        <f t="shared" si="212"/>
        <v>#N/A</v>
      </c>
      <c r="AU224" s="199" t="e">
        <f t="shared" si="212"/>
        <v>#N/A</v>
      </c>
      <c r="AV224" s="199" t="e">
        <f t="shared" si="212"/>
        <v>#N/A</v>
      </c>
      <c r="AW224" s="199">
        <f t="shared" si="212"/>
        <v>7</v>
      </c>
      <c r="AX224" s="199" t="e">
        <f t="shared" si="212"/>
        <v>#N/A</v>
      </c>
      <c r="AY224" s="199" t="e">
        <f t="shared" si="212"/>
        <v>#N/A</v>
      </c>
    </row>
    <row r="225" spans="1:58">
      <c r="A225" s="41" t="s">
        <v>16</v>
      </c>
      <c r="B225" s="199" t="s">
        <v>391</v>
      </c>
      <c r="C225" s="199">
        <v>-1</v>
      </c>
      <c r="D225" s="199">
        <v>0</v>
      </c>
      <c r="E225" s="199">
        <v>1</v>
      </c>
      <c r="F225" s="202">
        <v>2</v>
      </c>
      <c r="G225" s="199">
        <v>3</v>
      </c>
      <c r="H225" s="199">
        <v>4</v>
      </c>
      <c r="I225" s="199">
        <v>5</v>
      </c>
      <c r="J225" s="199">
        <v>6</v>
      </c>
      <c r="K225" s="199">
        <f>MATCH(J$209,$C$211:$I$211,$C225)</f>
        <v>7</v>
      </c>
      <c r="L225" s="199">
        <f t="shared" ref="L225:AY225" si="213">MATCH(K$227,$D$224:$J$224,$C225)</f>
        <v>6</v>
      </c>
      <c r="M225" s="199">
        <f t="shared" si="213"/>
        <v>6</v>
      </c>
      <c r="N225" s="199">
        <f t="shared" si="213"/>
        <v>6</v>
      </c>
      <c r="O225" s="199">
        <f t="shared" si="213"/>
        <v>5</v>
      </c>
      <c r="P225" s="199">
        <f t="shared" si="213"/>
        <v>5</v>
      </c>
      <c r="Q225" s="199">
        <f t="shared" si="213"/>
        <v>4</v>
      </c>
      <c r="R225" s="199">
        <f t="shared" si="213"/>
        <v>4</v>
      </c>
      <c r="S225" s="199">
        <f t="shared" si="213"/>
        <v>4</v>
      </c>
      <c r="T225" s="199">
        <f t="shared" si="213"/>
        <v>3</v>
      </c>
      <c r="U225" s="199">
        <f t="shared" si="213"/>
        <v>3</v>
      </c>
      <c r="V225" s="199">
        <f t="shared" si="213"/>
        <v>3</v>
      </c>
      <c r="W225" s="199">
        <f t="shared" si="213"/>
        <v>3</v>
      </c>
      <c r="X225" s="199">
        <f t="shared" si="213"/>
        <v>3</v>
      </c>
      <c r="Y225" s="199">
        <f t="shared" si="213"/>
        <v>3</v>
      </c>
      <c r="Z225" s="199">
        <f t="shared" si="213"/>
        <v>3</v>
      </c>
      <c r="AA225" s="199">
        <f t="shared" si="213"/>
        <v>3</v>
      </c>
      <c r="AB225" s="199">
        <f t="shared" si="213"/>
        <v>3</v>
      </c>
      <c r="AC225" s="199">
        <f t="shared" si="213"/>
        <v>3</v>
      </c>
      <c r="AD225" s="199">
        <f t="shared" si="213"/>
        <v>2</v>
      </c>
      <c r="AE225" s="199">
        <f t="shared" si="213"/>
        <v>2</v>
      </c>
      <c r="AF225" s="199">
        <f t="shared" si="213"/>
        <v>2</v>
      </c>
      <c r="AG225" s="199">
        <f t="shared" si="213"/>
        <v>2</v>
      </c>
      <c r="AH225" s="199">
        <f t="shared" si="213"/>
        <v>2</v>
      </c>
      <c r="AI225" s="199">
        <f t="shared" si="213"/>
        <v>2</v>
      </c>
      <c r="AJ225" s="199">
        <f t="shared" si="213"/>
        <v>2</v>
      </c>
      <c r="AK225" s="199">
        <f t="shared" si="213"/>
        <v>2</v>
      </c>
      <c r="AL225" s="199">
        <f t="shared" si="213"/>
        <v>2</v>
      </c>
      <c r="AM225" s="199">
        <f t="shared" si="213"/>
        <v>2</v>
      </c>
      <c r="AN225" s="199">
        <f t="shared" si="213"/>
        <v>1</v>
      </c>
      <c r="AO225" s="199">
        <f t="shared" si="213"/>
        <v>1</v>
      </c>
      <c r="AP225" s="199">
        <f t="shared" si="213"/>
        <v>1</v>
      </c>
      <c r="AQ225" s="199">
        <f t="shared" si="213"/>
        <v>1</v>
      </c>
      <c r="AR225" s="199">
        <f t="shared" si="213"/>
        <v>1</v>
      </c>
      <c r="AS225" s="199">
        <f t="shared" si="213"/>
        <v>1</v>
      </c>
      <c r="AT225" s="199">
        <f t="shared" si="213"/>
        <v>1</v>
      </c>
      <c r="AU225" s="199">
        <f t="shared" si="213"/>
        <v>1</v>
      </c>
      <c r="AV225" s="199">
        <f t="shared" si="213"/>
        <v>1</v>
      </c>
      <c r="AW225" s="199">
        <f t="shared" si="213"/>
        <v>1</v>
      </c>
      <c r="AX225" s="199" t="e">
        <f t="shared" si="213"/>
        <v>#N/A</v>
      </c>
      <c r="AY225" s="199" t="e">
        <f t="shared" si="213"/>
        <v>#N/A</v>
      </c>
    </row>
    <row r="226" spans="1:58" s="127" customFormat="1">
      <c r="A226" s="126" t="s">
        <v>16</v>
      </c>
      <c r="B226" s="127" t="s">
        <v>394</v>
      </c>
      <c r="K226" s="203">
        <f>IF(ISNA(K223),-1,IF(ISNA(K225),99,IF(ISNA(K224),K223,0)))</f>
        <v>0</v>
      </c>
      <c r="L226" s="203">
        <f>IF(ISNA(L223),-1,IF(ISNA(L225),99,IF(ISNA(L224),L223,0)))</f>
        <v>1</v>
      </c>
      <c r="M226" s="203">
        <f t="shared" ref="M226:AY226" si="214">IF(ISNA(M223),-1,IF(ISNA(M225),99,IF(ISNA(M224),M223,0)))</f>
        <v>1</v>
      </c>
      <c r="N226" s="203">
        <f t="shared" si="214"/>
        <v>0</v>
      </c>
      <c r="O226" s="203">
        <f t="shared" si="214"/>
        <v>2</v>
      </c>
      <c r="P226" s="203">
        <f t="shared" si="214"/>
        <v>0</v>
      </c>
      <c r="Q226" s="203">
        <f t="shared" si="214"/>
        <v>3</v>
      </c>
      <c r="R226" s="203">
        <f t="shared" si="214"/>
        <v>3</v>
      </c>
      <c r="S226" s="203">
        <f t="shared" si="214"/>
        <v>0</v>
      </c>
      <c r="T226" s="203">
        <f t="shared" si="214"/>
        <v>4</v>
      </c>
      <c r="U226" s="203">
        <f t="shared" si="214"/>
        <v>4</v>
      </c>
      <c r="V226" s="203">
        <f t="shared" si="214"/>
        <v>4</v>
      </c>
      <c r="W226" s="203">
        <f t="shared" si="214"/>
        <v>4</v>
      </c>
      <c r="X226" s="203">
        <f t="shared" si="214"/>
        <v>4</v>
      </c>
      <c r="Y226" s="203">
        <f t="shared" si="214"/>
        <v>4</v>
      </c>
      <c r="Z226" s="203">
        <f t="shared" si="214"/>
        <v>4</v>
      </c>
      <c r="AA226" s="203">
        <f t="shared" si="214"/>
        <v>4</v>
      </c>
      <c r="AB226" s="203">
        <f t="shared" si="214"/>
        <v>4</v>
      </c>
      <c r="AC226" s="203">
        <f t="shared" si="214"/>
        <v>0</v>
      </c>
      <c r="AD226" s="203">
        <f t="shared" si="214"/>
        <v>5</v>
      </c>
      <c r="AE226" s="203">
        <f t="shared" si="214"/>
        <v>5</v>
      </c>
      <c r="AF226" s="203">
        <f t="shared" si="214"/>
        <v>5</v>
      </c>
      <c r="AG226" s="203">
        <f t="shared" si="214"/>
        <v>5</v>
      </c>
      <c r="AH226" s="203">
        <f t="shared" si="214"/>
        <v>5</v>
      </c>
      <c r="AI226" s="203">
        <f t="shared" si="214"/>
        <v>5</v>
      </c>
      <c r="AJ226" s="203">
        <f t="shared" si="214"/>
        <v>5</v>
      </c>
      <c r="AK226" s="203">
        <f t="shared" si="214"/>
        <v>5</v>
      </c>
      <c r="AL226" s="203">
        <f t="shared" si="214"/>
        <v>5</v>
      </c>
      <c r="AM226" s="203">
        <f t="shared" si="214"/>
        <v>0</v>
      </c>
      <c r="AN226" s="203">
        <f t="shared" si="214"/>
        <v>6</v>
      </c>
      <c r="AO226" s="203">
        <f t="shared" si="214"/>
        <v>6</v>
      </c>
      <c r="AP226" s="203">
        <f t="shared" si="214"/>
        <v>6</v>
      </c>
      <c r="AQ226" s="203">
        <f t="shared" si="214"/>
        <v>6</v>
      </c>
      <c r="AR226" s="203">
        <f t="shared" si="214"/>
        <v>6</v>
      </c>
      <c r="AS226" s="203">
        <f t="shared" si="214"/>
        <v>6</v>
      </c>
      <c r="AT226" s="203">
        <f t="shared" si="214"/>
        <v>6</v>
      </c>
      <c r="AU226" s="203">
        <f t="shared" si="214"/>
        <v>6</v>
      </c>
      <c r="AV226" s="203">
        <f t="shared" si="214"/>
        <v>6</v>
      </c>
      <c r="AW226" s="203">
        <f t="shared" si="214"/>
        <v>0</v>
      </c>
      <c r="AX226" s="203">
        <f t="shared" si="214"/>
        <v>99</v>
      </c>
      <c r="AY226" s="203">
        <f t="shared" si="214"/>
        <v>99</v>
      </c>
      <c r="BA226" s="203"/>
      <c r="BB226" s="203"/>
      <c r="BC226" s="203"/>
      <c r="BD226" s="203"/>
      <c r="BE226" s="203"/>
      <c r="BF226" s="203"/>
    </row>
    <row r="227" spans="1:58">
      <c r="A227" s="199" t="s">
        <v>16</v>
      </c>
      <c r="C227" s="16"/>
      <c r="D227" s="16"/>
      <c r="E227" s="16"/>
      <c r="F227" s="16"/>
      <c r="G227" s="16"/>
      <c r="H227" s="16" t="s">
        <v>434</v>
      </c>
      <c r="I227" s="16"/>
      <c r="J227" s="18">
        <v>2012</v>
      </c>
      <c r="K227" s="18">
        <f>1+J227</f>
        <v>2013</v>
      </c>
      <c r="L227" s="18">
        <f t="shared" ref="L227:AV227" si="215">1+K227</f>
        <v>2014</v>
      </c>
      <c r="M227" s="18">
        <f>1+L227</f>
        <v>2015</v>
      </c>
      <c r="N227" s="18">
        <f t="shared" si="215"/>
        <v>2016</v>
      </c>
      <c r="O227" s="18">
        <f t="shared" si="215"/>
        <v>2017</v>
      </c>
      <c r="P227" s="18">
        <f t="shared" si="215"/>
        <v>2018</v>
      </c>
      <c r="Q227" s="18">
        <f t="shared" si="215"/>
        <v>2019</v>
      </c>
      <c r="R227" s="18">
        <f t="shared" si="215"/>
        <v>2020</v>
      </c>
      <c r="S227" s="18">
        <f t="shared" si="215"/>
        <v>2021</v>
      </c>
      <c r="T227" s="18">
        <f t="shared" si="215"/>
        <v>2022</v>
      </c>
      <c r="U227" s="18">
        <f t="shared" si="215"/>
        <v>2023</v>
      </c>
      <c r="V227" s="18">
        <f t="shared" si="215"/>
        <v>2024</v>
      </c>
      <c r="W227" s="18">
        <f t="shared" si="215"/>
        <v>2025</v>
      </c>
      <c r="X227" s="18">
        <f t="shared" si="215"/>
        <v>2026</v>
      </c>
      <c r="Y227" s="18">
        <f t="shared" si="215"/>
        <v>2027</v>
      </c>
      <c r="Z227" s="18">
        <f t="shared" si="215"/>
        <v>2028</v>
      </c>
      <c r="AA227" s="18">
        <f t="shared" si="215"/>
        <v>2029</v>
      </c>
      <c r="AB227" s="18">
        <f t="shared" si="215"/>
        <v>2030</v>
      </c>
      <c r="AC227" s="18">
        <f t="shared" si="215"/>
        <v>2031</v>
      </c>
      <c r="AD227" s="18">
        <f t="shared" si="215"/>
        <v>2032</v>
      </c>
      <c r="AE227" s="18">
        <f t="shared" si="215"/>
        <v>2033</v>
      </c>
      <c r="AF227" s="18">
        <f t="shared" si="215"/>
        <v>2034</v>
      </c>
      <c r="AG227" s="18">
        <f t="shared" si="215"/>
        <v>2035</v>
      </c>
      <c r="AH227" s="18">
        <f t="shared" si="215"/>
        <v>2036</v>
      </c>
      <c r="AI227" s="18">
        <f t="shared" si="215"/>
        <v>2037</v>
      </c>
      <c r="AJ227" s="18">
        <f t="shared" si="215"/>
        <v>2038</v>
      </c>
      <c r="AK227" s="18">
        <f t="shared" si="215"/>
        <v>2039</v>
      </c>
      <c r="AL227" s="18">
        <f t="shared" si="215"/>
        <v>2040</v>
      </c>
      <c r="AM227" s="18">
        <f t="shared" si="215"/>
        <v>2041</v>
      </c>
      <c r="AN227" s="18">
        <f t="shared" si="215"/>
        <v>2042</v>
      </c>
      <c r="AO227" s="18">
        <f t="shared" si="215"/>
        <v>2043</v>
      </c>
      <c r="AP227" s="18">
        <f t="shared" si="215"/>
        <v>2044</v>
      </c>
      <c r="AQ227" s="18">
        <f t="shared" si="215"/>
        <v>2045</v>
      </c>
      <c r="AR227" s="18">
        <f t="shared" si="215"/>
        <v>2046</v>
      </c>
      <c r="AS227" s="18">
        <f t="shared" si="215"/>
        <v>2047</v>
      </c>
      <c r="AT227" s="18">
        <f t="shared" si="215"/>
        <v>2048</v>
      </c>
      <c r="AU227" s="18">
        <f t="shared" si="215"/>
        <v>2049</v>
      </c>
      <c r="AV227" s="18">
        <f t="shared" si="215"/>
        <v>2050</v>
      </c>
      <c r="AW227" s="18">
        <v>2060</v>
      </c>
      <c r="AX227" s="18">
        <v>2070</v>
      </c>
      <c r="AZ227" s="18"/>
      <c r="BA227" s="18"/>
      <c r="BB227" s="18"/>
      <c r="BC227" s="18"/>
      <c r="BD227" s="18"/>
      <c r="BE227" s="18"/>
    </row>
    <row r="228" spans="1:58">
      <c r="A228" s="199" t="s">
        <v>16</v>
      </c>
      <c r="B228" s="22" t="str">
        <f t="shared" ref="B228:B233" si="216">IF(A228="*","","COM_PROJ")</f>
        <v/>
      </c>
      <c r="C228" s="23" t="str">
        <f t="shared" ref="C228:C233" si="217">IF($A228="*","","-")</f>
        <v/>
      </c>
      <c r="E228" s="23" t="str">
        <f t="shared" ref="E228:H233" si="218">IF($A228="*","","-")</f>
        <v/>
      </c>
      <c r="F228" s="23"/>
      <c r="G228" s="23" t="str">
        <f t="shared" si="218"/>
        <v/>
      </c>
      <c r="H228" s="23" t="str">
        <f t="shared" si="218"/>
        <v/>
      </c>
      <c r="I228" s="61" t="str">
        <f t="shared" ref="I228:I235" si="219">B161</f>
        <v>TPPRCAR</v>
      </c>
      <c r="J228" s="200">
        <f t="shared" ref="J228:J235" si="220">E161</f>
        <v>111.27634778039375</v>
      </c>
      <c r="K228" s="200">
        <f t="shared" ref="K228:AW228" si="221">IF(L$226=-1,L228,IF(L$226=99,J228,IF(L$226=0,INDEX($E161:$K161,0,L$224),(INDEX($E161:$K161,0,L$226+1)-INDEX($E161:$K161,0,L$226))/(INDEX($E$160:$K$160,0,L$226+1)-INDEX($E$160:$K$160,0,L$226))+J228)))</f>
        <v>111.36181711574586</v>
      </c>
      <c r="L228" s="200">
        <f t="shared" si="221"/>
        <v>111.44728645109798</v>
      </c>
      <c r="M228" s="200">
        <f t="shared" si="221"/>
        <v>111.53275578645008</v>
      </c>
      <c r="N228" s="200">
        <f t="shared" si="221"/>
        <v>131.22020950059064</v>
      </c>
      <c r="O228" s="200">
        <f t="shared" si="221"/>
        <v>150.9076632147312</v>
      </c>
      <c r="P228" s="200">
        <f t="shared" si="221"/>
        <v>151.39645629273656</v>
      </c>
      <c r="Q228" s="200">
        <f t="shared" si="221"/>
        <v>151.88524937074192</v>
      </c>
      <c r="R228" s="200">
        <f t="shared" si="221"/>
        <v>152.37404244874728</v>
      </c>
      <c r="S228" s="200">
        <f t="shared" si="221"/>
        <v>158.96031528187055</v>
      </c>
      <c r="T228" s="200">
        <f t="shared" si="221"/>
        <v>165.54658811499382</v>
      </c>
      <c r="U228" s="200">
        <f t="shared" si="221"/>
        <v>172.1328609481171</v>
      </c>
      <c r="V228" s="200">
        <f t="shared" si="221"/>
        <v>178.71913378124037</v>
      </c>
      <c r="W228" s="200">
        <f t="shared" si="221"/>
        <v>185.30540661436365</v>
      </c>
      <c r="X228" s="200">
        <f t="shared" si="221"/>
        <v>191.89167944748692</v>
      </c>
      <c r="Y228" s="200">
        <f t="shared" si="221"/>
        <v>198.4779522806102</v>
      </c>
      <c r="Z228" s="200">
        <f t="shared" si="221"/>
        <v>205.06422511373347</v>
      </c>
      <c r="AA228" s="200">
        <f t="shared" si="221"/>
        <v>211.65049794685675</v>
      </c>
      <c r="AB228" s="200">
        <f t="shared" si="221"/>
        <v>218.23677077998013</v>
      </c>
      <c r="AC228" s="200">
        <f t="shared" si="221"/>
        <v>224.99380975954642</v>
      </c>
      <c r="AD228" s="200">
        <f t="shared" si="221"/>
        <v>231.75084873911271</v>
      </c>
      <c r="AE228" s="200">
        <f t="shared" si="221"/>
        <v>238.507887718679</v>
      </c>
      <c r="AF228" s="200">
        <f t="shared" si="221"/>
        <v>245.26492669824529</v>
      </c>
      <c r="AG228" s="200">
        <f t="shared" si="221"/>
        <v>252.02196567781158</v>
      </c>
      <c r="AH228" s="200">
        <f t="shared" si="221"/>
        <v>258.77900465737787</v>
      </c>
      <c r="AI228" s="200">
        <f t="shared" si="221"/>
        <v>265.53604363694416</v>
      </c>
      <c r="AJ228" s="200">
        <f t="shared" si="221"/>
        <v>272.29308261651045</v>
      </c>
      <c r="AK228" s="200">
        <f t="shared" si="221"/>
        <v>279.05012159607674</v>
      </c>
      <c r="AL228" s="200">
        <f t="shared" si="221"/>
        <v>285.80716057564291</v>
      </c>
      <c r="AM228" s="200">
        <f t="shared" si="221"/>
        <v>290.56013088215667</v>
      </c>
      <c r="AN228" s="200">
        <f t="shared" si="221"/>
        <v>295.31310118867043</v>
      </c>
      <c r="AO228" s="200">
        <f t="shared" si="221"/>
        <v>300.06607149518419</v>
      </c>
      <c r="AP228" s="200">
        <f t="shared" si="221"/>
        <v>304.81904180169795</v>
      </c>
      <c r="AQ228" s="200">
        <f t="shared" si="221"/>
        <v>309.57201210821171</v>
      </c>
      <c r="AR228" s="200">
        <f t="shared" si="221"/>
        <v>314.32498241472547</v>
      </c>
      <c r="AS228" s="200">
        <f t="shared" si="221"/>
        <v>319.07795272123923</v>
      </c>
      <c r="AT228" s="200">
        <f t="shared" si="221"/>
        <v>323.83092302775299</v>
      </c>
      <c r="AU228" s="200">
        <f t="shared" si="221"/>
        <v>328.58389333426675</v>
      </c>
      <c r="AV228" s="200">
        <f t="shared" si="221"/>
        <v>333.33686364078045</v>
      </c>
      <c r="AW228" s="200">
        <f t="shared" si="221"/>
        <v>333.33686364078045</v>
      </c>
      <c r="AX228" s="200">
        <f t="shared" ref="AX228:AX235" si="222">IF(AY$226=-1,AZ228,IF(AY$226=99,AW228,IF(AY$226=0,INDEX($E161:$K161,0,AY$224),(INDEX($E161:$K161,0,AY$226+1)-INDEX($E161:$K161,0,AY$226))/(INDEX($E$160:$K$160,0,AY$226+1)-INDEX($E$160:$K$160,0,AY$226))+AW228)))</f>
        <v>333.33686364078045</v>
      </c>
      <c r="AZ228" s="200"/>
      <c r="BA228" s="200"/>
      <c r="BB228" s="200"/>
      <c r="BC228" s="200"/>
      <c r="BD228" s="200"/>
      <c r="BE228" s="200"/>
    </row>
    <row r="229" spans="1:58">
      <c r="A229" s="199" t="s">
        <v>16</v>
      </c>
      <c r="B229" s="22" t="str">
        <f t="shared" si="216"/>
        <v/>
      </c>
      <c r="C229" s="23" t="str">
        <f t="shared" si="217"/>
        <v/>
      </c>
      <c r="E229" s="23" t="str">
        <f t="shared" si="218"/>
        <v/>
      </c>
      <c r="F229" s="23"/>
      <c r="G229" s="23" t="str">
        <f t="shared" si="218"/>
        <v/>
      </c>
      <c r="H229" s="23" t="str">
        <f t="shared" si="218"/>
        <v/>
      </c>
      <c r="I229" s="61" t="str">
        <f t="shared" si="219"/>
        <v>TPPRSUV</v>
      </c>
      <c r="J229" s="200">
        <f t="shared" si="220"/>
        <v>12.776914029188886</v>
      </c>
      <c r="K229" s="200">
        <f t="shared" ref="K229:AW229" si="223">IF(L$226=-1,L229,IF(L$226=99,J229,IF(L$226=0,INDEX($E162:$K162,0,L$224),(INDEX($E162:$K162,0,L$226+1)-INDEX($E162:$K162,0,L$226))/(INDEX($E$160:$K$160,0,L$226+1)-INDEX($E$160:$K$160,0,L$226))+J229)))</f>
        <v>12.786727744068179</v>
      </c>
      <c r="L229" s="200">
        <f t="shared" si="223"/>
        <v>12.796541458947472</v>
      </c>
      <c r="M229" s="200">
        <f t="shared" si="223"/>
        <v>12.806355173826766</v>
      </c>
      <c r="N229" s="200">
        <f t="shared" si="223"/>
        <v>15.066897585369951</v>
      </c>
      <c r="O229" s="200">
        <f t="shared" si="223"/>
        <v>17.327439996913135</v>
      </c>
      <c r="P229" s="200">
        <f t="shared" si="223"/>
        <v>17.356352091227702</v>
      </c>
      <c r="Q229" s="200">
        <f t="shared" si="223"/>
        <v>17.385264185542269</v>
      </c>
      <c r="R229" s="200">
        <f t="shared" si="223"/>
        <v>17.414176279856832</v>
      </c>
      <c r="S229" s="200">
        <f t="shared" si="223"/>
        <v>18.153058557373441</v>
      </c>
      <c r="T229" s="200">
        <f t="shared" si="223"/>
        <v>18.89194083489005</v>
      </c>
      <c r="U229" s="200">
        <f t="shared" si="223"/>
        <v>19.630823112406659</v>
      </c>
      <c r="V229" s="200">
        <f t="shared" si="223"/>
        <v>20.369705389923269</v>
      </c>
      <c r="W229" s="200">
        <f t="shared" si="223"/>
        <v>21.108587667439878</v>
      </c>
      <c r="X229" s="200">
        <f t="shared" si="223"/>
        <v>21.847469944956487</v>
      </c>
      <c r="Y229" s="200">
        <f t="shared" si="223"/>
        <v>22.586352222473096</v>
      </c>
      <c r="Z229" s="200">
        <f t="shared" si="223"/>
        <v>23.325234499989705</v>
      </c>
      <c r="AA229" s="200">
        <f t="shared" si="223"/>
        <v>24.064116777506314</v>
      </c>
      <c r="AB229" s="200">
        <f t="shared" si="223"/>
        <v>24.80299905502293</v>
      </c>
      <c r="AC229" s="200">
        <f t="shared" si="223"/>
        <v>25.570948611946587</v>
      </c>
      <c r="AD229" s="200">
        <f t="shared" si="223"/>
        <v>26.338898168870244</v>
      </c>
      <c r="AE229" s="200">
        <f t="shared" si="223"/>
        <v>27.106847725793902</v>
      </c>
      <c r="AF229" s="200">
        <f t="shared" si="223"/>
        <v>27.874797282717559</v>
      </c>
      <c r="AG229" s="200">
        <f t="shared" si="223"/>
        <v>28.642746839641216</v>
      </c>
      <c r="AH229" s="200">
        <f t="shared" si="223"/>
        <v>29.410696396564873</v>
      </c>
      <c r="AI229" s="200">
        <f t="shared" si="223"/>
        <v>30.17864595348853</v>
      </c>
      <c r="AJ229" s="200">
        <f t="shared" si="223"/>
        <v>30.946595510412187</v>
      </c>
      <c r="AK229" s="200">
        <f t="shared" si="223"/>
        <v>31.714545067335845</v>
      </c>
      <c r="AL229" s="200">
        <f t="shared" si="223"/>
        <v>32.482494624259495</v>
      </c>
      <c r="AM229" s="200">
        <f t="shared" si="223"/>
        <v>33.022678194606875</v>
      </c>
      <c r="AN229" s="200">
        <f t="shared" si="223"/>
        <v>33.562861764954256</v>
      </c>
      <c r="AO229" s="200">
        <f t="shared" si="223"/>
        <v>34.103045335301637</v>
      </c>
      <c r="AP229" s="200">
        <f t="shared" si="223"/>
        <v>34.643228905649018</v>
      </c>
      <c r="AQ229" s="200">
        <f t="shared" si="223"/>
        <v>35.183412475996398</v>
      </c>
      <c r="AR229" s="200">
        <f t="shared" si="223"/>
        <v>35.723596046343779</v>
      </c>
      <c r="AS229" s="200">
        <f t="shared" si="223"/>
        <v>36.26377961669116</v>
      </c>
      <c r="AT229" s="200">
        <f t="shared" si="223"/>
        <v>36.803963187038541</v>
      </c>
      <c r="AU229" s="200">
        <f t="shared" si="223"/>
        <v>37.344146757385921</v>
      </c>
      <c r="AV229" s="200">
        <f t="shared" si="223"/>
        <v>37.884330327733316</v>
      </c>
      <c r="AW229" s="200">
        <f t="shared" si="223"/>
        <v>37.884330327733316</v>
      </c>
      <c r="AX229" s="200">
        <f t="shared" si="222"/>
        <v>37.884330327733316</v>
      </c>
      <c r="AZ229" s="200"/>
      <c r="BA229" s="200"/>
      <c r="BB229" s="200"/>
      <c r="BC229" s="200"/>
      <c r="BD229" s="200"/>
      <c r="BE229" s="200"/>
    </row>
    <row r="230" spans="1:58">
      <c r="A230" s="199" t="s">
        <v>16</v>
      </c>
      <c r="B230" s="22" t="str">
        <f t="shared" si="216"/>
        <v/>
      </c>
      <c r="C230" s="23" t="str">
        <f t="shared" si="217"/>
        <v/>
      </c>
      <c r="E230" s="23" t="str">
        <f t="shared" si="218"/>
        <v/>
      </c>
      <c r="F230" s="23"/>
      <c r="G230" s="23" t="str">
        <f t="shared" si="218"/>
        <v/>
      </c>
      <c r="H230" s="23" t="str">
        <f t="shared" si="218"/>
        <v/>
      </c>
      <c r="I230" s="61" t="str">
        <f t="shared" si="219"/>
        <v>TPPRMOT</v>
      </c>
      <c r="J230" s="200">
        <f t="shared" si="220"/>
        <v>4.3554548020513648</v>
      </c>
      <c r="K230" s="200">
        <f t="shared" ref="K230:AW230" si="224">IF(L$226=-1,L230,IF(L$226=99,J230,IF(L$226=0,INDEX($E163:$K163,0,L$224),(INDEX($E163:$K163,0,L$226+1)-INDEX($E163:$K163,0,L$226))/(INDEX($E$160:$K$160,0,L$226+1)-INDEX($E$160:$K$160,0,L$226))+J230)))</f>
        <v>3.9761748830239805</v>
      </c>
      <c r="L230" s="200">
        <f t="shared" si="224"/>
        <v>3.5968949639965961</v>
      </c>
      <c r="M230" s="200">
        <f t="shared" si="224"/>
        <v>3.2176150449692118</v>
      </c>
      <c r="N230" s="200">
        <f t="shared" si="224"/>
        <v>3.7855795574667099</v>
      </c>
      <c r="O230" s="200">
        <f t="shared" si="224"/>
        <v>4.3535440699642081</v>
      </c>
      <c r="P230" s="200">
        <f t="shared" si="224"/>
        <v>4.3535440699642081</v>
      </c>
      <c r="Q230" s="200">
        <f t="shared" si="224"/>
        <v>4.3535440699642081</v>
      </c>
      <c r="R230" s="200">
        <f t="shared" si="224"/>
        <v>4.3535440699642081</v>
      </c>
      <c r="S230" s="200">
        <f t="shared" si="224"/>
        <v>4.585881338338675</v>
      </c>
      <c r="T230" s="200">
        <f t="shared" si="224"/>
        <v>4.8182186067131418</v>
      </c>
      <c r="U230" s="200">
        <f t="shared" si="224"/>
        <v>5.0505558750876087</v>
      </c>
      <c r="V230" s="200">
        <f t="shared" si="224"/>
        <v>5.2828931434620756</v>
      </c>
      <c r="W230" s="200">
        <f t="shared" si="224"/>
        <v>5.5152304118365425</v>
      </c>
      <c r="X230" s="200">
        <f t="shared" si="224"/>
        <v>5.7475676802110094</v>
      </c>
      <c r="Y230" s="200">
        <f t="shared" si="224"/>
        <v>5.9799049485854763</v>
      </c>
      <c r="Z230" s="200">
        <f t="shared" si="224"/>
        <v>6.2122422169599432</v>
      </c>
      <c r="AA230" s="200">
        <f t="shared" si="224"/>
        <v>6.4445794853344101</v>
      </c>
      <c r="AB230" s="200">
        <f t="shared" si="224"/>
        <v>6.6769167537088769</v>
      </c>
      <c r="AC230" s="200">
        <f t="shared" si="224"/>
        <v>6.9509104487519018</v>
      </c>
      <c r="AD230" s="200">
        <f t="shared" si="224"/>
        <v>7.2249041437949266</v>
      </c>
      <c r="AE230" s="200">
        <f t="shared" si="224"/>
        <v>7.4988978388379515</v>
      </c>
      <c r="AF230" s="200">
        <f t="shared" si="224"/>
        <v>7.7728915338809763</v>
      </c>
      <c r="AG230" s="200">
        <f t="shared" si="224"/>
        <v>8.0468852289240012</v>
      </c>
      <c r="AH230" s="200">
        <f t="shared" si="224"/>
        <v>8.320878923967026</v>
      </c>
      <c r="AI230" s="200">
        <f t="shared" si="224"/>
        <v>8.5948726190100508</v>
      </c>
      <c r="AJ230" s="200">
        <f t="shared" si="224"/>
        <v>8.8688663140530757</v>
      </c>
      <c r="AK230" s="200">
        <f t="shared" si="224"/>
        <v>9.1428600090961005</v>
      </c>
      <c r="AL230" s="200">
        <f t="shared" si="224"/>
        <v>9.4168537041391236</v>
      </c>
      <c r="AM230" s="200">
        <f t="shared" si="224"/>
        <v>9.6649798528550637</v>
      </c>
      <c r="AN230" s="200">
        <f t="shared" si="224"/>
        <v>9.9131060015710037</v>
      </c>
      <c r="AO230" s="200">
        <f t="shared" si="224"/>
        <v>10.161232150286944</v>
      </c>
      <c r="AP230" s="200">
        <f t="shared" si="224"/>
        <v>10.409358299002884</v>
      </c>
      <c r="AQ230" s="200">
        <f t="shared" si="224"/>
        <v>10.657484447718824</v>
      </c>
      <c r="AR230" s="200">
        <f t="shared" si="224"/>
        <v>10.905610596434764</v>
      </c>
      <c r="AS230" s="200">
        <f t="shared" si="224"/>
        <v>11.153736745150704</v>
      </c>
      <c r="AT230" s="200">
        <f t="shared" si="224"/>
        <v>11.401862893866644</v>
      </c>
      <c r="AU230" s="200">
        <f t="shared" si="224"/>
        <v>11.649989042582584</v>
      </c>
      <c r="AV230" s="200">
        <f t="shared" si="224"/>
        <v>11.898115191298519</v>
      </c>
      <c r="AW230" s="200">
        <f t="shared" si="224"/>
        <v>11.898115191298519</v>
      </c>
      <c r="AX230" s="200">
        <f t="shared" si="222"/>
        <v>11.898115191298519</v>
      </c>
      <c r="AZ230" s="200"/>
      <c r="BA230" s="200"/>
      <c r="BB230" s="200"/>
      <c r="BC230" s="200"/>
      <c r="BD230" s="200"/>
      <c r="BE230" s="200"/>
    </row>
    <row r="231" spans="1:58">
      <c r="A231" s="199" t="s">
        <v>16</v>
      </c>
      <c r="B231" s="22" t="str">
        <f t="shared" si="216"/>
        <v/>
      </c>
      <c r="C231" s="23" t="str">
        <f t="shared" si="217"/>
        <v/>
      </c>
      <c r="E231" s="23" t="str">
        <f t="shared" si="218"/>
        <v/>
      </c>
      <c r="F231" s="23"/>
      <c r="G231" s="23" t="str">
        <f t="shared" si="218"/>
        <v/>
      </c>
      <c r="H231" s="23" t="str">
        <f t="shared" si="218"/>
        <v/>
      </c>
      <c r="I231" s="61" t="str">
        <f t="shared" si="219"/>
        <v>TPPUBUS</v>
      </c>
      <c r="J231" s="200">
        <f t="shared" si="220"/>
        <v>15.449787242939724</v>
      </c>
      <c r="K231" s="200">
        <f t="shared" ref="K231:AW231" si="225">IF(L$226=-1,L231,IF(L$226=99,J231,IF(L$226=0,INDEX($E164:$K164,0,L$224),(INDEX($E164:$K164,0,L$226+1)-INDEX($E164:$K164,0,L$226))/(INDEX($E$160:$K$160,0,L$226+1)-INDEX($E$160:$K$160,0,L$226))+J231)))</f>
        <v>15.716524828626483</v>
      </c>
      <c r="L231" s="200">
        <f t="shared" si="225"/>
        <v>15.983262414313241</v>
      </c>
      <c r="M231" s="200">
        <f t="shared" si="225"/>
        <v>16.25</v>
      </c>
      <c r="N231" s="200">
        <f t="shared" si="225"/>
        <v>16.519303703621738</v>
      </c>
      <c r="O231" s="200">
        <f t="shared" si="225"/>
        <v>16.788607407243475</v>
      </c>
      <c r="P231" s="200">
        <f t="shared" si="225"/>
        <v>21.461430423284892</v>
      </c>
      <c r="Q231" s="200">
        <f t="shared" si="225"/>
        <v>26.134253439326308</v>
      </c>
      <c r="R231" s="200">
        <f t="shared" si="225"/>
        <v>30.807076455367728</v>
      </c>
      <c r="S231" s="200">
        <f t="shared" si="225"/>
        <v>29.837330431562958</v>
      </c>
      <c r="T231" s="200">
        <f t="shared" si="225"/>
        <v>28.867584407758187</v>
      </c>
      <c r="U231" s="200">
        <f t="shared" si="225"/>
        <v>27.897838383953417</v>
      </c>
      <c r="V231" s="200">
        <f t="shared" si="225"/>
        <v>26.928092360148646</v>
      </c>
      <c r="W231" s="200">
        <f t="shared" si="225"/>
        <v>25.958346336343876</v>
      </c>
      <c r="X231" s="200">
        <f t="shared" si="225"/>
        <v>24.988600312539106</v>
      </c>
      <c r="Y231" s="200">
        <f t="shared" si="225"/>
        <v>24.018854288734335</v>
      </c>
      <c r="Z231" s="200">
        <f t="shared" si="225"/>
        <v>23.049108264929565</v>
      </c>
      <c r="AA231" s="200">
        <f t="shared" si="225"/>
        <v>22.079362241124795</v>
      </c>
      <c r="AB231" s="200">
        <f t="shared" si="225"/>
        <v>21.109616217320024</v>
      </c>
      <c r="AC231" s="200">
        <f t="shared" si="225"/>
        <v>21.219662734066258</v>
      </c>
      <c r="AD231" s="200">
        <f t="shared" si="225"/>
        <v>21.329709250812492</v>
      </c>
      <c r="AE231" s="200">
        <f t="shared" si="225"/>
        <v>21.439755767558726</v>
      </c>
      <c r="AF231" s="200">
        <f t="shared" si="225"/>
        <v>21.54980228430496</v>
      </c>
      <c r="AG231" s="200">
        <f t="shared" si="225"/>
        <v>21.659848801051194</v>
      </c>
      <c r="AH231" s="200">
        <f t="shared" si="225"/>
        <v>21.769895317797427</v>
      </c>
      <c r="AI231" s="200">
        <f t="shared" si="225"/>
        <v>21.879941834543661</v>
      </c>
      <c r="AJ231" s="200">
        <f t="shared" si="225"/>
        <v>21.989988351289895</v>
      </c>
      <c r="AK231" s="200">
        <f t="shared" si="225"/>
        <v>22.100034868036129</v>
      </c>
      <c r="AL231" s="200">
        <f t="shared" si="225"/>
        <v>22.210081384782367</v>
      </c>
      <c r="AM231" s="200">
        <f t="shared" si="225"/>
        <v>22.470058812501666</v>
      </c>
      <c r="AN231" s="200">
        <f t="shared" si="225"/>
        <v>22.730036240220965</v>
      </c>
      <c r="AO231" s="200">
        <f t="shared" si="225"/>
        <v>22.990013667940264</v>
      </c>
      <c r="AP231" s="200">
        <f t="shared" si="225"/>
        <v>23.249991095659563</v>
      </c>
      <c r="AQ231" s="200">
        <f t="shared" si="225"/>
        <v>23.509968523378863</v>
      </c>
      <c r="AR231" s="200">
        <f t="shared" si="225"/>
        <v>23.769945951098162</v>
      </c>
      <c r="AS231" s="200">
        <f t="shared" si="225"/>
        <v>24.029923378817461</v>
      </c>
      <c r="AT231" s="200">
        <f t="shared" si="225"/>
        <v>24.28990080653676</v>
      </c>
      <c r="AU231" s="200">
        <f t="shared" si="225"/>
        <v>24.54987823425606</v>
      </c>
      <c r="AV231" s="200">
        <f t="shared" si="225"/>
        <v>24.809855661975359</v>
      </c>
      <c r="AW231" s="200">
        <f t="shared" si="225"/>
        <v>24.809855661975359</v>
      </c>
      <c r="AX231" s="200">
        <f t="shared" si="222"/>
        <v>24.809855661975359</v>
      </c>
      <c r="AZ231" s="200"/>
      <c r="BA231" s="200"/>
      <c r="BB231" s="200"/>
      <c r="BC231" s="200"/>
      <c r="BD231" s="200"/>
      <c r="BE231" s="200"/>
    </row>
    <row r="232" spans="1:58">
      <c r="A232" s="199" t="s">
        <v>16</v>
      </c>
      <c r="B232" s="22" t="str">
        <f t="shared" si="216"/>
        <v/>
      </c>
      <c r="C232" s="23" t="str">
        <f t="shared" si="217"/>
        <v/>
      </c>
      <c r="E232" s="23" t="str">
        <f t="shared" si="218"/>
        <v/>
      </c>
      <c r="F232" s="23"/>
      <c r="G232" s="23" t="str">
        <f t="shared" si="218"/>
        <v/>
      </c>
      <c r="H232" s="23" t="str">
        <f t="shared" si="218"/>
        <v/>
      </c>
      <c r="I232" s="61" t="str">
        <f t="shared" si="219"/>
        <v>TPPUMBT</v>
      </c>
      <c r="J232" s="200">
        <f t="shared" si="220"/>
        <v>83.379895345312434</v>
      </c>
      <c r="K232" s="200">
        <f t="shared" ref="K232:AW232" si="226">IF(L$226=-1,L232,IF(L$226=99,J232,IF(L$226=0,INDEX($E165:$K165,0,L$224),(INDEX($E165:$K165,0,L$226+1)-INDEX($E165:$K165,0,L$226))/(INDEX($E$160:$K$160,0,L$226+1)-INDEX($E$160:$K$160,0,L$226))+J232)))</f>
        <v>87.786596896874954</v>
      </c>
      <c r="L232" s="200">
        <f t="shared" si="226"/>
        <v>92.193298448437474</v>
      </c>
      <c r="M232" s="200">
        <f t="shared" si="226"/>
        <v>96.600000000000009</v>
      </c>
      <c r="N232" s="200">
        <f t="shared" si="226"/>
        <v>98.297871000000015</v>
      </c>
      <c r="O232" s="200">
        <f t="shared" si="226"/>
        <v>99.995742000000007</v>
      </c>
      <c r="P232" s="200">
        <f t="shared" si="226"/>
        <v>99.04304447066346</v>
      </c>
      <c r="Q232" s="200">
        <f t="shared" si="226"/>
        <v>98.090346941326914</v>
      </c>
      <c r="R232" s="200">
        <f t="shared" si="226"/>
        <v>97.137649411990381</v>
      </c>
      <c r="S232" s="200">
        <f t="shared" si="226"/>
        <v>98.592012510089702</v>
      </c>
      <c r="T232" s="200">
        <f t="shared" si="226"/>
        <v>100.04637560818902</v>
      </c>
      <c r="U232" s="200">
        <f t="shared" si="226"/>
        <v>101.50073870628835</v>
      </c>
      <c r="V232" s="200">
        <f t="shared" si="226"/>
        <v>102.95510180438767</v>
      </c>
      <c r="W232" s="200">
        <f t="shared" si="226"/>
        <v>104.40946490248699</v>
      </c>
      <c r="X232" s="200">
        <f t="shared" si="226"/>
        <v>105.86382800058631</v>
      </c>
      <c r="Y232" s="200">
        <f t="shared" si="226"/>
        <v>107.31819109868563</v>
      </c>
      <c r="Z232" s="200">
        <f t="shared" si="226"/>
        <v>108.77255419678495</v>
      </c>
      <c r="AA232" s="200">
        <f t="shared" si="226"/>
        <v>110.22691729488427</v>
      </c>
      <c r="AB232" s="200">
        <f t="shared" si="226"/>
        <v>111.68128039298364</v>
      </c>
      <c r="AC232" s="200">
        <f t="shared" si="226"/>
        <v>112.26348595117486</v>
      </c>
      <c r="AD232" s="200">
        <f t="shared" si="226"/>
        <v>112.84569150936608</v>
      </c>
      <c r="AE232" s="200">
        <f t="shared" si="226"/>
        <v>113.4278970675573</v>
      </c>
      <c r="AF232" s="200">
        <f t="shared" si="226"/>
        <v>114.01010262574852</v>
      </c>
      <c r="AG232" s="200">
        <f t="shared" si="226"/>
        <v>114.59230818393974</v>
      </c>
      <c r="AH232" s="200">
        <f t="shared" si="226"/>
        <v>115.17451374213096</v>
      </c>
      <c r="AI232" s="200">
        <f t="shared" si="226"/>
        <v>115.75671930032217</v>
      </c>
      <c r="AJ232" s="200">
        <f t="shared" si="226"/>
        <v>116.33892485851339</v>
      </c>
      <c r="AK232" s="200">
        <f t="shared" si="226"/>
        <v>116.92113041670461</v>
      </c>
      <c r="AL232" s="200">
        <f t="shared" si="226"/>
        <v>117.50333597489589</v>
      </c>
      <c r="AM232" s="200">
        <f t="shared" si="226"/>
        <v>118.87875709587028</v>
      </c>
      <c r="AN232" s="200">
        <f t="shared" si="226"/>
        <v>120.25417821684468</v>
      </c>
      <c r="AO232" s="200">
        <f t="shared" si="226"/>
        <v>121.62959933781907</v>
      </c>
      <c r="AP232" s="200">
        <f t="shared" si="226"/>
        <v>123.00502045879347</v>
      </c>
      <c r="AQ232" s="200">
        <f t="shared" si="226"/>
        <v>124.38044157976786</v>
      </c>
      <c r="AR232" s="200">
        <f t="shared" si="226"/>
        <v>125.75586270074226</v>
      </c>
      <c r="AS232" s="200">
        <f t="shared" si="226"/>
        <v>127.13128382171665</v>
      </c>
      <c r="AT232" s="200">
        <f t="shared" si="226"/>
        <v>128.50670494269104</v>
      </c>
      <c r="AU232" s="200">
        <f t="shared" si="226"/>
        <v>129.88212606366545</v>
      </c>
      <c r="AV232" s="200">
        <f t="shared" si="226"/>
        <v>131.25754718463989</v>
      </c>
      <c r="AW232" s="200">
        <f t="shared" si="226"/>
        <v>131.25754718463989</v>
      </c>
      <c r="AX232" s="200">
        <f t="shared" si="222"/>
        <v>131.25754718463989</v>
      </c>
      <c r="AZ232" s="200"/>
      <c r="BA232" s="200"/>
      <c r="BB232" s="200"/>
      <c r="BC232" s="200"/>
      <c r="BD232" s="200"/>
      <c r="BE232" s="200"/>
    </row>
    <row r="233" spans="1:58">
      <c r="A233" s="199" t="s">
        <v>16</v>
      </c>
      <c r="B233" s="22" t="str">
        <f t="shared" si="216"/>
        <v/>
      </c>
      <c r="C233" s="23" t="str">
        <f t="shared" si="217"/>
        <v/>
      </c>
      <c r="E233" s="23" t="str">
        <f t="shared" si="218"/>
        <v/>
      </c>
      <c r="F233" s="23"/>
      <c r="G233" s="23" t="str">
        <f t="shared" si="218"/>
        <v/>
      </c>
      <c r="H233" s="23" t="str">
        <f t="shared" si="218"/>
        <v/>
      </c>
      <c r="I233" s="61" t="str">
        <f t="shared" si="219"/>
        <v>TPPUBRT</v>
      </c>
      <c r="J233" s="200">
        <f t="shared" si="220"/>
        <v>0.52646576779622667</v>
      </c>
      <c r="K233" s="200">
        <f t="shared" ref="K233:AW233" si="227">IF(L$226=-1,L233,IF(L$226=99,J233,IF(L$226=0,INDEX($E166:$K166,0,L$224),(INDEX($E166:$K166,0,L$226+1)-INDEX($E166:$K166,0,L$226))/(INDEX($E$160:$K$160,0,L$226+1)-INDEX($E$160:$K$160,0,L$226))+J233)))</f>
        <v>0.54227910590080242</v>
      </c>
      <c r="L233" s="200">
        <f t="shared" si="227"/>
        <v>0.55809244400537816</v>
      </c>
      <c r="M233" s="200">
        <f t="shared" si="227"/>
        <v>0.57390578210995402</v>
      </c>
      <c r="N233" s="200">
        <f t="shared" si="227"/>
        <v>0.58948822363313702</v>
      </c>
      <c r="O233" s="200">
        <f t="shared" si="227"/>
        <v>0.60507066515632002</v>
      </c>
      <c r="P233" s="200">
        <f t="shared" si="227"/>
        <v>2.2969586434125464</v>
      </c>
      <c r="Q233" s="200">
        <f t="shared" si="227"/>
        <v>3.988846621668773</v>
      </c>
      <c r="R233" s="200">
        <f t="shared" si="227"/>
        <v>5.6807345999249996</v>
      </c>
      <c r="S233" s="200">
        <f t="shared" si="227"/>
        <v>6.628789596065916</v>
      </c>
      <c r="T233" s="200">
        <f t="shared" si="227"/>
        <v>7.5768445922068324</v>
      </c>
      <c r="U233" s="200">
        <f t="shared" si="227"/>
        <v>8.5248995883477487</v>
      </c>
      <c r="V233" s="200">
        <f t="shared" si="227"/>
        <v>9.4729545844886651</v>
      </c>
      <c r="W233" s="200">
        <f t="shared" si="227"/>
        <v>10.421009580629581</v>
      </c>
      <c r="X233" s="200">
        <f t="shared" si="227"/>
        <v>11.369064576770498</v>
      </c>
      <c r="Y233" s="200">
        <f t="shared" si="227"/>
        <v>12.317119572911414</v>
      </c>
      <c r="Z233" s="200">
        <f t="shared" si="227"/>
        <v>13.265174569052331</v>
      </c>
      <c r="AA233" s="200">
        <f t="shared" si="227"/>
        <v>14.213229565193247</v>
      </c>
      <c r="AB233" s="200">
        <f t="shared" si="227"/>
        <v>15.161284561334165</v>
      </c>
      <c r="AC233" s="200">
        <f t="shared" si="227"/>
        <v>16.535653267552295</v>
      </c>
      <c r="AD233" s="200">
        <f t="shared" si="227"/>
        <v>17.910021973770426</v>
      </c>
      <c r="AE233" s="200">
        <f t="shared" si="227"/>
        <v>19.284390679988558</v>
      </c>
      <c r="AF233" s="200">
        <f t="shared" si="227"/>
        <v>20.65875938620669</v>
      </c>
      <c r="AG233" s="200">
        <f t="shared" si="227"/>
        <v>22.033128092424821</v>
      </c>
      <c r="AH233" s="200">
        <f t="shared" si="227"/>
        <v>23.407496798642953</v>
      </c>
      <c r="AI233" s="200">
        <f t="shared" si="227"/>
        <v>24.781865504861084</v>
      </c>
      <c r="AJ233" s="200">
        <f t="shared" si="227"/>
        <v>26.156234211079216</v>
      </c>
      <c r="AK233" s="200">
        <f t="shared" si="227"/>
        <v>27.530602917297347</v>
      </c>
      <c r="AL233" s="200">
        <f t="shared" si="227"/>
        <v>28.904971623515472</v>
      </c>
      <c r="AM233" s="200">
        <f t="shared" si="227"/>
        <v>30.370310216815501</v>
      </c>
      <c r="AN233" s="200">
        <f t="shared" si="227"/>
        <v>31.835648810115529</v>
      </c>
      <c r="AO233" s="200">
        <f t="shared" si="227"/>
        <v>33.300987403415562</v>
      </c>
      <c r="AP233" s="200">
        <f t="shared" si="227"/>
        <v>34.766325996715594</v>
      </c>
      <c r="AQ233" s="200">
        <f t="shared" si="227"/>
        <v>36.231664590015626</v>
      </c>
      <c r="AR233" s="200">
        <f t="shared" si="227"/>
        <v>37.697003183315658</v>
      </c>
      <c r="AS233" s="200">
        <f t="shared" si="227"/>
        <v>39.16234177661569</v>
      </c>
      <c r="AT233" s="200">
        <f t="shared" si="227"/>
        <v>40.627680369915723</v>
      </c>
      <c r="AU233" s="200">
        <f t="shared" si="227"/>
        <v>42.093018963215755</v>
      </c>
      <c r="AV233" s="200">
        <f t="shared" si="227"/>
        <v>43.558357556515766</v>
      </c>
      <c r="AW233" s="200">
        <f t="shared" si="227"/>
        <v>43.558357556515766</v>
      </c>
      <c r="AX233" s="200">
        <f t="shared" si="222"/>
        <v>43.558357556515766</v>
      </c>
      <c r="AZ233" s="200"/>
      <c r="BA233" s="200"/>
      <c r="BB233" s="200"/>
      <c r="BC233" s="200"/>
      <c r="BD233" s="200"/>
      <c r="BE233" s="200"/>
    </row>
    <row r="234" spans="1:58">
      <c r="A234" s="199" t="s">
        <v>16</v>
      </c>
      <c r="B234" s="22"/>
      <c r="C234" s="23"/>
      <c r="E234" s="23"/>
      <c r="F234" s="23"/>
      <c r="G234" s="23"/>
      <c r="H234" s="23"/>
      <c r="I234" s="61" t="str">
        <f t="shared" si="219"/>
        <v>TPPUMER</v>
      </c>
      <c r="J234" s="200">
        <f t="shared" si="220"/>
        <v>14.481708081439214</v>
      </c>
      <c r="K234" s="200">
        <f t="shared" ref="K234:AW234" si="228">IF(L$226=-1,L234,IF(L$226=99,J234,IF(L$226=0,INDEX($E167:$K167,0,L$224),(INDEX($E167:$K167,0,L$226+1)-INDEX($E167:$K167,0,L$226))/(INDEX($E$160:$K$160,0,L$226+1)-INDEX($E$160:$K$160,0,L$226))+J234)))</f>
        <v>13.645324247300293</v>
      </c>
      <c r="L234" s="200">
        <f t="shared" si="228"/>
        <v>12.808940413161372</v>
      </c>
      <c r="M234" s="200">
        <f t="shared" si="228"/>
        <v>11.972556579022449</v>
      </c>
      <c r="N234" s="200">
        <f t="shared" si="228"/>
        <v>10.722295372559355</v>
      </c>
      <c r="O234" s="200">
        <f t="shared" si="228"/>
        <v>9.4720341660962628</v>
      </c>
      <c r="P234" s="200">
        <f t="shared" si="228"/>
        <v>9.4755151099602379</v>
      </c>
      <c r="Q234" s="200">
        <f t="shared" si="228"/>
        <v>9.4789960538242131</v>
      </c>
      <c r="R234" s="200">
        <f t="shared" si="228"/>
        <v>9.4824769976881882</v>
      </c>
      <c r="S234" s="200">
        <f t="shared" si="228"/>
        <v>9.518393837780911</v>
      </c>
      <c r="T234" s="200">
        <f t="shared" si="228"/>
        <v>9.5543106778736338</v>
      </c>
      <c r="U234" s="200">
        <f t="shared" si="228"/>
        <v>9.5902275179663565</v>
      </c>
      <c r="V234" s="200">
        <f t="shared" si="228"/>
        <v>9.6261443580590793</v>
      </c>
      <c r="W234" s="200">
        <f t="shared" si="228"/>
        <v>9.6620611981518021</v>
      </c>
      <c r="X234" s="200">
        <f t="shared" si="228"/>
        <v>9.6979780382445249</v>
      </c>
      <c r="Y234" s="200">
        <f t="shared" si="228"/>
        <v>9.7338948783372476</v>
      </c>
      <c r="Z234" s="200">
        <f t="shared" si="228"/>
        <v>9.7698117184299704</v>
      </c>
      <c r="AA234" s="200">
        <f t="shared" si="228"/>
        <v>9.8057285585226932</v>
      </c>
      <c r="AB234" s="200">
        <f t="shared" si="228"/>
        <v>9.8416453986154089</v>
      </c>
      <c r="AC234" s="200">
        <f t="shared" si="228"/>
        <v>9.8929508692606127</v>
      </c>
      <c r="AD234" s="200">
        <f t="shared" si="228"/>
        <v>9.9442563399058166</v>
      </c>
      <c r="AE234" s="200">
        <f t="shared" si="228"/>
        <v>9.9955618105510204</v>
      </c>
      <c r="AF234" s="200">
        <f t="shared" si="228"/>
        <v>10.046867281196224</v>
      </c>
      <c r="AG234" s="200">
        <f t="shared" si="228"/>
        <v>10.098172751841428</v>
      </c>
      <c r="AH234" s="200">
        <f t="shared" si="228"/>
        <v>10.149478222486632</v>
      </c>
      <c r="AI234" s="200">
        <f t="shared" si="228"/>
        <v>10.200783693131836</v>
      </c>
      <c r="AJ234" s="200">
        <f t="shared" si="228"/>
        <v>10.25208916377704</v>
      </c>
      <c r="AK234" s="200">
        <f t="shared" si="228"/>
        <v>10.303394634422244</v>
      </c>
      <c r="AL234" s="200">
        <f t="shared" si="228"/>
        <v>10.354700105067447</v>
      </c>
      <c r="AM234" s="200">
        <f t="shared" si="228"/>
        <v>10.475905797720364</v>
      </c>
      <c r="AN234" s="200">
        <f t="shared" si="228"/>
        <v>10.59711149037328</v>
      </c>
      <c r="AO234" s="200">
        <f t="shared" si="228"/>
        <v>10.718317183026196</v>
      </c>
      <c r="AP234" s="200">
        <f t="shared" si="228"/>
        <v>10.839522875679112</v>
      </c>
      <c r="AQ234" s="200">
        <f t="shared" si="228"/>
        <v>10.960728568332028</v>
      </c>
      <c r="AR234" s="200">
        <f t="shared" si="228"/>
        <v>11.081934260984944</v>
      </c>
      <c r="AS234" s="200">
        <f t="shared" si="228"/>
        <v>11.20313995363786</v>
      </c>
      <c r="AT234" s="200">
        <f t="shared" si="228"/>
        <v>11.324345646290777</v>
      </c>
      <c r="AU234" s="200">
        <f t="shared" si="228"/>
        <v>11.445551338943693</v>
      </c>
      <c r="AV234" s="200">
        <f t="shared" si="228"/>
        <v>11.566757031596611</v>
      </c>
      <c r="AW234" s="200">
        <f t="shared" si="228"/>
        <v>11.566757031596611</v>
      </c>
      <c r="AX234" s="200">
        <f t="shared" si="222"/>
        <v>11.566757031596611</v>
      </c>
      <c r="AZ234" s="200"/>
      <c r="BA234" s="200"/>
      <c r="BB234" s="200"/>
      <c r="BC234" s="200"/>
      <c r="BD234" s="200"/>
      <c r="BE234" s="200"/>
    </row>
    <row r="235" spans="1:58">
      <c r="A235" s="199" t="s">
        <v>16</v>
      </c>
      <c r="B235" s="22"/>
      <c r="C235" s="23"/>
      <c r="E235" s="23"/>
      <c r="F235" s="23"/>
      <c r="G235" s="23"/>
      <c r="H235" s="23"/>
      <c r="I235" s="61" t="str">
        <f t="shared" si="219"/>
        <v>TPPUGAT</v>
      </c>
      <c r="J235" s="200">
        <f t="shared" si="220"/>
        <v>0.51926218869795138</v>
      </c>
      <c r="K235" s="200">
        <f t="shared" ref="K235:AW235" si="229">IF(L$226=-1,L235,IF(L$226=99,J235,IF(L$226=0,INDEX($E168:$K168,0,L$224),(INDEX($E168:$K168,0,L$226+1)-INDEX($E168:$K168,0,L$226))/(INDEX($E$160:$K$160,0,L$226+1)-INDEX($E$160:$K$160,0,L$226))+J235)))</f>
        <v>0.55134415393885639</v>
      </c>
      <c r="L235" s="200">
        <f t="shared" si="229"/>
        <v>0.58342611917976139</v>
      </c>
      <c r="M235" s="200">
        <f t="shared" si="229"/>
        <v>0.6155080844206664</v>
      </c>
      <c r="N235" s="200">
        <f t="shared" si="229"/>
        <v>0.64361620339743641</v>
      </c>
      <c r="O235" s="200">
        <f t="shared" si="229"/>
        <v>0.67172432237420632</v>
      </c>
      <c r="P235" s="200">
        <f t="shared" si="229"/>
        <v>0.68877277847748963</v>
      </c>
      <c r="Q235" s="200">
        <f t="shared" si="229"/>
        <v>0.70582123458077295</v>
      </c>
      <c r="R235" s="200">
        <f t="shared" si="229"/>
        <v>0.72286969068405627</v>
      </c>
      <c r="S235" s="200">
        <f t="shared" si="229"/>
        <v>0.76681963846418388</v>
      </c>
      <c r="T235" s="200">
        <f t="shared" si="229"/>
        <v>0.8107695862443115</v>
      </c>
      <c r="U235" s="200">
        <f t="shared" si="229"/>
        <v>0.85471953402443912</v>
      </c>
      <c r="V235" s="200">
        <f t="shared" si="229"/>
        <v>0.89866948180456674</v>
      </c>
      <c r="W235" s="200">
        <f t="shared" si="229"/>
        <v>0.94261942958469436</v>
      </c>
      <c r="X235" s="200">
        <f t="shared" si="229"/>
        <v>0.98656937736482198</v>
      </c>
      <c r="Y235" s="200">
        <f t="shared" si="229"/>
        <v>1.0305193251449496</v>
      </c>
      <c r="Z235" s="200">
        <f t="shared" si="229"/>
        <v>1.0744692729250771</v>
      </c>
      <c r="AA235" s="200">
        <f t="shared" si="229"/>
        <v>1.1184192207052046</v>
      </c>
      <c r="AB235" s="200">
        <f t="shared" si="229"/>
        <v>1.1623691684853323</v>
      </c>
      <c r="AC235" s="200">
        <f t="shared" si="229"/>
        <v>1.2144163304365445</v>
      </c>
      <c r="AD235" s="200">
        <f t="shared" si="229"/>
        <v>1.2664634923877567</v>
      </c>
      <c r="AE235" s="200">
        <f t="shared" si="229"/>
        <v>1.3185106543389689</v>
      </c>
      <c r="AF235" s="200">
        <f t="shared" si="229"/>
        <v>1.370557816290181</v>
      </c>
      <c r="AG235" s="200">
        <f t="shared" si="229"/>
        <v>1.4226049782413932</v>
      </c>
      <c r="AH235" s="200">
        <f t="shared" si="229"/>
        <v>1.4746521401926054</v>
      </c>
      <c r="AI235" s="200">
        <f t="shared" si="229"/>
        <v>1.5266993021438175</v>
      </c>
      <c r="AJ235" s="200">
        <f t="shared" si="229"/>
        <v>1.5787464640950297</v>
      </c>
      <c r="AK235" s="200">
        <f t="shared" si="229"/>
        <v>1.6307936260462419</v>
      </c>
      <c r="AL235" s="200">
        <f t="shared" si="229"/>
        <v>1.6828407879974545</v>
      </c>
      <c r="AM235" s="200">
        <f t="shared" si="229"/>
        <v>1.7351377206876641</v>
      </c>
      <c r="AN235" s="200">
        <f t="shared" si="229"/>
        <v>1.7874346533778738</v>
      </c>
      <c r="AO235" s="200">
        <f t="shared" si="229"/>
        <v>1.8397315860680834</v>
      </c>
      <c r="AP235" s="200">
        <f t="shared" si="229"/>
        <v>1.892028518758293</v>
      </c>
      <c r="AQ235" s="200">
        <f t="shared" si="229"/>
        <v>1.9443254514485027</v>
      </c>
      <c r="AR235" s="200">
        <f t="shared" si="229"/>
        <v>1.9966223841387123</v>
      </c>
      <c r="AS235" s="200">
        <f t="shared" si="229"/>
        <v>2.0489193168289219</v>
      </c>
      <c r="AT235" s="200">
        <f t="shared" si="229"/>
        <v>2.1012162495191316</v>
      </c>
      <c r="AU235" s="200">
        <f t="shared" si="229"/>
        <v>2.1535131822093412</v>
      </c>
      <c r="AV235" s="200">
        <f t="shared" si="229"/>
        <v>2.2058101148995513</v>
      </c>
      <c r="AW235" s="200">
        <f t="shared" si="229"/>
        <v>2.2058101148995513</v>
      </c>
      <c r="AX235" s="200">
        <f t="shared" si="222"/>
        <v>2.2058101148995513</v>
      </c>
      <c r="AZ235" s="200"/>
      <c r="BA235" s="200"/>
      <c r="BB235" s="200"/>
      <c r="BC235" s="200"/>
      <c r="BD235" s="200"/>
      <c r="BE235" s="200"/>
    </row>
    <row r="236" spans="1:58">
      <c r="B236" s="22"/>
      <c r="C236" s="23"/>
      <c r="E236" s="23"/>
      <c r="F236" s="23"/>
      <c r="G236" s="23"/>
      <c r="H236" s="23"/>
      <c r="I236" s="23"/>
      <c r="J236" s="23"/>
      <c r="K236" s="61"/>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c r="AQ236" s="200"/>
      <c r="AR236" s="200"/>
      <c r="AS236" s="200"/>
      <c r="AT236" s="200"/>
      <c r="AU236" s="200"/>
      <c r="AV236" s="200"/>
      <c r="AW236" s="200"/>
      <c r="AX236" s="200"/>
    </row>
    <row r="237" spans="1:58">
      <c r="B237" s="22"/>
      <c r="C237" s="23"/>
      <c r="E237" s="23"/>
      <c r="F237" s="23"/>
      <c r="G237" s="23"/>
      <c r="H237" s="23"/>
      <c r="I237" s="23"/>
      <c r="J237" s="23"/>
      <c r="K237" s="61"/>
      <c r="L237" s="200"/>
      <c r="M237" s="200"/>
      <c r="N237" s="200"/>
      <c r="O237" s="200"/>
      <c r="P237" s="200"/>
      <c r="Q237" s="200"/>
      <c r="R237" s="200"/>
      <c r="S237" s="200"/>
      <c r="T237" s="200"/>
      <c r="U237" s="200"/>
      <c r="V237" s="200"/>
      <c r="W237" s="200"/>
      <c r="X237" s="200"/>
      <c r="Y237" s="200"/>
      <c r="Z237" s="200"/>
      <c r="AA237" s="200"/>
      <c r="AB237" s="200"/>
      <c r="AC237" s="200"/>
      <c r="AD237" s="200"/>
      <c r="AE237" s="200"/>
      <c r="AF237" s="200"/>
      <c r="AG237" s="200"/>
      <c r="AH237" s="200"/>
      <c r="AI237" s="200"/>
      <c r="AJ237" s="200"/>
      <c r="AK237" s="200"/>
      <c r="AL237" s="200"/>
      <c r="AM237" s="200"/>
      <c r="AN237" s="200"/>
      <c r="AO237" s="200"/>
      <c r="AP237" s="200"/>
      <c r="AQ237" s="200"/>
      <c r="AR237" s="200"/>
      <c r="AS237" s="200"/>
      <c r="AT237" s="200"/>
      <c r="AU237" s="200"/>
      <c r="AV237" s="200"/>
      <c r="AW237" s="200"/>
      <c r="AX237" s="200"/>
    </row>
    <row r="238" spans="1:58">
      <c r="B238" s="22"/>
      <c r="C238" s="23"/>
      <c r="E238" s="23"/>
      <c r="F238" s="23"/>
      <c r="G238" s="23"/>
      <c r="H238" s="23"/>
      <c r="I238" s="23"/>
      <c r="J238" s="23"/>
      <c r="K238" s="61"/>
      <c r="L238" s="200"/>
      <c r="M238" s="200"/>
      <c r="N238" s="200"/>
      <c r="O238" s="200"/>
      <c r="P238" s="200"/>
      <c r="Q238" s="200"/>
      <c r="R238" s="200"/>
      <c r="S238" s="200"/>
      <c r="T238" s="200"/>
      <c r="U238" s="200"/>
      <c r="V238" s="200"/>
      <c r="W238" s="200"/>
      <c r="X238" s="200"/>
      <c r="Y238" s="200"/>
      <c r="Z238" s="200"/>
      <c r="AA238" s="200"/>
      <c r="AB238" s="200"/>
      <c r="AC238" s="200"/>
      <c r="AD238" s="200"/>
      <c r="AE238" s="200"/>
      <c r="AF238" s="200"/>
      <c r="AG238" s="200"/>
      <c r="AH238" s="200"/>
      <c r="AI238" s="200"/>
      <c r="AJ238" s="200"/>
      <c r="AK238" s="200"/>
      <c r="AL238" s="200"/>
      <c r="AM238" s="200"/>
      <c r="AN238" s="200"/>
      <c r="AO238" s="200"/>
      <c r="AP238" s="200"/>
      <c r="AQ238" s="200"/>
      <c r="AR238" s="200"/>
      <c r="AS238" s="200"/>
      <c r="AT238" s="200"/>
      <c r="AU238" s="200"/>
      <c r="AV238" s="200"/>
      <c r="AW238" s="200"/>
      <c r="AX238" s="200"/>
    </row>
    <row r="239" spans="1:58">
      <c r="B239" s="22"/>
      <c r="C239" s="23"/>
      <c r="E239" s="23"/>
      <c r="F239" s="23"/>
      <c r="G239" s="23"/>
      <c r="H239" s="23"/>
      <c r="I239" s="23"/>
      <c r="J239" s="23"/>
      <c r="K239" s="61"/>
      <c r="L239" s="200"/>
      <c r="M239" s="200"/>
      <c r="N239" s="200"/>
      <c r="O239" s="200"/>
      <c r="P239" s="200"/>
      <c r="Q239" s="200"/>
      <c r="R239" s="200"/>
      <c r="S239" s="200"/>
      <c r="T239" s="200"/>
      <c r="U239" s="200"/>
      <c r="V239" s="200"/>
      <c r="W239" s="200"/>
      <c r="X239" s="200"/>
      <c r="Y239" s="200"/>
      <c r="Z239" s="200"/>
      <c r="AA239" s="200"/>
      <c r="AB239" s="200"/>
      <c r="AC239" s="200"/>
      <c r="AD239" s="200"/>
      <c r="AE239" s="200"/>
      <c r="AF239" s="200"/>
      <c r="AG239" s="200"/>
      <c r="AH239" s="200"/>
      <c r="AI239" s="200"/>
      <c r="AJ239" s="200"/>
      <c r="AK239" s="200"/>
      <c r="AL239" s="200"/>
      <c r="AM239" s="200"/>
      <c r="AN239" s="200"/>
      <c r="AO239" s="200"/>
      <c r="AP239" s="200"/>
      <c r="AQ239" s="200"/>
      <c r="AR239" s="200"/>
      <c r="AS239" s="200"/>
      <c r="AT239" s="200"/>
      <c r="AU239" s="200"/>
      <c r="AV239" s="200"/>
      <c r="AW239" s="200"/>
      <c r="AX239" s="200"/>
    </row>
    <row r="240" spans="1:58">
      <c r="B240" s="22"/>
      <c r="C240" s="23"/>
      <c r="E240" s="23"/>
      <c r="F240" s="23"/>
      <c r="G240" s="23"/>
      <c r="H240" s="23"/>
      <c r="I240" s="23"/>
      <c r="J240" s="23"/>
      <c r="K240" s="61"/>
      <c r="L240" s="200"/>
      <c r="M240" s="200"/>
      <c r="N240" s="200"/>
      <c r="O240" s="200"/>
      <c r="P240" s="200"/>
      <c r="Q240" s="200"/>
      <c r="R240" s="200"/>
      <c r="S240" s="200"/>
      <c r="T240" s="200"/>
      <c r="U240" s="200"/>
      <c r="V240" s="200"/>
      <c r="W240" s="200"/>
      <c r="X240" s="200"/>
      <c r="Y240" s="200"/>
      <c r="Z240" s="200"/>
      <c r="AA240" s="200"/>
      <c r="AB240" s="200"/>
      <c r="AC240" s="200"/>
      <c r="AD240" s="200"/>
      <c r="AE240" s="200"/>
      <c r="AF240" s="200"/>
      <c r="AG240" s="200"/>
      <c r="AH240" s="200"/>
      <c r="AI240" s="200"/>
      <c r="AJ240" s="200"/>
      <c r="AK240" s="200"/>
      <c r="AL240" s="200"/>
      <c r="AM240" s="200"/>
      <c r="AN240" s="200"/>
      <c r="AO240" s="200"/>
      <c r="AP240" s="200"/>
      <c r="AQ240" s="200"/>
      <c r="AR240" s="200"/>
      <c r="AS240" s="200"/>
      <c r="AT240" s="200"/>
      <c r="AU240" s="200"/>
      <c r="AV240" s="200"/>
      <c r="AW240" s="200"/>
      <c r="AX240" s="200"/>
    </row>
    <row r="241" spans="1:58">
      <c r="B241" s="22"/>
      <c r="C241" s="23"/>
      <c r="E241" s="23"/>
      <c r="F241" s="23"/>
      <c r="G241" s="23"/>
      <c r="H241" s="23"/>
      <c r="I241" s="23"/>
      <c r="J241" s="23"/>
      <c r="K241" s="61"/>
      <c r="L241" s="200"/>
      <c r="M241" s="200"/>
      <c r="N241" s="200"/>
      <c r="O241" s="200"/>
      <c r="P241" s="200"/>
      <c r="Q241" s="200"/>
      <c r="R241" s="200"/>
      <c r="S241" s="200"/>
      <c r="T241" s="200"/>
      <c r="U241" s="200"/>
      <c r="V241" s="200"/>
      <c r="W241" s="200"/>
      <c r="X241" s="200"/>
      <c r="Y241" s="200"/>
      <c r="Z241" s="200"/>
      <c r="AA241" s="200"/>
      <c r="AB241" s="200"/>
      <c r="AC241" s="200"/>
      <c r="AD241" s="200"/>
      <c r="AE241" s="200"/>
      <c r="AF241" s="200"/>
      <c r="AG241" s="200"/>
      <c r="AH241" s="200"/>
      <c r="AI241" s="200"/>
      <c r="AJ241" s="200"/>
      <c r="AK241" s="200"/>
      <c r="AL241" s="200"/>
      <c r="AM241" s="200"/>
      <c r="AN241" s="200"/>
      <c r="AO241" s="200"/>
      <c r="AP241" s="200"/>
      <c r="AQ241" s="200"/>
      <c r="AR241" s="200"/>
      <c r="AS241" s="200"/>
      <c r="AT241" s="200"/>
      <c r="AU241" s="200"/>
      <c r="AV241" s="200"/>
      <c r="AW241" s="200"/>
      <c r="AX241" s="200"/>
    </row>
    <row r="242" spans="1:58">
      <c r="B242" s="22"/>
      <c r="C242" s="23"/>
      <c r="E242" s="23"/>
      <c r="F242" s="23"/>
      <c r="G242" s="23"/>
      <c r="H242" s="23"/>
      <c r="I242" s="23"/>
      <c r="J242" s="23"/>
      <c r="K242" s="61"/>
      <c r="L242" s="200"/>
      <c r="M242" s="200"/>
      <c r="N242" s="200"/>
      <c r="O242" s="200"/>
      <c r="P242" s="200"/>
      <c r="Q242" s="200"/>
      <c r="R242" s="200"/>
      <c r="S242" s="200"/>
      <c r="T242" s="200"/>
      <c r="U242" s="200"/>
      <c r="V242" s="200"/>
      <c r="W242" s="200"/>
      <c r="X242" s="200"/>
      <c r="Y242" s="200"/>
      <c r="Z242" s="200"/>
      <c r="AA242" s="200"/>
      <c r="AB242" s="200"/>
      <c r="AC242" s="200"/>
      <c r="AD242" s="200"/>
      <c r="AE242" s="200"/>
      <c r="AF242" s="200"/>
      <c r="AG242" s="200"/>
      <c r="AH242" s="200"/>
      <c r="AI242" s="200"/>
      <c r="AJ242" s="200"/>
      <c r="AK242" s="200"/>
      <c r="AL242" s="200"/>
      <c r="AM242" s="200"/>
      <c r="AN242" s="200"/>
      <c r="AO242" s="200"/>
      <c r="AP242" s="200"/>
      <c r="AQ242" s="200"/>
      <c r="AR242" s="200"/>
      <c r="AS242" s="200"/>
      <c r="AT242" s="200"/>
      <c r="AU242" s="200"/>
      <c r="AV242" s="200"/>
      <c r="AW242" s="200"/>
      <c r="AX242" s="200"/>
    </row>
    <row r="243" spans="1:58">
      <c r="A243" s="199" t="s">
        <v>16</v>
      </c>
      <c r="L243" s="199"/>
      <c r="M243" s="41"/>
    </row>
    <row r="244" spans="1:58">
      <c r="A244" s="199" t="s">
        <v>16</v>
      </c>
      <c r="C244" s="199">
        <f>C223</f>
        <v>1</v>
      </c>
      <c r="D244" s="199">
        <v>2012</v>
      </c>
      <c r="E244" s="199">
        <f>E223</f>
        <v>2015</v>
      </c>
      <c r="F244" s="199">
        <v>2017</v>
      </c>
      <c r="G244" s="199">
        <f>G223</f>
        <v>2020</v>
      </c>
      <c r="H244" s="199">
        <f>H223</f>
        <v>2030</v>
      </c>
      <c r="I244" s="199">
        <f t="shared" ref="I244:J244" si="230">I223</f>
        <v>2040</v>
      </c>
      <c r="J244" s="199">
        <f t="shared" si="230"/>
        <v>2050</v>
      </c>
      <c r="K244" s="199">
        <f>J223</f>
        <v>2050</v>
      </c>
      <c r="L244" s="124">
        <f>MATCH(J$254,$D$244:$K$244,$C244)</f>
        <v>1</v>
      </c>
      <c r="M244" s="205">
        <f t="shared" ref="M244:V245" si="231">MATCH(K$227,$D$223:$J$223,$C244)</f>
        <v>1</v>
      </c>
      <c r="N244" s="205">
        <f t="shared" si="231"/>
        <v>1</v>
      </c>
      <c r="O244" s="205">
        <f t="shared" si="231"/>
        <v>2</v>
      </c>
      <c r="P244" s="205">
        <f t="shared" si="231"/>
        <v>2</v>
      </c>
      <c r="Q244" s="205">
        <f t="shared" si="231"/>
        <v>3</v>
      </c>
      <c r="R244" s="205">
        <f t="shared" si="231"/>
        <v>3</v>
      </c>
      <c r="S244" s="205">
        <f t="shared" si="231"/>
        <v>3</v>
      </c>
      <c r="T244" s="205">
        <f t="shared" si="231"/>
        <v>4</v>
      </c>
      <c r="U244" s="205">
        <f t="shared" si="231"/>
        <v>4</v>
      </c>
      <c r="V244" s="205">
        <f t="shared" si="231"/>
        <v>4</v>
      </c>
      <c r="W244" s="205">
        <f t="shared" ref="W244:AF245" si="232">MATCH(U$227,$D$223:$J$223,$C244)</f>
        <v>4</v>
      </c>
      <c r="X244" s="205">
        <f t="shared" si="232"/>
        <v>4</v>
      </c>
      <c r="Y244" s="205">
        <f t="shared" si="232"/>
        <v>4</v>
      </c>
      <c r="Z244" s="205">
        <f t="shared" si="232"/>
        <v>4</v>
      </c>
      <c r="AA244" s="205">
        <f t="shared" si="232"/>
        <v>4</v>
      </c>
      <c r="AB244" s="205">
        <f t="shared" si="232"/>
        <v>4</v>
      </c>
      <c r="AC244" s="205">
        <f t="shared" si="232"/>
        <v>4</v>
      </c>
      <c r="AD244" s="205">
        <f t="shared" si="232"/>
        <v>5</v>
      </c>
      <c r="AE244" s="205">
        <f t="shared" si="232"/>
        <v>5</v>
      </c>
      <c r="AF244" s="205">
        <f t="shared" si="232"/>
        <v>5</v>
      </c>
      <c r="AG244" s="205">
        <f t="shared" ref="AG244:AP245" si="233">MATCH(AE$227,$D$223:$J$223,$C244)</f>
        <v>5</v>
      </c>
      <c r="AH244" s="205">
        <f t="shared" si="233"/>
        <v>5</v>
      </c>
      <c r="AI244" s="205">
        <f t="shared" si="233"/>
        <v>5</v>
      </c>
      <c r="AJ244" s="205">
        <f t="shared" si="233"/>
        <v>5</v>
      </c>
      <c r="AK244" s="205">
        <f t="shared" si="233"/>
        <v>5</v>
      </c>
      <c r="AL244" s="205">
        <f t="shared" si="233"/>
        <v>5</v>
      </c>
      <c r="AM244" s="205">
        <f t="shared" si="233"/>
        <v>5</v>
      </c>
      <c r="AN244" s="205">
        <f t="shared" si="233"/>
        <v>6</v>
      </c>
      <c r="AO244" s="205">
        <f t="shared" si="233"/>
        <v>6</v>
      </c>
      <c r="AP244" s="205">
        <f t="shared" si="233"/>
        <v>6</v>
      </c>
      <c r="AQ244" s="205">
        <f t="shared" ref="AQ244:AR245" si="234">MATCH(AO$227,$D$223:$J$223,$C244)</f>
        <v>6</v>
      </c>
      <c r="AR244" s="205">
        <f t="shared" si="234"/>
        <v>6</v>
      </c>
      <c r="AS244" s="205">
        <f t="shared" ref="AS244:BF245" si="235">MATCH(AQ$254,$D$223:$J$223,$C244)</f>
        <v>6</v>
      </c>
      <c r="AT244" s="205">
        <f t="shared" si="235"/>
        <v>6</v>
      </c>
      <c r="AU244" s="205">
        <f t="shared" si="235"/>
        <v>6</v>
      </c>
      <c r="AV244" s="205">
        <f t="shared" si="235"/>
        <v>6</v>
      </c>
      <c r="AW244" s="205">
        <f t="shared" si="235"/>
        <v>6</v>
      </c>
      <c r="AX244" s="205">
        <f t="shared" si="235"/>
        <v>7</v>
      </c>
      <c r="AY244" s="205">
        <f t="shared" si="235"/>
        <v>7</v>
      </c>
      <c r="AZ244" s="205">
        <f t="shared" si="235"/>
        <v>7</v>
      </c>
      <c r="BA244" s="205">
        <f t="shared" si="235"/>
        <v>7</v>
      </c>
      <c r="BB244" s="205">
        <f t="shared" si="235"/>
        <v>7</v>
      </c>
      <c r="BC244" s="205">
        <f t="shared" si="235"/>
        <v>7</v>
      </c>
      <c r="BD244" s="205">
        <f t="shared" si="235"/>
        <v>7</v>
      </c>
      <c r="BE244" s="205">
        <f t="shared" si="235"/>
        <v>7</v>
      </c>
      <c r="BF244" s="205">
        <f t="shared" si="235"/>
        <v>7</v>
      </c>
    </row>
    <row r="245" spans="1:58">
      <c r="A245" s="199" t="s">
        <v>16</v>
      </c>
      <c r="C245" s="199">
        <f>C224</f>
        <v>0</v>
      </c>
      <c r="D245" s="199">
        <f t="shared" ref="D245:J246" si="236">D224</f>
        <v>2050</v>
      </c>
      <c r="E245" s="199">
        <f t="shared" si="236"/>
        <v>2040</v>
      </c>
      <c r="F245" s="199">
        <f t="shared" si="236"/>
        <v>2030</v>
      </c>
      <c r="G245" s="199">
        <f t="shared" si="236"/>
        <v>2020</v>
      </c>
      <c r="H245" s="199">
        <f t="shared" si="236"/>
        <v>2017</v>
      </c>
      <c r="I245" s="199">
        <f t="shared" si="236"/>
        <v>2015</v>
      </c>
      <c r="J245" s="199">
        <f t="shared" si="236"/>
        <v>2006</v>
      </c>
      <c r="K245" s="199">
        <v>2012</v>
      </c>
      <c r="L245" s="41">
        <f>MATCH(J$254,$D$244:$K$244,$C245)</f>
        <v>1</v>
      </c>
      <c r="M245" s="199" t="e">
        <f t="shared" si="231"/>
        <v>#N/A</v>
      </c>
      <c r="N245" s="199" t="e">
        <f t="shared" si="231"/>
        <v>#N/A</v>
      </c>
      <c r="O245" s="199">
        <f t="shared" si="231"/>
        <v>2</v>
      </c>
      <c r="P245" s="199" t="e">
        <f t="shared" si="231"/>
        <v>#N/A</v>
      </c>
      <c r="Q245" s="199">
        <f t="shared" si="231"/>
        <v>3</v>
      </c>
      <c r="R245" s="199" t="e">
        <f t="shared" si="231"/>
        <v>#N/A</v>
      </c>
      <c r="S245" s="199" t="e">
        <f t="shared" si="231"/>
        <v>#N/A</v>
      </c>
      <c r="T245" s="199">
        <f t="shared" si="231"/>
        <v>4</v>
      </c>
      <c r="U245" s="199" t="e">
        <f t="shared" si="231"/>
        <v>#N/A</v>
      </c>
      <c r="V245" s="199" t="e">
        <f t="shared" si="231"/>
        <v>#N/A</v>
      </c>
      <c r="W245" s="199" t="e">
        <f t="shared" si="232"/>
        <v>#N/A</v>
      </c>
      <c r="X245" s="199" t="e">
        <f t="shared" si="232"/>
        <v>#N/A</v>
      </c>
      <c r="Y245" s="199" t="e">
        <f t="shared" si="232"/>
        <v>#N/A</v>
      </c>
      <c r="Z245" s="199" t="e">
        <f t="shared" si="232"/>
        <v>#N/A</v>
      </c>
      <c r="AA245" s="199" t="e">
        <f t="shared" si="232"/>
        <v>#N/A</v>
      </c>
      <c r="AB245" s="199" t="e">
        <f t="shared" si="232"/>
        <v>#N/A</v>
      </c>
      <c r="AC245" s="199" t="e">
        <f t="shared" si="232"/>
        <v>#N/A</v>
      </c>
      <c r="AD245" s="199">
        <f t="shared" si="232"/>
        <v>5</v>
      </c>
      <c r="AE245" s="199" t="e">
        <f t="shared" si="232"/>
        <v>#N/A</v>
      </c>
      <c r="AF245" s="199" t="e">
        <f t="shared" si="232"/>
        <v>#N/A</v>
      </c>
      <c r="AG245" s="199" t="e">
        <f t="shared" si="233"/>
        <v>#N/A</v>
      </c>
      <c r="AH245" s="199" t="e">
        <f t="shared" si="233"/>
        <v>#N/A</v>
      </c>
      <c r="AI245" s="199" t="e">
        <f t="shared" si="233"/>
        <v>#N/A</v>
      </c>
      <c r="AJ245" s="199" t="e">
        <f t="shared" si="233"/>
        <v>#N/A</v>
      </c>
      <c r="AK245" s="199" t="e">
        <f t="shared" si="233"/>
        <v>#N/A</v>
      </c>
      <c r="AL245" s="199" t="e">
        <f t="shared" si="233"/>
        <v>#N/A</v>
      </c>
      <c r="AM245" s="199" t="e">
        <f t="shared" si="233"/>
        <v>#N/A</v>
      </c>
      <c r="AN245" s="199">
        <f t="shared" si="233"/>
        <v>6</v>
      </c>
      <c r="AO245" s="199" t="e">
        <f t="shared" si="233"/>
        <v>#N/A</v>
      </c>
      <c r="AP245" s="199" t="e">
        <f t="shared" si="233"/>
        <v>#N/A</v>
      </c>
      <c r="AQ245" s="199" t="e">
        <f t="shared" si="234"/>
        <v>#N/A</v>
      </c>
      <c r="AR245" s="199" t="e">
        <f t="shared" si="234"/>
        <v>#N/A</v>
      </c>
      <c r="AS245" s="199" t="e">
        <f t="shared" si="235"/>
        <v>#N/A</v>
      </c>
      <c r="AT245" s="199" t="e">
        <f t="shared" si="235"/>
        <v>#N/A</v>
      </c>
      <c r="AU245" s="199" t="e">
        <f t="shared" si="235"/>
        <v>#N/A</v>
      </c>
      <c r="AV245" s="199" t="e">
        <f t="shared" si="235"/>
        <v>#N/A</v>
      </c>
      <c r="AW245" s="199" t="e">
        <f t="shared" si="235"/>
        <v>#N/A</v>
      </c>
      <c r="AX245" s="199">
        <f t="shared" si="235"/>
        <v>7</v>
      </c>
      <c r="AY245" s="199" t="e">
        <f t="shared" si="235"/>
        <v>#N/A</v>
      </c>
      <c r="AZ245" s="199" t="e">
        <f t="shared" si="235"/>
        <v>#N/A</v>
      </c>
      <c r="BA245" s="199" t="e">
        <f t="shared" si="235"/>
        <v>#N/A</v>
      </c>
      <c r="BB245" s="199" t="e">
        <f t="shared" si="235"/>
        <v>#N/A</v>
      </c>
      <c r="BC245" s="199" t="e">
        <f t="shared" si="235"/>
        <v>#N/A</v>
      </c>
      <c r="BD245" s="199" t="e">
        <f t="shared" si="235"/>
        <v>#N/A</v>
      </c>
      <c r="BE245" s="199" t="e">
        <f t="shared" si="235"/>
        <v>#N/A</v>
      </c>
      <c r="BF245" s="199" t="e">
        <f t="shared" si="235"/>
        <v>#N/A</v>
      </c>
    </row>
    <row r="246" spans="1:58">
      <c r="A246" s="199" t="s">
        <v>16</v>
      </c>
      <c r="C246" s="199">
        <f>C225</f>
        <v>-1</v>
      </c>
      <c r="D246" s="199">
        <f t="shared" si="236"/>
        <v>0</v>
      </c>
      <c r="E246" s="199">
        <f t="shared" si="236"/>
        <v>1</v>
      </c>
      <c r="F246" s="199">
        <v>2</v>
      </c>
      <c r="G246" s="199">
        <v>3</v>
      </c>
      <c r="H246" s="199">
        <v>4</v>
      </c>
      <c r="I246" s="199">
        <v>5</v>
      </c>
      <c r="J246" s="199">
        <v>6</v>
      </c>
      <c r="K246" s="199">
        <v>7</v>
      </c>
      <c r="L246" s="199">
        <f>MATCH(J$254,$D$245:$K$245,$C246)</f>
        <v>6</v>
      </c>
      <c r="M246" s="199">
        <f t="shared" ref="M246:AR246" si="237">MATCH(K$227,$D$224:$J$224,$C246)</f>
        <v>6</v>
      </c>
      <c r="N246" s="199">
        <f t="shared" si="237"/>
        <v>6</v>
      </c>
      <c r="O246" s="199">
        <f t="shared" si="237"/>
        <v>6</v>
      </c>
      <c r="P246" s="199">
        <f t="shared" si="237"/>
        <v>5</v>
      </c>
      <c r="Q246" s="199">
        <f t="shared" si="237"/>
        <v>5</v>
      </c>
      <c r="R246" s="199">
        <f t="shared" si="237"/>
        <v>4</v>
      </c>
      <c r="S246" s="199">
        <f t="shared" si="237"/>
        <v>4</v>
      </c>
      <c r="T246" s="199">
        <f t="shared" si="237"/>
        <v>4</v>
      </c>
      <c r="U246" s="199">
        <f t="shared" si="237"/>
        <v>3</v>
      </c>
      <c r="V246" s="199">
        <f t="shared" si="237"/>
        <v>3</v>
      </c>
      <c r="W246" s="199">
        <f t="shared" si="237"/>
        <v>3</v>
      </c>
      <c r="X246" s="199">
        <f t="shared" si="237"/>
        <v>3</v>
      </c>
      <c r="Y246" s="199">
        <f t="shared" si="237"/>
        <v>3</v>
      </c>
      <c r="Z246" s="199">
        <f t="shared" si="237"/>
        <v>3</v>
      </c>
      <c r="AA246" s="199">
        <f t="shared" si="237"/>
        <v>3</v>
      </c>
      <c r="AB246" s="199">
        <f t="shared" si="237"/>
        <v>3</v>
      </c>
      <c r="AC246" s="199">
        <f t="shared" si="237"/>
        <v>3</v>
      </c>
      <c r="AD246" s="199">
        <f t="shared" si="237"/>
        <v>3</v>
      </c>
      <c r="AE246" s="199">
        <f t="shared" si="237"/>
        <v>2</v>
      </c>
      <c r="AF246" s="199">
        <f t="shared" si="237"/>
        <v>2</v>
      </c>
      <c r="AG246" s="199">
        <f t="shared" si="237"/>
        <v>2</v>
      </c>
      <c r="AH246" s="199">
        <f t="shared" si="237"/>
        <v>2</v>
      </c>
      <c r="AI246" s="199">
        <f t="shared" si="237"/>
        <v>2</v>
      </c>
      <c r="AJ246" s="199">
        <f t="shared" si="237"/>
        <v>2</v>
      </c>
      <c r="AK246" s="199">
        <f t="shared" si="237"/>
        <v>2</v>
      </c>
      <c r="AL246" s="199">
        <f t="shared" si="237"/>
        <v>2</v>
      </c>
      <c r="AM246" s="199">
        <f t="shared" si="237"/>
        <v>2</v>
      </c>
      <c r="AN246" s="199">
        <f t="shared" si="237"/>
        <v>2</v>
      </c>
      <c r="AO246" s="199">
        <f t="shared" si="237"/>
        <v>1</v>
      </c>
      <c r="AP246" s="199">
        <f t="shared" si="237"/>
        <v>1</v>
      </c>
      <c r="AQ246" s="199">
        <f t="shared" si="237"/>
        <v>1</v>
      </c>
      <c r="AR246" s="199">
        <f t="shared" si="237"/>
        <v>1</v>
      </c>
      <c r="AS246" s="199">
        <f t="shared" ref="AS246:BF246" si="238">MATCH(AQ$254,$D$224:$J$224,$C246)</f>
        <v>1</v>
      </c>
      <c r="AT246" s="199">
        <f t="shared" si="238"/>
        <v>1</v>
      </c>
      <c r="AU246" s="199">
        <f t="shared" si="238"/>
        <v>1</v>
      </c>
      <c r="AV246" s="199">
        <f t="shared" si="238"/>
        <v>1</v>
      </c>
      <c r="AW246" s="199">
        <f t="shared" si="238"/>
        <v>1</v>
      </c>
      <c r="AX246" s="199">
        <f t="shared" si="238"/>
        <v>1</v>
      </c>
      <c r="AY246" s="199" t="e">
        <f t="shared" si="238"/>
        <v>#N/A</v>
      </c>
      <c r="AZ246" s="199" t="e">
        <f t="shared" si="238"/>
        <v>#N/A</v>
      </c>
      <c r="BA246" s="199" t="e">
        <f t="shared" si="238"/>
        <v>#N/A</v>
      </c>
      <c r="BB246" s="199" t="e">
        <f t="shared" si="238"/>
        <v>#N/A</v>
      </c>
      <c r="BC246" s="199" t="e">
        <f t="shared" si="238"/>
        <v>#N/A</v>
      </c>
      <c r="BD246" s="199" t="e">
        <f t="shared" si="238"/>
        <v>#N/A</v>
      </c>
      <c r="BE246" s="199" t="e">
        <f t="shared" si="238"/>
        <v>#N/A</v>
      </c>
      <c r="BF246" s="199" t="e">
        <f t="shared" si="238"/>
        <v>#N/A</v>
      </c>
    </row>
    <row r="247" spans="1:58">
      <c r="A247" s="199" t="s">
        <v>16</v>
      </c>
      <c r="L247" s="203">
        <f>IF(ISNA(L244),-1,IF(ISNA(L246),99,IF(ISNA(L245),L244,0)))</f>
        <v>0</v>
      </c>
      <c r="M247" s="203">
        <f>IF(ISNA(M244),-1,IF(ISNA(M246),99,IF(ISNA(M245),M244,0)))</f>
        <v>1</v>
      </c>
      <c r="N247" s="203">
        <f t="shared" ref="N247:BF247" si="239">IF(ISNA(N244),-1,IF(ISNA(N246),99,IF(ISNA(N245),N244,0)))</f>
        <v>1</v>
      </c>
      <c r="O247" s="203">
        <f t="shared" si="239"/>
        <v>0</v>
      </c>
      <c r="P247" s="203">
        <f t="shared" si="239"/>
        <v>2</v>
      </c>
      <c r="Q247" s="203">
        <f t="shared" si="239"/>
        <v>0</v>
      </c>
      <c r="R247" s="203">
        <f t="shared" si="239"/>
        <v>3</v>
      </c>
      <c r="S247" s="203">
        <f t="shared" si="239"/>
        <v>3</v>
      </c>
      <c r="T247" s="203">
        <f t="shared" si="239"/>
        <v>0</v>
      </c>
      <c r="U247" s="203">
        <f t="shared" si="239"/>
        <v>4</v>
      </c>
      <c r="V247" s="203">
        <f t="shared" si="239"/>
        <v>4</v>
      </c>
      <c r="W247" s="203">
        <f t="shared" si="239"/>
        <v>4</v>
      </c>
      <c r="X247" s="203">
        <f t="shared" si="239"/>
        <v>4</v>
      </c>
      <c r="Y247" s="203">
        <f t="shared" si="239"/>
        <v>4</v>
      </c>
      <c r="Z247" s="203">
        <f t="shared" si="239"/>
        <v>4</v>
      </c>
      <c r="AA247" s="203">
        <f t="shared" si="239"/>
        <v>4</v>
      </c>
      <c r="AB247" s="203">
        <f t="shared" si="239"/>
        <v>4</v>
      </c>
      <c r="AC247" s="203">
        <f t="shared" si="239"/>
        <v>4</v>
      </c>
      <c r="AD247" s="203">
        <f t="shared" si="239"/>
        <v>0</v>
      </c>
      <c r="AE247" s="203">
        <f t="shared" si="239"/>
        <v>5</v>
      </c>
      <c r="AF247" s="203">
        <f t="shared" si="239"/>
        <v>5</v>
      </c>
      <c r="AG247" s="203">
        <f t="shared" si="239"/>
        <v>5</v>
      </c>
      <c r="AH247" s="203">
        <f t="shared" si="239"/>
        <v>5</v>
      </c>
      <c r="AI247" s="203">
        <f t="shared" si="239"/>
        <v>5</v>
      </c>
      <c r="AJ247" s="203">
        <f t="shared" si="239"/>
        <v>5</v>
      </c>
      <c r="AK247" s="203">
        <f t="shared" si="239"/>
        <v>5</v>
      </c>
      <c r="AL247" s="203">
        <f t="shared" si="239"/>
        <v>5</v>
      </c>
      <c r="AM247" s="203">
        <f t="shared" si="239"/>
        <v>5</v>
      </c>
      <c r="AN247" s="203">
        <f t="shared" si="239"/>
        <v>0</v>
      </c>
      <c r="AO247" s="203">
        <f t="shared" si="239"/>
        <v>6</v>
      </c>
      <c r="AP247" s="203">
        <f t="shared" si="239"/>
        <v>6</v>
      </c>
      <c r="AQ247" s="203">
        <f t="shared" si="239"/>
        <v>6</v>
      </c>
      <c r="AR247" s="203">
        <f t="shared" si="239"/>
        <v>6</v>
      </c>
      <c r="AS247" s="203">
        <f t="shared" si="239"/>
        <v>6</v>
      </c>
      <c r="AT247" s="203">
        <f t="shared" si="239"/>
        <v>6</v>
      </c>
      <c r="AU247" s="203">
        <f t="shared" si="239"/>
        <v>6</v>
      </c>
      <c r="AV247" s="203">
        <f t="shared" si="239"/>
        <v>6</v>
      </c>
      <c r="AW247" s="203">
        <f t="shared" si="239"/>
        <v>6</v>
      </c>
      <c r="AX247" s="203">
        <f t="shared" si="239"/>
        <v>0</v>
      </c>
      <c r="AY247" s="203">
        <f t="shared" si="239"/>
        <v>99</v>
      </c>
      <c r="AZ247" s="203">
        <f t="shared" si="239"/>
        <v>99</v>
      </c>
      <c r="BA247" s="203">
        <f t="shared" si="239"/>
        <v>99</v>
      </c>
      <c r="BB247" s="203">
        <f t="shared" si="239"/>
        <v>99</v>
      </c>
      <c r="BC247" s="203">
        <f t="shared" si="239"/>
        <v>99</v>
      </c>
      <c r="BD247" s="203">
        <f t="shared" si="239"/>
        <v>99</v>
      </c>
      <c r="BE247" s="203">
        <f t="shared" si="239"/>
        <v>99</v>
      </c>
      <c r="BF247" s="203">
        <f t="shared" si="239"/>
        <v>99</v>
      </c>
    </row>
    <row r="248" spans="1:58">
      <c r="A248" s="199" t="s">
        <v>16</v>
      </c>
      <c r="B248" s="199" t="s">
        <v>275</v>
      </c>
      <c r="C248" s="200" t="s">
        <v>440</v>
      </c>
      <c r="D248" s="118">
        <f t="shared" ref="D248:E250" si="240">E107/E$111</f>
        <v>1.1603410968505356E-2</v>
      </c>
      <c r="E248" s="118">
        <f t="shared" si="240"/>
        <v>9.5673980263602035E-3</v>
      </c>
      <c r="F248" s="118"/>
      <c r="G248" s="118">
        <f t="shared" ref="G248:J250" si="241">H107/H$111</f>
        <v>8.2129296813990855E-3</v>
      </c>
      <c r="H248" s="118">
        <f t="shared" si="241"/>
        <v>1.1702765577973964E-2</v>
      </c>
      <c r="I248" s="118">
        <f t="shared" si="241"/>
        <v>5.2029900920809533E-3</v>
      </c>
      <c r="J248" s="118">
        <f t="shared" si="241"/>
        <v>3.1605328485107497E-3</v>
      </c>
      <c r="K248" s="118">
        <f>K107/K$111</f>
        <v>3.1605328485107497E-3</v>
      </c>
      <c r="L248" s="199"/>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row>
    <row r="249" spans="1:58">
      <c r="A249" s="199" t="s">
        <v>16</v>
      </c>
      <c r="B249" s="199" t="s">
        <v>276</v>
      </c>
      <c r="C249" s="200" t="s">
        <v>440</v>
      </c>
      <c r="D249" s="118">
        <f t="shared" si="240"/>
        <v>0.38624527232659372</v>
      </c>
      <c r="E249" s="118">
        <f t="shared" si="240"/>
        <v>0.34534515347688738</v>
      </c>
      <c r="F249" s="118"/>
      <c r="G249" s="118">
        <f t="shared" si="241"/>
        <v>0.33462633071080294</v>
      </c>
      <c r="H249" s="118">
        <f t="shared" si="241"/>
        <v>0.2543606878688302</v>
      </c>
      <c r="I249" s="118">
        <f t="shared" si="241"/>
        <v>0.22304934283020897</v>
      </c>
      <c r="J249" s="118">
        <f t="shared" si="241"/>
        <v>0.20712414174966245</v>
      </c>
      <c r="K249" s="118">
        <f>K108/K$111</f>
        <v>0.20712414174966245</v>
      </c>
      <c r="L249" s="199"/>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row>
    <row r="250" spans="1:58">
      <c r="A250" s="199" t="s">
        <v>16</v>
      </c>
      <c r="B250" s="199" t="s">
        <v>277</v>
      </c>
      <c r="C250" s="200" t="s">
        <v>440</v>
      </c>
      <c r="D250" s="118">
        <f t="shared" si="240"/>
        <v>0.53612703921094362</v>
      </c>
      <c r="E250" s="118">
        <f t="shared" si="240"/>
        <v>0.58653278519951213</v>
      </c>
      <c r="F250" s="118"/>
      <c r="G250" s="118">
        <f t="shared" si="241"/>
        <v>0.60723041458151905</v>
      </c>
      <c r="H250" s="118">
        <f t="shared" si="241"/>
        <v>0.6880728012707874</v>
      </c>
      <c r="I250" s="118">
        <f t="shared" si="241"/>
        <v>0.72535077673375958</v>
      </c>
      <c r="J250" s="118">
        <f t="shared" si="241"/>
        <v>0.73963864200936813</v>
      </c>
      <c r="K250" s="118">
        <f>K109/K$111</f>
        <v>0.73963864200936813</v>
      </c>
      <c r="L250" s="199"/>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row>
    <row r="251" spans="1:58">
      <c r="A251" s="199" t="s">
        <v>16</v>
      </c>
      <c r="B251" s="199" t="str">
        <f>B248</f>
        <v>hhd-le</v>
      </c>
      <c r="C251" s="200" t="s">
        <v>439</v>
      </c>
      <c r="D251" s="118">
        <f t="shared" ref="D251:E251" si="242">SUM(E115:E117)/SUM(E$127:E$129)</f>
        <v>0.63508024104589644</v>
      </c>
      <c r="E251" s="118">
        <f t="shared" si="242"/>
        <v>0.60229002210357474</v>
      </c>
      <c r="F251" s="118"/>
      <c r="G251" s="118">
        <f>SUM(H115:H117)/SUM(H$127:H$129)</f>
        <v>0.5677676764417281</v>
      </c>
      <c r="H251" s="118">
        <f>SUM(I115:I117)/SUM(I$127:I$129)</f>
        <v>0.43272796506359901</v>
      </c>
      <c r="I251" s="118">
        <f>SUM(J115:J117)/SUM(J$127:J$129)</f>
        <v>0.28936878343147132</v>
      </c>
      <c r="J251" s="118">
        <f>SUM(K115:K117)/SUM(K$127:K$129)</f>
        <v>0.19102896508601405</v>
      </c>
      <c r="K251" s="118">
        <f>SUM(K115:K117)/SUM(K$127:K$129)</f>
        <v>0.19102896508601405</v>
      </c>
      <c r="L251" s="199"/>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row>
    <row r="252" spans="1:58">
      <c r="A252" s="199" t="s">
        <v>16</v>
      </c>
      <c r="B252" s="199" t="str">
        <f>B249</f>
        <v>hhd-me</v>
      </c>
      <c r="C252" s="200" t="s">
        <v>439</v>
      </c>
      <c r="D252" s="118">
        <f t="shared" ref="D252:E252" si="243">SUM(E119:E121)/SUM(E$127:E$129)</f>
        <v>0.27546476469368597</v>
      </c>
      <c r="E252" s="118">
        <f t="shared" si="243"/>
        <v>0.2846173491258791</v>
      </c>
      <c r="F252" s="118"/>
      <c r="G252" s="118">
        <f>SUM(H119:H121)/SUM(H$127:H$129)</f>
        <v>0.30290200900664743</v>
      </c>
      <c r="H252" s="118">
        <f>SUM(I119:I121)/SUM(I$127:I$129)</f>
        <v>0.35010829078923889</v>
      </c>
      <c r="I252" s="118">
        <f>SUM(J119:J121)/SUM(J$127:J$129)</f>
        <v>0.4092108301060185</v>
      </c>
      <c r="J252" s="118">
        <f>SUM(K119:K121)/SUM(K$127:K$129)</f>
        <v>0.45056557828532273</v>
      </c>
      <c r="K252" s="118">
        <f>SUM(K119:K121)/SUM(K$127:K$129)</f>
        <v>0.45056557828532273</v>
      </c>
      <c r="L252" s="199"/>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row>
    <row r="253" spans="1:58">
      <c r="A253" s="199" t="s">
        <v>16</v>
      </c>
      <c r="B253" s="199" t="str">
        <f>B250</f>
        <v>hhd-he</v>
      </c>
      <c r="C253" s="200" t="s">
        <v>439</v>
      </c>
      <c r="D253" s="118">
        <f t="shared" ref="D253:E253" si="244">SUM(E123:E125)/SUM(E$127:E$129)</f>
        <v>8.9454994260417586E-2</v>
      </c>
      <c r="E253" s="118">
        <f t="shared" si="244"/>
        <v>0.11309262877054613</v>
      </c>
      <c r="F253" s="118"/>
      <c r="G253" s="118">
        <f>SUM(H123:H125)/SUM(H$127:H$129)</f>
        <v>0.12933031455162447</v>
      </c>
      <c r="H253" s="118">
        <f>SUM(I123:I125)/SUM(I$127:I$129)</f>
        <v>0.21716374414716211</v>
      </c>
      <c r="I253" s="118">
        <f>SUM(J123:J125)/SUM(J$127:J$129)</f>
        <v>0.30142038646251013</v>
      </c>
      <c r="J253" s="118">
        <f>SUM(K123:K125)/SUM(K$127:K$129)</f>
        <v>0.35840545662866324</v>
      </c>
      <c r="K253" s="118">
        <f>SUM(K123:K125)/SUM(K$127:K$129)</f>
        <v>0.35840545662866324</v>
      </c>
      <c r="L253" s="199"/>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row>
    <row r="254" spans="1:58">
      <c r="A254" s="199" t="s">
        <v>16</v>
      </c>
      <c r="G254" s="5" t="s">
        <v>438</v>
      </c>
      <c r="J254" s="199">
        <f t="shared" ref="J254:AR254" si="245">J227</f>
        <v>2012</v>
      </c>
      <c r="K254" s="199">
        <f t="shared" si="245"/>
        <v>2013</v>
      </c>
      <c r="L254" s="199">
        <f t="shared" si="245"/>
        <v>2014</v>
      </c>
      <c r="M254" s="199">
        <f t="shared" si="245"/>
        <v>2015</v>
      </c>
      <c r="N254" s="199">
        <f t="shared" si="245"/>
        <v>2016</v>
      </c>
      <c r="O254" s="199">
        <f t="shared" si="245"/>
        <v>2017</v>
      </c>
      <c r="P254" s="199">
        <f t="shared" si="245"/>
        <v>2018</v>
      </c>
      <c r="Q254" s="199">
        <f t="shared" si="245"/>
        <v>2019</v>
      </c>
      <c r="R254" s="199">
        <f t="shared" si="245"/>
        <v>2020</v>
      </c>
      <c r="S254" s="199">
        <f t="shared" si="245"/>
        <v>2021</v>
      </c>
      <c r="T254" s="199">
        <f t="shared" si="245"/>
        <v>2022</v>
      </c>
      <c r="U254" s="199">
        <f t="shared" si="245"/>
        <v>2023</v>
      </c>
      <c r="V254" s="199">
        <f t="shared" si="245"/>
        <v>2024</v>
      </c>
      <c r="W254" s="199">
        <f t="shared" si="245"/>
        <v>2025</v>
      </c>
      <c r="X254" s="199">
        <f t="shared" si="245"/>
        <v>2026</v>
      </c>
      <c r="Y254" s="199">
        <f t="shared" si="245"/>
        <v>2027</v>
      </c>
      <c r="Z254" s="199">
        <f t="shared" si="245"/>
        <v>2028</v>
      </c>
      <c r="AA254" s="199">
        <f t="shared" si="245"/>
        <v>2029</v>
      </c>
      <c r="AB254" s="199">
        <f t="shared" si="245"/>
        <v>2030</v>
      </c>
      <c r="AC254" s="199">
        <f t="shared" si="245"/>
        <v>2031</v>
      </c>
      <c r="AD254" s="199">
        <f t="shared" si="245"/>
        <v>2032</v>
      </c>
      <c r="AE254" s="199">
        <f t="shared" si="245"/>
        <v>2033</v>
      </c>
      <c r="AF254" s="199">
        <f t="shared" si="245"/>
        <v>2034</v>
      </c>
      <c r="AG254" s="199">
        <f t="shared" si="245"/>
        <v>2035</v>
      </c>
      <c r="AH254" s="199">
        <f t="shared" si="245"/>
        <v>2036</v>
      </c>
      <c r="AI254" s="199">
        <f t="shared" si="245"/>
        <v>2037</v>
      </c>
      <c r="AJ254" s="199">
        <f t="shared" si="245"/>
        <v>2038</v>
      </c>
      <c r="AK254" s="199">
        <f t="shared" si="245"/>
        <v>2039</v>
      </c>
      <c r="AL254" s="199">
        <f t="shared" si="245"/>
        <v>2040</v>
      </c>
      <c r="AM254" s="199">
        <f t="shared" si="245"/>
        <v>2041</v>
      </c>
      <c r="AN254" s="199">
        <f t="shared" si="245"/>
        <v>2042</v>
      </c>
      <c r="AO254" s="199">
        <f t="shared" si="245"/>
        <v>2043</v>
      </c>
      <c r="AP254" s="199">
        <f t="shared" si="245"/>
        <v>2044</v>
      </c>
      <c r="AQ254" s="199">
        <f t="shared" si="245"/>
        <v>2045</v>
      </c>
      <c r="AR254" s="199">
        <f t="shared" si="245"/>
        <v>2046</v>
      </c>
      <c r="AS254" s="199">
        <f>AR254+1</f>
        <v>2047</v>
      </c>
      <c r="AT254" s="199">
        <f t="shared" ref="AT254:BB254" si="246">AS254+1</f>
        <v>2048</v>
      </c>
      <c r="AU254" s="199">
        <f t="shared" si="246"/>
        <v>2049</v>
      </c>
      <c r="AV254" s="199">
        <f t="shared" si="246"/>
        <v>2050</v>
      </c>
      <c r="AW254" s="199">
        <f t="shared" si="246"/>
        <v>2051</v>
      </c>
      <c r="AX254" s="199">
        <f t="shared" si="246"/>
        <v>2052</v>
      </c>
      <c r="AY254" s="199">
        <f t="shared" si="246"/>
        <v>2053</v>
      </c>
      <c r="AZ254" s="199">
        <f t="shared" si="246"/>
        <v>2054</v>
      </c>
      <c r="BA254" s="199">
        <f t="shared" si="246"/>
        <v>2055</v>
      </c>
      <c r="BB254" s="199">
        <f t="shared" si="246"/>
        <v>2056</v>
      </c>
      <c r="BC254" s="199">
        <v>2060</v>
      </c>
      <c r="BD254" s="199">
        <v>2070</v>
      </c>
    </row>
    <row r="255" spans="1:58">
      <c r="A255" s="199" t="s">
        <v>16</v>
      </c>
      <c r="E255" s="199" t="s">
        <v>441</v>
      </c>
      <c r="F255" s="199" t="s">
        <v>441</v>
      </c>
      <c r="G255" s="199" t="s">
        <v>435</v>
      </c>
      <c r="H255" s="200" t="s">
        <v>440</v>
      </c>
      <c r="I255" s="199" t="s">
        <v>275</v>
      </c>
      <c r="J255" s="200">
        <f t="shared" ref="J255:J260" si="247">D248</f>
        <v>1.1603410968505356E-2</v>
      </c>
      <c r="K255" s="200">
        <f t="shared" ref="K255:T260" si="248">IF(M$247=-1,L255,IF(M$247=99,J255,IF(M$247=0,INDEX($D248:$K248,0,M$245),(INDEX($D248:$K248,0,M$247+1)-INDEX($D248:$K248,0,M$247))/(INDEX($D$244:$K$244,0,M$247+1)-INDEX($D$244:$K$244,0,M$247))+J255)))</f>
        <v>1.0924739987790305E-2</v>
      </c>
      <c r="L255" s="200">
        <f t="shared" si="248"/>
        <v>1.0246069007075255E-2</v>
      </c>
      <c r="M255" s="200">
        <f t="shared" si="248"/>
        <v>9.5673980263602035E-3</v>
      </c>
      <c r="N255" s="200">
        <f t="shared" si="248"/>
        <v>4.7836990131801017E-3</v>
      </c>
      <c r="O255" s="200">
        <f t="shared" si="248"/>
        <v>0</v>
      </c>
      <c r="P255" s="200">
        <f t="shared" si="248"/>
        <v>2.7376432271330286E-3</v>
      </c>
      <c r="Q255" s="200">
        <f t="shared" si="248"/>
        <v>5.4752864542660573E-3</v>
      </c>
      <c r="R255" s="200">
        <f t="shared" si="248"/>
        <v>8.2129296813990855E-3</v>
      </c>
      <c r="S255" s="200">
        <f t="shared" si="248"/>
        <v>8.5619132710565739E-3</v>
      </c>
      <c r="T255" s="200">
        <f t="shared" si="248"/>
        <v>8.9108968607140623E-3</v>
      </c>
      <c r="U255" s="200">
        <f t="shared" ref="U255:AD260" si="249">IF(W$247=-1,V255,IF(W$247=99,T255,IF(W$247=0,INDEX($D248:$K248,0,W$245),(INDEX($D248:$K248,0,W$247+1)-INDEX($D248:$K248,0,W$247))/(INDEX($D$244:$K$244,0,W$247+1)-INDEX($D$244:$K$244,0,W$247))+T255)))</f>
        <v>9.2598804503715507E-3</v>
      </c>
      <c r="V255" s="200">
        <f t="shared" si="249"/>
        <v>9.6088640400290391E-3</v>
      </c>
      <c r="W255" s="200">
        <f t="shared" si="249"/>
        <v>9.9578476296865275E-3</v>
      </c>
      <c r="X255" s="200">
        <f t="shared" si="249"/>
        <v>1.0306831219344016E-2</v>
      </c>
      <c r="Y255" s="200">
        <f t="shared" si="249"/>
        <v>1.0655814809001504E-2</v>
      </c>
      <c r="Z255" s="200">
        <f t="shared" si="249"/>
        <v>1.1004798398658993E-2</v>
      </c>
      <c r="AA255" s="200">
        <f t="shared" si="249"/>
        <v>1.1353781988316481E-2</v>
      </c>
      <c r="AB255" s="200">
        <f t="shared" si="249"/>
        <v>1.1702765577973964E-2</v>
      </c>
      <c r="AC255" s="200">
        <f t="shared" si="249"/>
        <v>1.1052788029384662E-2</v>
      </c>
      <c r="AD255" s="200">
        <f t="shared" si="249"/>
        <v>1.040281048079536E-2</v>
      </c>
      <c r="AE255" s="200">
        <f t="shared" ref="AE255:AN260" si="250">IF(AG$247=-1,AF255,IF(AG$247=99,AD255,IF(AG$247=0,INDEX($D248:$K248,0,AG$245),(INDEX($D248:$K248,0,AG$247+1)-INDEX($D248:$K248,0,AG$247))/(INDEX($D$244:$K$244,0,AG$247+1)-INDEX($D$244:$K$244,0,AG$247))+AD255)))</f>
        <v>9.7528329322060583E-3</v>
      </c>
      <c r="AF255" s="200">
        <f t="shared" si="250"/>
        <v>9.1028553836167564E-3</v>
      </c>
      <c r="AG255" s="200">
        <f t="shared" si="250"/>
        <v>8.4528778350274544E-3</v>
      </c>
      <c r="AH255" s="200">
        <f t="shared" si="250"/>
        <v>7.8029002864381533E-3</v>
      </c>
      <c r="AI255" s="200">
        <f t="shared" si="250"/>
        <v>7.1529227378488523E-3</v>
      </c>
      <c r="AJ255" s="200">
        <f t="shared" si="250"/>
        <v>6.5029451892595512E-3</v>
      </c>
      <c r="AK255" s="200">
        <f t="shared" si="250"/>
        <v>5.8529676406702501E-3</v>
      </c>
      <c r="AL255" s="200">
        <f t="shared" si="250"/>
        <v>5.2029900920809533E-3</v>
      </c>
      <c r="AM255" s="200">
        <f t="shared" si="250"/>
        <v>4.9987443677239332E-3</v>
      </c>
      <c r="AN255" s="200">
        <f t="shared" si="250"/>
        <v>4.794498643366913E-3</v>
      </c>
      <c r="AO255" s="200">
        <f t="shared" ref="AO255:AQ260" si="251">IF(AQ$247=-1,AP255,IF(AQ$247=99,AN255,IF(AQ$247=0,INDEX($D248:$K248,0,AQ$245),(INDEX($D248:$K248,0,AQ$247+1)-INDEX($D248:$K248,0,AQ$247))/(INDEX($D$244:$K$244,0,AQ$247+1)-INDEX($D$244:$K$244,0,AQ$247))+AN255)))</f>
        <v>4.5902529190098929E-3</v>
      </c>
      <c r="AP255" s="200">
        <f t="shared" si="251"/>
        <v>4.3860071946528727E-3</v>
      </c>
      <c r="AQ255" s="200">
        <f t="shared" si="251"/>
        <v>4.1817614702958526E-3</v>
      </c>
      <c r="AR255" s="200">
        <f t="shared" ref="AR255:AW260" si="252">IF(AT$247=-1,AW255,IF(AT$247=99,AQ255,IF(AT$247=0,INDEX($D248:$K248,0,AT$245),(INDEX($D248:$K248,0,AT$247+1)-INDEX($D248:$K248,0,AT$247))/(INDEX($D$244:$K$244,0,AT$247+1)-INDEX($D$244:$K$244,0,AT$247))+AQ255)))</f>
        <v>3.9775157459388324E-3</v>
      </c>
      <c r="AS255" s="200">
        <f t="shared" si="252"/>
        <v>3.7732700215818123E-3</v>
      </c>
      <c r="AT255" s="200">
        <f t="shared" si="252"/>
        <v>3.5690242972247922E-3</v>
      </c>
      <c r="AU255" s="200">
        <f t="shared" si="252"/>
        <v>3.364778572867772E-3</v>
      </c>
      <c r="AV255" s="200">
        <f t="shared" si="252"/>
        <v>3.1605328485107497E-3</v>
      </c>
      <c r="AW255" s="200">
        <f t="shared" si="252"/>
        <v>3.1605328485107497E-3</v>
      </c>
      <c r="AX255" s="200">
        <f t="shared" ref="AX255:BD260" si="253">IF(AV$247=-1,AZ255,IF(AV$247=99,AW255,IF(AV$247=0,INDEX($D248:$K248,0,AV$245),(INDEX($D248:$K248,0,AV$247+1)-INDEX($D248:$K248,0,AV$247))/(INDEX($D$244:$K$244,0,AV$247+1)-INDEX($D$244:$K$244,0,AV$247))+AW255)))</f>
        <v>2.9562871241537291E-3</v>
      </c>
      <c r="AY255" s="200">
        <f t="shared" si="253"/>
        <v>2.752041399796709E-3</v>
      </c>
      <c r="AZ255" s="200">
        <f t="shared" si="253"/>
        <v>3.1605328485107497E-3</v>
      </c>
      <c r="BA255" s="200">
        <f t="shared" si="253"/>
        <v>3.1605328485107497E-3</v>
      </c>
      <c r="BB255" s="200">
        <f t="shared" si="253"/>
        <v>3.1605328485107497E-3</v>
      </c>
      <c r="BC255" s="200">
        <f t="shared" si="253"/>
        <v>3.1605328485107497E-3</v>
      </c>
      <c r="BD255" s="200">
        <f t="shared" si="253"/>
        <v>3.1605328485107497E-3</v>
      </c>
    </row>
    <row r="256" spans="1:58">
      <c r="A256" s="199" t="s">
        <v>16</v>
      </c>
      <c r="E256" s="199" t="s">
        <v>441</v>
      </c>
      <c r="F256" s="199" t="s">
        <v>441</v>
      </c>
      <c r="G256" s="199" t="s">
        <v>436</v>
      </c>
      <c r="H256" s="200" t="s">
        <v>440</v>
      </c>
      <c r="I256" s="199" t="s">
        <v>276</v>
      </c>
      <c r="J256" s="200">
        <f t="shared" si="247"/>
        <v>0.38624527232659372</v>
      </c>
      <c r="K256" s="200">
        <f t="shared" si="248"/>
        <v>0.37261189937669159</v>
      </c>
      <c r="L256" s="200">
        <f t="shared" si="248"/>
        <v>0.35897852642678946</v>
      </c>
      <c r="M256" s="200">
        <f t="shared" si="248"/>
        <v>0.34534515347688738</v>
      </c>
      <c r="N256" s="200">
        <f t="shared" si="248"/>
        <v>0.17267257673844369</v>
      </c>
      <c r="O256" s="200">
        <f t="shared" si="248"/>
        <v>0</v>
      </c>
      <c r="P256" s="200">
        <f t="shared" si="248"/>
        <v>0.11154211023693432</v>
      </c>
      <c r="Q256" s="200">
        <f t="shared" si="248"/>
        <v>0.22308422047386864</v>
      </c>
      <c r="R256" s="200">
        <f t="shared" si="248"/>
        <v>0.33462633071080294</v>
      </c>
      <c r="S256" s="200">
        <f t="shared" si="248"/>
        <v>0.32659976642660565</v>
      </c>
      <c r="T256" s="200">
        <f t="shared" si="248"/>
        <v>0.31857320214240836</v>
      </c>
      <c r="U256" s="200">
        <f t="shared" si="249"/>
        <v>0.31054663785821107</v>
      </c>
      <c r="V256" s="200">
        <f t="shared" si="249"/>
        <v>0.30252007357401378</v>
      </c>
      <c r="W256" s="200">
        <f t="shared" si="249"/>
        <v>0.29449350928981649</v>
      </c>
      <c r="X256" s="200">
        <f t="shared" si="249"/>
        <v>0.2864669450056192</v>
      </c>
      <c r="Y256" s="200">
        <f t="shared" si="249"/>
        <v>0.27844038072142191</v>
      </c>
      <c r="Z256" s="200">
        <f t="shared" si="249"/>
        <v>0.27041381643722462</v>
      </c>
      <c r="AA256" s="200">
        <f t="shared" si="249"/>
        <v>0.26238725215302733</v>
      </c>
      <c r="AB256" s="200">
        <f t="shared" si="249"/>
        <v>0.2543606878688302</v>
      </c>
      <c r="AC256" s="200">
        <f t="shared" si="249"/>
        <v>0.25122955336496811</v>
      </c>
      <c r="AD256" s="200">
        <f t="shared" si="249"/>
        <v>0.24809841886110598</v>
      </c>
      <c r="AE256" s="200">
        <f t="shared" si="250"/>
        <v>0.24496728435724385</v>
      </c>
      <c r="AF256" s="200">
        <f t="shared" si="250"/>
        <v>0.24183614985338173</v>
      </c>
      <c r="AG256" s="200">
        <f t="shared" si="250"/>
        <v>0.2387050153495196</v>
      </c>
      <c r="AH256" s="200">
        <f t="shared" si="250"/>
        <v>0.23557388084565747</v>
      </c>
      <c r="AI256" s="200">
        <f t="shared" si="250"/>
        <v>0.23244274634179535</v>
      </c>
      <c r="AJ256" s="200">
        <f t="shared" si="250"/>
        <v>0.22931161183793322</v>
      </c>
      <c r="AK256" s="200">
        <f t="shared" si="250"/>
        <v>0.2261804773340711</v>
      </c>
      <c r="AL256" s="200">
        <f t="shared" si="250"/>
        <v>0.22304934283020897</v>
      </c>
      <c r="AM256" s="200">
        <f t="shared" si="250"/>
        <v>0.22145682272215431</v>
      </c>
      <c r="AN256" s="200">
        <f t="shared" si="250"/>
        <v>0.21986430261409964</v>
      </c>
      <c r="AO256" s="200">
        <f t="shared" si="251"/>
        <v>0.21827178250604498</v>
      </c>
      <c r="AP256" s="200">
        <f t="shared" si="251"/>
        <v>0.21667926239799032</v>
      </c>
      <c r="AQ256" s="200">
        <f t="shared" si="251"/>
        <v>0.21508674228993566</v>
      </c>
      <c r="AR256" s="200">
        <f t="shared" si="252"/>
        <v>0.21349422218188099</v>
      </c>
      <c r="AS256" s="200">
        <f t="shared" si="252"/>
        <v>0.21190170207382633</v>
      </c>
      <c r="AT256" s="200">
        <f t="shared" si="252"/>
        <v>0.21030918196577167</v>
      </c>
      <c r="AU256" s="200">
        <f t="shared" si="252"/>
        <v>0.20871666185771701</v>
      </c>
      <c r="AV256" s="200">
        <f t="shared" si="252"/>
        <v>0.20712414174966245</v>
      </c>
      <c r="AW256" s="200">
        <f t="shared" si="252"/>
        <v>0.20712414174966245</v>
      </c>
      <c r="AX256" s="200">
        <f t="shared" si="253"/>
        <v>0.20553162164160779</v>
      </c>
      <c r="AY256" s="200">
        <f t="shared" si="253"/>
        <v>0.20393910153355313</v>
      </c>
      <c r="AZ256" s="200">
        <f t="shared" si="253"/>
        <v>0.20712414174966245</v>
      </c>
      <c r="BA256" s="200">
        <f t="shared" si="253"/>
        <v>0.20712414174966245</v>
      </c>
      <c r="BB256" s="200">
        <f t="shared" si="253"/>
        <v>0.20712414174966245</v>
      </c>
      <c r="BC256" s="200">
        <f t="shared" si="253"/>
        <v>0.20712414174966245</v>
      </c>
      <c r="BD256" s="200">
        <f t="shared" si="253"/>
        <v>0.20712414174966245</v>
      </c>
    </row>
    <row r="257" spans="1:56">
      <c r="A257" s="199" t="s">
        <v>16</v>
      </c>
      <c r="E257" s="199" t="s">
        <v>441</v>
      </c>
      <c r="F257" s="199" t="s">
        <v>441</v>
      </c>
      <c r="G257" s="199" t="s">
        <v>437</v>
      </c>
      <c r="H257" s="200" t="s">
        <v>440</v>
      </c>
      <c r="I257" s="199" t="s">
        <v>277</v>
      </c>
      <c r="J257" s="200">
        <f t="shared" si="247"/>
        <v>0.53612703921094362</v>
      </c>
      <c r="K257" s="200">
        <f t="shared" si="248"/>
        <v>0.55292895454046642</v>
      </c>
      <c r="L257" s="200">
        <f t="shared" si="248"/>
        <v>0.56973086986998922</v>
      </c>
      <c r="M257" s="200">
        <f t="shared" si="248"/>
        <v>0.58653278519951213</v>
      </c>
      <c r="N257" s="200">
        <f t="shared" si="248"/>
        <v>0.29326639259975606</v>
      </c>
      <c r="O257" s="200">
        <f t="shared" si="248"/>
        <v>0</v>
      </c>
      <c r="P257" s="200">
        <f t="shared" si="248"/>
        <v>0.20241013819383968</v>
      </c>
      <c r="Q257" s="200">
        <f t="shared" si="248"/>
        <v>0.40482027638767937</v>
      </c>
      <c r="R257" s="200">
        <f t="shared" si="248"/>
        <v>0.60723041458151905</v>
      </c>
      <c r="S257" s="200">
        <f t="shared" si="248"/>
        <v>0.61531465325044588</v>
      </c>
      <c r="T257" s="200">
        <f t="shared" si="248"/>
        <v>0.6233988919193727</v>
      </c>
      <c r="U257" s="200">
        <f t="shared" si="249"/>
        <v>0.63148313058829952</v>
      </c>
      <c r="V257" s="200">
        <f t="shared" si="249"/>
        <v>0.63956736925722635</v>
      </c>
      <c r="W257" s="200">
        <f t="shared" si="249"/>
        <v>0.64765160792615317</v>
      </c>
      <c r="X257" s="200">
        <f t="shared" si="249"/>
        <v>0.65573584659508</v>
      </c>
      <c r="Y257" s="200">
        <f t="shared" si="249"/>
        <v>0.66382008526400682</v>
      </c>
      <c r="Z257" s="200">
        <f t="shared" si="249"/>
        <v>0.67190432393293364</v>
      </c>
      <c r="AA257" s="200">
        <f t="shared" si="249"/>
        <v>0.67998856260186047</v>
      </c>
      <c r="AB257" s="200">
        <f t="shared" si="249"/>
        <v>0.6880728012707874</v>
      </c>
      <c r="AC257" s="200">
        <f t="shared" si="249"/>
        <v>0.69180059881708467</v>
      </c>
      <c r="AD257" s="200">
        <f t="shared" si="249"/>
        <v>0.69552839636338193</v>
      </c>
      <c r="AE257" s="200">
        <f t="shared" si="250"/>
        <v>0.69925619390967919</v>
      </c>
      <c r="AF257" s="200">
        <f t="shared" si="250"/>
        <v>0.70298399145597645</v>
      </c>
      <c r="AG257" s="200">
        <f t="shared" si="250"/>
        <v>0.70671178900227372</v>
      </c>
      <c r="AH257" s="200">
        <f t="shared" si="250"/>
        <v>0.71043958654857098</v>
      </c>
      <c r="AI257" s="200">
        <f t="shared" si="250"/>
        <v>0.71416738409486824</v>
      </c>
      <c r="AJ257" s="200">
        <f t="shared" si="250"/>
        <v>0.7178951816411655</v>
      </c>
      <c r="AK257" s="200">
        <f t="shared" si="250"/>
        <v>0.72162297918746277</v>
      </c>
      <c r="AL257" s="200">
        <f t="shared" si="250"/>
        <v>0.72535077673375958</v>
      </c>
      <c r="AM257" s="200">
        <f t="shared" si="250"/>
        <v>0.72677956326132043</v>
      </c>
      <c r="AN257" s="200">
        <f t="shared" si="250"/>
        <v>0.72820834978888127</v>
      </c>
      <c r="AO257" s="200">
        <f t="shared" si="251"/>
        <v>0.72963713631644211</v>
      </c>
      <c r="AP257" s="200">
        <f t="shared" si="251"/>
        <v>0.73106592284400296</v>
      </c>
      <c r="AQ257" s="200">
        <f t="shared" si="251"/>
        <v>0.7324947093715638</v>
      </c>
      <c r="AR257" s="200">
        <f t="shared" si="252"/>
        <v>0.73392349589912464</v>
      </c>
      <c r="AS257" s="200">
        <f t="shared" si="252"/>
        <v>0.73535228242668549</v>
      </c>
      <c r="AT257" s="200">
        <f t="shared" si="252"/>
        <v>0.73678106895424633</v>
      </c>
      <c r="AU257" s="200">
        <f t="shared" si="252"/>
        <v>0.73820985548180718</v>
      </c>
      <c r="AV257" s="200">
        <f t="shared" si="252"/>
        <v>0.73963864200936813</v>
      </c>
      <c r="AW257" s="200">
        <f t="shared" si="252"/>
        <v>0.73963864200936813</v>
      </c>
      <c r="AX257" s="200">
        <f t="shared" si="253"/>
        <v>0.74106742853692897</v>
      </c>
      <c r="AY257" s="200">
        <f t="shared" si="253"/>
        <v>0.74249621506448982</v>
      </c>
      <c r="AZ257" s="200">
        <f t="shared" si="253"/>
        <v>0.73963864200936813</v>
      </c>
      <c r="BA257" s="200">
        <f t="shared" si="253"/>
        <v>0.73963864200936813</v>
      </c>
      <c r="BB257" s="200">
        <f t="shared" si="253"/>
        <v>0.73963864200936813</v>
      </c>
      <c r="BC257" s="200">
        <f t="shared" si="253"/>
        <v>0.73963864200936813</v>
      </c>
      <c r="BD257" s="200">
        <f t="shared" si="253"/>
        <v>0.73963864200936813</v>
      </c>
    </row>
    <row r="258" spans="1:56">
      <c r="A258" s="199" t="s">
        <v>16</v>
      </c>
      <c r="E258" s="199" t="s">
        <v>442</v>
      </c>
      <c r="F258" s="199" t="s">
        <v>442</v>
      </c>
      <c r="G258" s="199" t="str">
        <f>G255</f>
        <v>low income</v>
      </c>
      <c r="H258" s="200" t="s">
        <v>439</v>
      </c>
      <c r="I258" s="199" t="str">
        <f>I255</f>
        <v>hhd-le</v>
      </c>
      <c r="J258" s="200">
        <f t="shared" si="247"/>
        <v>0.63508024104589644</v>
      </c>
      <c r="K258" s="200">
        <f t="shared" si="248"/>
        <v>0.62415016806512258</v>
      </c>
      <c r="L258" s="200">
        <f t="shared" si="248"/>
        <v>0.61322009508434872</v>
      </c>
      <c r="M258" s="200">
        <f t="shared" si="248"/>
        <v>0.60229002210357474</v>
      </c>
      <c r="N258" s="200">
        <f t="shared" si="248"/>
        <v>0.30114501105178737</v>
      </c>
      <c r="O258" s="200">
        <f t="shared" si="248"/>
        <v>0</v>
      </c>
      <c r="P258" s="200">
        <f t="shared" si="248"/>
        <v>0.1892558921472427</v>
      </c>
      <c r="Q258" s="200">
        <f t="shared" si="248"/>
        <v>0.3785117842944854</v>
      </c>
      <c r="R258" s="200">
        <f t="shared" si="248"/>
        <v>0.5677676764417281</v>
      </c>
      <c r="S258" s="200">
        <f t="shared" si="248"/>
        <v>0.55426370530391522</v>
      </c>
      <c r="T258" s="200">
        <f t="shared" si="248"/>
        <v>0.54075973416610235</v>
      </c>
      <c r="U258" s="200">
        <f t="shared" si="249"/>
        <v>0.52725576302828947</v>
      </c>
      <c r="V258" s="200">
        <f t="shared" si="249"/>
        <v>0.51375179189047659</v>
      </c>
      <c r="W258" s="200">
        <f t="shared" si="249"/>
        <v>0.50024782075266372</v>
      </c>
      <c r="X258" s="200">
        <f t="shared" si="249"/>
        <v>0.48674384961485079</v>
      </c>
      <c r="Y258" s="200">
        <f t="shared" si="249"/>
        <v>0.47323987847703786</v>
      </c>
      <c r="Z258" s="200">
        <f t="shared" si="249"/>
        <v>0.45973590733922493</v>
      </c>
      <c r="AA258" s="200">
        <f t="shared" si="249"/>
        <v>0.44623193620141199</v>
      </c>
      <c r="AB258" s="200">
        <f t="shared" si="249"/>
        <v>0.43272796506359901</v>
      </c>
      <c r="AC258" s="200">
        <f t="shared" si="249"/>
        <v>0.41839204690038623</v>
      </c>
      <c r="AD258" s="200">
        <f t="shared" si="249"/>
        <v>0.40405612873717345</v>
      </c>
      <c r="AE258" s="200">
        <f t="shared" si="250"/>
        <v>0.38972021057396067</v>
      </c>
      <c r="AF258" s="200">
        <f t="shared" si="250"/>
        <v>0.37538429241074789</v>
      </c>
      <c r="AG258" s="200">
        <f t="shared" si="250"/>
        <v>0.36104837424753511</v>
      </c>
      <c r="AH258" s="200">
        <f t="shared" si="250"/>
        <v>0.34671245608432233</v>
      </c>
      <c r="AI258" s="200">
        <f t="shared" si="250"/>
        <v>0.33237653792110955</v>
      </c>
      <c r="AJ258" s="200">
        <f t="shared" si="250"/>
        <v>0.31804061975789677</v>
      </c>
      <c r="AK258" s="200">
        <f t="shared" si="250"/>
        <v>0.30370470159468399</v>
      </c>
      <c r="AL258" s="200">
        <f t="shared" si="250"/>
        <v>0.28936878343147132</v>
      </c>
      <c r="AM258" s="200">
        <f t="shared" si="250"/>
        <v>0.27953480159692562</v>
      </c>
      <c r="AN258" s="200">
        <f t="shared" si="250"/>
        <v>0.26970081976237992</v>
      </c>
      <c r="AO258" s="200">
        <f t="shared" si="251"/>
        <v>0.25986683792783422</v>
      </c>
      <c r="AP258" s="200">
        <f t="shared" si="251"/>
        <v>0.25003285609328851</v>
      </c>
      <c r="AQ258" s="200">
        <f t="shared" si="251"/>
        <v>0.24019887425874278</v>
      </c>
      <c r="AR258" s="200">
        <f t="shared" si="252"/>
        <v>0.23036489242419705</v>
      </c>
      <c r="AS258" s="200">
        <f t="shared" si="252"/>
        <v>0.22053091058965132</v>
      </c>
      <c r="AT258" s="200">
        <f t="shared" si="252"/>
        <v>0.21069692875510559</v>
      </c>
      <c r="AU258" s="200">
        <f t="shared" si="252"/>
        <v>0.20086294692055986</v>
      </c>
      <c r="AV258" s="200">
        <f t="shared" si="252"/>
        <v>0.19102896508601405</v>
      </c>
      <c r="AW258" s="200">
        <f t="shared" si="252"/>
        <v>0.19102896508601405</v>
      </c>
      <c r="AX258" s="200">
        <f t="shared" si="253"/>
        <v>0.18119498325146832</v>
      </c>
      <c r="AY258" s="200">
        <f t="shared" si="253"/>
        <v>0.17136100141692259</v>
      </c>
      <c r="AZ258" s="200">
        <f t="shared" si="253"/>
        <v>0.19102896508601405</v>
      </c>
      <c r="BA258" s="200">
        <f t="shared" si="253"/>
        <v>0.19102896508601405</v>
      </c>
      <c r="BB258" s="200">
        <f t="shared" si="253"/>
        <v>0.19102896508601405</v>
      </c>
      <c r="BC258" s="200">
        <f t="shared" si="253"/>
        <v>0.19102896508601405</v>
      </c>
      <c r="BD258" s="200">
        <f t="shared" si="253"/>
        <v>0.19102896508601405</v>
      </c>
    </row>
    <row r="259" spans="1:56">
      <c r="A259" s="199" t="s">
        <v>16</v>
      </c>
      <c r="E259" s="199" t="s">
        <v>442</v>
      </c>
      <c r="F259" s="199" t="s">
        <v>442</v>
      </c>
      <c r="G259" s="199" t="str">
        <f>G256</f>
        <v>medium income</v>
      </c>
      <c r="H259" s="200" t="s">
        <v>439</v>
      </c>
      <c r="I259" s="199" t="str">
        <f>I256</f>
        <v>hhd-me</v>
      </c>
      <c r="J259" s="200">
        <f t="shared" si="247"/>
        <v>0.27546476469368597</v>
      </c>
      <c r="K259" s="200">
        <f t="shared" si="248"/>
        <v>0.27851562617108366</v>
      </c>
      <c r="L259" s="200">
        <f t="shared" si="248"/>
        <v>0.28156648764848136</v>
      </c>
      <c r="M259" s="200">
        <f t="shared" si="248"/>
        <v>0.2846173491258791</v>
      </c>
      <c r="N259" s="200">
        <f t="shared" si="248"/>
        <v>0.14230867456293955</v>
      </c>
      <c r="O259" s="200">
        <f t="shared" si="248"/>
        <v>0</v>
      </c>
      <c r="P259" s="200">
        <f t="shared" si="248"/>
        <v>0.10096733633554915</v>
      </c>
      <c r="Q259" s="200">
        <f t="shared" si="248"/>
        <v>0.2019346726710983</v>
      </c>
      <c r="R259" s="200">
        <f t="shared" si="248"/>
        <v>0.30290200900664743</v>
      </c>
      <c r="S259" s="200">
        <f t="shared" si="248"/>
        <v>0.30762263718490657</v>
      </c>
      <c r="T259" s="200">
        <f t="shared" si="248"/>
        <v>0.3123432653631657</v>
      </c>
      <c r="U259" s="200">
        <f t="shared" si="249"/>
        <v>0.31706389354142483</v>
      </c>
      <c r="V259" s="200">
        <f t="shared" si="249"/>
        <v>0.32178452171968397</v>
      </c>
      <c r="W259" s="200">
        <f t="shared" si="249"/>
        <v>0.3265051498979431</v>
      </c>
      <c r="X259" s="200">
        <f t="shared" si="249"/>
        <v>0.33122577807620224</v>
      </c>
      <c r="Y259" s="200">
        <f t="shared" si="249"/>
        <v>0.33594640625446137</v>
      </c>
      <c r="Z259" s="200">
        <f t="shared" si="249"/>
        <v>0.34066703443272051</v>
      </c>
      <c r="AA259" s="200">
        <f t="shared" si="249"/>
        <v>0.34538766261097964</v>
      </c>
      <c r="AB259" s="200">
        <f t="shared" si="249"/>
        <v>0.35010829078923889</v>
      </c>
      <c r="AC259" s="200">
        <f t="shared" si="249"/>
        <v>0.35601854472091687</v>
      </c>
      <c r="AD259" s="200">
        <f t="shared" si="249"/>
        <v>0.36192879865259486</v>
      </c>
      <c r="AE259" s="200">
        <f t="shared" si="250"/>
        <v>0.36783905258427285</v>
      </c>
      <c r="AF259" s="200">
        <f t="shared" si="250"/>
        <v>0.37374930651595084</v>
      </c>
      <c r="AG259" s="200">
        <f t="shared" si="250"/>
        <v>0.37965956044762883</v>
      </c>
      <c r="AH259" s="200">
        <f t="shared" si="250"/>
        <v>0.38556981437930682</v>
      </c>
      <c r="AI259" s="200">
        <f t="shared" si="250"/>
        <v>0.39148006831098481</v>
      </c>
      <c r="AJ259" s="200">
        <f t="shared" si="250"/>
        <v>0.3973903222426628</v>
      </c>
      <c r="AK259" s="200">
        <f t="shared" si="250"/>
        <v>0.40330057617434079</v>
      </c>
      <c r="AL259" s="200">
        <f t="shared" si="250"/>
        <v>0.4092108301060185</v>
      </c>
      <c r="AM259" s="200">
        <f t="shared" si="250"/>
        <v>0.41334630492394892</v>
      </c>
      <c r="AN259" s="200">
        <f t="shared" si="250"/>
        <v>0.41748177974187933</v>
      </c>
      <c r="AO259" s="200">
        <f t="shared" si="251"/>
        <v>0.42161725455980975</v>
      </c>
      <c r="AP259" s="200">
        <f t="shared" si="251"/>
        <v>0.42575272937774017</v>
      </c>
      <c r="AQ259" s="200">
        <f t="shared" si="251"/>
        <v>0.42988820419567059</v>
      </c>
      <c r="AR259" s="200">
        <f t="shared" si="252"/>
        <v>0.434023679013601</v>
      </c>
      <c r="AS259" s="200">
        <f t="shared" si="252"/>
        <v>0.43815915383153142</v>
      </c>
      <c r="AT259" s="200">
        <f t="shared" si="252"/>
        <v>0.44229462864946184</v>
      </c>
      <c r="AU259" s="200">
        <f t="shared" si="252"/>
        <v>0.44643010346739226</v>
      </c>
      <c r="AV259" s="200">
        <f t="shared" si="252"/>
        <v>0.45056557828532273</v>
      </c>
      <c r="AW259" s="200">
        <f t="shared" si="252"/>
        <v>0.45056557828532273</v>
      </c>
      <c r="AX259" s="200">
        <f t="shared" si="253"/>
        <v>0.45470105310325315</v>
      </c>
      <c r="AY259" s="200">
        <f t="shared" si="253"/>
        <v>0.45883652792118357</v>
      </c>
      <c r="AZ259" s="200">
        <f t="shared" si="253"/>
        <v>0.45056557828532273</v>
      </c>
      <c r="BA259" s="200">
        <f t="shared" si="253"/>
        <v>0.45056557828532273</v>
      </c>
      <c r="BB259" s="200">
        <f t="shared" si="253"/>
        <v>0.45056557828532273</v>
      </c>
      <c r="BC259" s="200">
        <f t="shared" si="253"/>
        <v>0.45056557828532273</v>
      </c>
      <c r="BD259" s="200">
        <f t="shared" si="253"/>
        <v>0.45056557828532273</v>
      </c>
    </row>
    <row r="260" spans="1:56">
      <c r="A260" s="199" t="s">
        <v>16</v>
      </c>
      <c r="E260" s="199" t="s">
        <v>442</v>
      </c>
      <c r="F260" s="199" t="s">
        <v>442</v>
      </c>
      <c r="G260" s="199" t="str">
        <f>G257</f>
        <v>high income</v>
      </c>
      <c r="H260" s="200" t="s">
        <v>439</v>
      </c>
      <c r="I260" s="199" t="str">
        <f>I257</f>
        <v>hhd-he</v>
      </c>
      <c r="J260" s="200">
        <f t="shared" si="247"/>
        <v>8.9454994260417586E-2</v>
      </c>
      <c r="K260" s="200">
        <f t="shared" si="248"/>
        <v>9.7334205763793771E-2</v>
      </c>
      <c r="L260" s="200">
        <f t="shared" si="248"/>
        <v>0.10521341726716996</v>
      </c>
      <c r="M260" s="200">
        <f t="shared" si="248"/>
        <v>0.11309262877054613</v>
      </c>
      <c r="N260" s="200">
        <f t="shared" si="248"/>
        <v>5.6546314385273064E-2</v>
      </c>
      <c r="O260" s="200">
        <f t="shared" si="248"/>
        <v>0</v>
      </c>
      <c r="P260" s="200">
        <f t="shared" si="248"/>
        <v>4.3110104850541488E-2</v>
      </c>
      <c r="Q260" s="200">
        <f t="shared" si="248"/>
        <v>8.6220209701082975E-2</v>
      </c>
      <c r="R260" s="200">
        <f t="shared" si="248"/>
        <v>0.12933031455162447</v>
      </c>
      <c r="S260" s="200">
        <f t="shared" si="248"/>
        <v>0.13811365751117824</v>
      </c>
      <c r="T260" s="200">
        <f t="shared" si="248"/>
        <v>0.14689700047073201</v>
      </c>
      <c r="U260" s="200">
        <f t="shared" si="249"/>
        <v>0.15568034343028578</v>
      </c>
      <c r="V260" s="200">
        <f t="shared" si="249"/>
        <v>0.16446368638983955</v>
      </c>
      <c r="W260" s="200">
        <f t="shared" si="249"/>
        <v>0.17324702934939332</v>
      </c>
      <c r="X260" s="200">
        <f t="shared" si="249"/>
        <v>0.18203037230894709</v>
      </c>
      <c r="Y260" s="200">
        <f t="shared" si="249"/>
        <v>0.19081371526850086</v>
      </c>
      <c r="Z260" s="200">
        <f t="shared" si="249"/>
        <v>0.19959705822805462</v>
      </c>
      <c r="AA260" s="200">
        <f t="shared" si="249"/>
        <v>0.20838040118760839</v>
      </c>
      <c r="AB260" s="200">
        <f t="shared" si="249"/>
        <v>0.21716374414716211</v>
      </c>
      <c r="AC260" s="200">
        <f t="shared" si="249"/>
        <v>0.2255894083786969</v>
      </c>
      <c r="AD260" s="200">
        <f t="shared" si="249"/>
        <v>0.23401507261023169</v>
      </c>
      <c r="AE260" s="200">
        <f t="shared" si="250"/>
        <v>0.24244073684176648</v>
      </c>
      <c r="AF260" s="200">
        <f t="shared" si="250"/>
        <v>0.25086640107330127</v>
      </c>
      <c r="AG260" s="200">
        <f t="shared" si="250"/>
        <v>0.25929206530483606</v>
      </c>
      <c r="AH260" s="200">
        <f t="shared" si="250"/>
        <v>0.26771772953637085</v>
      </c>
      <c r="AI260" s="200">
        <f t="shared" si="250"/>
        <v>0.27614339376790564</v>
      </c>
      <c r="AJ260" s="200">
        <f t="shared" si="250"/>
        <v>0.28456905799944043</v>
      </c>
      <c r="AK260" s="200">
        <f t="shared" si="250"/>
        <v>0.29299472223097522</v>
      </c>
      <c r="AL260" s="200">
        <f t="shared" si="250"/>
        <v>0.30142038646251013</v>
      </c>
      <c r="AM260" s="200">
        <f t="shared" si="250"/>
        <v>0.30711889347912547</v>
      </c>
      <c r="AN260" s="200">
        <f t="shared" si="250"/>
        <v>0.3128174004957408</v>
      </c>
      <c r="AO260" s="200">
        <f t="shared" si="251"/>
        <v>0.31851590751235614</v>
      </c>
      <c r="AP260" s="200">
        <f t="shared" si="251"/>
        <v>0.32421441452897148</v>
      </c>
      <c r="AQ260" s="200">
        <f t="shared" si="251"/>
        <v>0.32991292154558682</v>
      </c>
      <c r="AR260" s="200">
        <f t="shared" si="252"/>
        <v>0.33561142856220216</v>
      </c>
      <c r="AS260" s="200">
        <f t="shared" si="252"/>
        <v>0.3413099355788175</v>
      </c>
      <c r="AT260" s="200">
        <f t="shared" si="252"/>
        <v>0.34700844259543284</v>
      </c>
      <c r="AU260" s="200">
        <f t="shared" si="252"/>
        <v>0.35270694961204818</v>
      </c>
      <c r="AV260" s="200">
        <f t="shared" si="252"/>
        <v>0.35840545662866324</v>
      </c>
      <c r="AW260" s="200">
        <f t="shared" si="252"/>
        <v>0.35840545662866324</v>
      </c>
      <c r="AX260" s="200">
        <f t="shared" si="253"/>
        <v>0.36410396364527853</v>
      </c>
      <c r="AY260" s="200">
        <f t="shared" si="253"/>
        <v>0.36980247066189387</v>
      </c>
      <c r="AZ260" s="200">
        <f t="shared" si="253"/>
        <v>0.35840545662866324</v>
      </c>
      <c r="BA260" s="200">
        <f t="shared" si="253"/>
        <v>0.35840545662866324</v>
      </c>
      <c r="BB260" s="200">
        <f t="shared" si="253"/>
        <v>0.35840545662866324</v>
      </c>
      <c r="BC260" s="200">
        <f t="shared" si="253"/>
        <v>0.35840545662866324</v>
      </c>
      <c r="BD260" s="200">
        <f t="shared" si="253"/>
        <v>0.35840545662866324</v>
      </c>
    </row>
    <row r="261" spans="1:56">
      <c r="A261" s="199" t="s">
        <v>16</v>
      </c>
    </row>
    <row r="262" spans="1:56">
      <c r="A262" s="199" t="s">
        <v>16</v>
      </c>
    </row>
    <row r="263" spans="1:56">
      <c r="A263" s="199" t="s">
        <v>16</v>
      </c>
    </row>
    <row r="264" spans="1:56">
      <c r="A264" s="199" t="s">
        <v>16</v>
      </c>
    </row>
    <row r="265" spans="1:56">
      <c r="A265" s="199" t="s">
        <v>16</v>
      </c>
    </row>
    <row r="266" spans="1:56">
      <c r="A266" s="199" t="s">
        <v>16</v>
      </c>
    </row>
    <row r="267" spans="1:56">
      <c r="A267" s="199" t="s">
        <v>16</v>
      </c>
    </row>
    <row r="268" spans="1:56">
      <c r="A268" s="199" t="s">
        <v>16</v>
      </c>
    </row>
    <row r="269" spans="1:56">
      <c r="A269" s="199" t="s">
        <v>16</v>
      </c>
    </row>
    <row r="270" spans="1:56">
      <c r="A270" s="199" t="s">
        <v>16</v>
      </c>
    </row>
    <row r="271" spans="1:56">
      <c r="A271" s="199" t="s">
        <v>16</v>
      </c>
    </row>
    <row r="272" spans="1:56">
      <c r="A272" s="199" t="s">
        <v>16</v>
      </c>
    </row>
    <row r="273" spans="1:1">
      <c r="A273" s="199" t="s">
        <v>16</v>
      </c>
    </row>
    <row r="274" spans="1:1">
      <c r="A274" s="199" t="s">
        <v>16</v>
      </c>
    </row>
    <row r="275" spans="1:1">
      <c r="A275" s="199" t="s">
        <v>16</v>
      </c>
    </row>
    <row r="276" spans="1:1">
      <c r="A276" s="199" t="s">
        <v>16</v>
      </c>
    </row>
    <row r="277" spans="1:1">
      <c r="A277" s="199" t="s">
        <v>16</v>
      </c>
    </row>
  </sheetData>
  <mergeCells count="2">
    <mergeCell ref="B2:C2"/>
    <mergeCell ref="BG1:BI1"/>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31" zoomScale="90" zoomScaleNormal="90" workbookViewId="0">
      <selection activeCell="C9" sqref="C9"/>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199"/>
    <col min="13" max="43" width="6.85546875" customWidth="1"/>
  </cols>
  <sheetData>
    <row r="1" spans="1:43" s="4" customFormat="1">
      <c r="A1" s="4" t="str">
        <f>IF(TRA,"TS DATA","")</f>
        <v>TS DATA</v>
      </c>
      <c r="B1" s="4" t="s">
        <v>17</v>
      </c>
      <c r="J1" s="41"/>
      <c r="L1" s="199"/>
    </row>
    <row r="2" spans="1:43" s="4" customFormat="1" ht="15.75" thickBot="1">
      <c r="A2" s="4" t="s">
        <v>16</v>
      </c>
      <c r="B2" s="301" t="s">
        <v>296</v>
      </c>
      <c r="C2" s="301"/>
      <c r="J2" s="41"/>
      <c r="L2" s="199"/>
    </row>
    <row r="3" spans="1:43">
      <c r="A3" s="4" t="s">
        <v>16</v>
      </c>
      <c r="B3" s="282" t="s">
        <v>634</v>
      </c>
      <c r="C3" s="4"/>
      <c r="D3" s="4"/>
      <c r="E3" s="4"/>
      <c r="F3" s="4"/>
      <c r="H3" s="4"/>
      <c r="I3" s="4"/>
      <c r="J3" s="199">
        <f>MATCH(J4,Drivers!$C$5:$AG$5,0)</f>
        <v>1</v>
      </c>
      <c r="K3" s="199">
        <f>MATCH(K4,Drivers!$C$5:$AG$5,0)</f>
        <v>4</v>
      </c>
      <c r="L3" s="199">
        <f>MATCH(L4,Drivers!$C$5:$AG$5,0)</f>
        <v>6</v>
      </c>
      <c r="M3" s="199">
        <f>MATCH(M4,Drivers!$C$5:$AG$5,0)</f>
        <v>9</v>
      </c>
      <c r="N3" s="199">
        <f>MATCH(N4,Drivers!$C$5:$AG$5,0)</f>
        <v>19</v>
      </c>
      <c r="O3" s="199">
        <f>MATCH(O4,Drivers!$C$5:$AG$5,0)</f>
        <v>29</v>
      </c>
      <c r="P3" s="199">
        <f>MATCH(P4,Drivers!$C$5:$AG$5,0)</f>
        <v>31</v>
      </c>
      <c r="Q3" s="4"/>
      <c r="R3" s="4"/>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70" t="s">
        <v>156</v>
      </c>
      <c r="C4" s="14"/>
      <c r="D4" s="14" t="s">
        <v>135</v>
      </c>
      <c r="E4" s="14"/>
      <c r="F4" s="14"/>
      <c r="G4" s="14"/>
      <c r="H4" s="14"/>
      <c r="I4" s="14" t="s">
        <v>135</v>
      </c>
      <c r="J4" s="199">
        <v>2012</v>
      </c>
      <c r="K4" s="199">
        <v>2015</v>
      </c>
      <c r="L4" s="199">
        <v>2017</v>
      </c>
      <c r="M4" s="199">
        <v>2020</v>
      </c>
      <c r="N4" s="199">
        <v>2030</v>
      </c>
      <c r="O4" s="199">
        <v>2040</v>
      </c>
      <c r="P4" s="199">
        <v>2050</v>
      </c>
      <c r="Q4" s="4"/>
      <c r="R4" s="4"/>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200" t="s">
        <v>599</v>
      </c>
      <c r="C5" s="200" t="s">
        <v>601</v>
      </c>
      <c r="D5" s="199">
        <f>MATCH(B5,Drivers!$A$7:$A$22,0)</f>
        <v>13</v>
      </c>
      <c r="E5" s="200"/>
      <c r="G5"/>
      <c r="J5" s="24">
        <f>INDEX(Drivers!$C$7:$AG$22,$D5,J$3)</f>
        <v>11.26</v>
      </c>
      <c r="K5" s="24">
        <f>INDEX(Drivers!$C$7:$AG$22,$D5,K$3)</f>
        <v>12.28</v>
      </c>
      <c r="L5" s="24">
        <f>INDEX(Drivers!$C$7:$AG$22,$D5,L$3)</f>
        <v>12.6</v>
      </c>
      <c r="M5" s="24">
        <f>INDEX(Drivers!$C$7:$AG$22,$D5,M$3)</f>
        <v>12.43</v>
      </c>
      <c r="N5" s="24">
        <f>INDEX(Drivers!$C$7:$AG$22,$D5,N$3)</f>
        <v>17.77</v>
      </c>
      <c r="O5" s="24">
        <f>INDEX(Drivers!$C$7:$AG$22,$D5,O$3)</f>
        <v>25.17</v>
      </c>
      <c r="P5" s="24">
        <f>INDEX(Drivers!$C$7:$AG$22,$D5,P$3)</f>
        <v>37.47</v>
      </c>
      <c r="Q5" s="6"/>
      <c r="R5" s="6"/>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6"/>
      <c r="K7" s="6"/>
      <c r="L7" s="200"/>
      <c r="M7" s="6"/>
      <c r="N7" s="6"/>
      <c r="O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7" t="s">
        <v>93</v>
      </c>
      <c r="C9" s="4"/>
      <c r="D9">
        <v>1</v>
      </c>
      <c r="E9">
        <f t="shared" ref="E9:H11" si="0">D9</f>
        <v>1</v>
      </c>
      <c r="F9" s="4">
        <f t="shared" si="0"/>
        <v>1</v>
      </c>
      <c r="G9" s="4">
        <f t="shared" si="0"/>
        <v>1</v>
      </c>
      <c r="H9" s="4">
        <f t="shared" si="0"/>
        <v>1</v>
      </c>
      <c r="I9" s="4"/>
      <c r="J9" s="10">
        <f>D9</f>
        <v>1</v>
      </c>
      <c r="K9" s="10">
        <f t="shared" ref="K9:L11" si="1">J9</f>
        <v>1</v>
      </c>
      <c r="L9" s="10">
        <f t="shared" si="1"/>
        <v>1</v>
      </c>
      <c r="M9" s="10">
        <f>K9</f>
        <v>1</v>
      </c>
      <c r="N9" s="10">
        <f t="shared" ref="N9:P9" si="2">M9</f>
        <v>1</v>
      </c>
      <c r="O9" s="10">
        <f t="shared" si="2"/>
        <v>1</v>
      </c>
      <c r="P9" s="10">
        <f t="shared" si="2"/>
        <v>1</v>
      </c>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99" customFormat="1">
      <c r="A10" s="199" t="s">
        <v>16</v>
      </c>
      <c r="B10" s="57" t="s">
        <v>106</v>
      </c>
      <c r="D10" s="199">
        <v>1</v>
      </c>
      <c r="E10" s="199">
        <f t="shared" ref="E10" si="3">D10</f>
        <v>1</v>
      </c>
      <c r="F10" s="199">
        <f t="shared" ref="F10" si="4">E10</f>
        <v>1</v>
      </c>
      <c r="G10" s="199">
        <f t="shared" ref="G10" si="5">F10</f>
        <v>1</v>
      </c>
      <c r="H10" s="199">
        <f t="shared" ref="H10" si="6">G10</f>
        <v>1</v>
      </c>
      <c r="J10" s="10">
        <f>D10</f>
        <v>1</v>
      </c>
      <c r="K10" s="10">
        <f t="shared" si="1"/>
        <v>1</v>
      </c>
      <c r="L10" s="10">
        <f t="shared" si="1"/>
        <v>1</v>
      </c>
      <c r="M10" s="10">
        <f>K10</f>
        <v>1</v>
      </c>
      <c r="N10" s="10">
        <f t="shared" ref="N10" si="7">M10</f>
        <v>1</v>
      </c>
      <c r="O10" s="10">
        <f t="shared" ref="O10" si="8">N10</f>
        <v>1</v>
      </c>
      <c r="P10" s="10">
        <f t="shared" ref="P10" si="9">O10</f>
        <v>1</v>
      </c>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K11</f>
        <v>1</v>
      </c>
      <c r="N11" s="10">
        <f t="shared" ref="N11:P11" si="10">M11</f>
        <v>1</v>
      </c>
      <c r="O11" s="10">
        <f t="shared" si="10"/>
        <v>1</v>
      </c>
      <c r="P11" s="10">
        <f t="shared" si="10"/>
        <v>1</v>
      </c>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5"/>
    </row>
    <row r="15" spans="1:43">
      <c r="A15" s="4" t="s">
        <v>16</v>
      </c>
      <c r="B15" s="4" t="s">
        <v>92</v>
      </c>
      <c r="E15" s="6"/>
      <c r="F15" s="6"/>
      <c r="G15" s="6"/>
      <c r="H15" s="6"/>
    </row>
    <row r="16" spans="1:43">
      <c r="A16" s="4" t="s">
        <v>16</v>
      </c>
      <c r="B16" s="199" t="s">
        <v>93</v>
      </c>
      <c r="C16" s="6">
        <v>1</v>
      </c>
      <c r="D16" s="6">
        <f>C16</f>
        <v>1</v>
      </c>
      <c r="E16" s="6">
        <f>D16</f>
        <v>1</v>
      </c>
      <c r="F16" s="6">
        <f>E16</f>
        <v>1</v>
      </c>
      <c r="G16" s="6">
        <f>F16</f>
        <v>1</v>
      </c>
      <c r="H16" s="6">
        <f>G16</f>
        <v>1</v>
      </c>
      <c r="I16" s="28" t="s">
        <v>38</v>
      </c>
      <c r="J16" s="123">
        <f>E22</f>
        <v>60.368000000000002</v>
      </c>
      <c r="K16" s="37">
        <f>J16*(1+$C$16*(K5/J5-1))</f>
        <v>65.836504440497336</v>
      </c>
      <c r="L16" s="37">
        <f>K16*(1+$C$16*(L5/K5-1))</f>
        <v>67.552113676731793</v>
      </c>
      <c r="M16" s="37">
        <f t="shared" ref="M16:P16" si="11">L16*(1+$C$16*(M5/L5-1))</f>
        <v>66.640696269982243</v>
      </c>
      <c r="N16" s="37">
        <f t="shared" si="11"/>
        <v>95.269925399644762</v>
      </c>
      <c r="O16" s="37">
        <f t="shared" si="11"/>
        <v>134.94338898756664</v>
      </c>
      <c r="P16" s="37">
        <f t="shared" si="11"/>
        <v>200.88711900532863</v>
      </c>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row>
    <row r="17" spans="1:43">
      <c r="A17" s="4" t="s">
        <v>16</v>
      </c>
      <c r="B17" s="199" t="s">
        <v>94</v>
      </c>
      <c r="C17" s="200">
        <v>1</v>
      </c>
      <c r="D17" s="200">
        <v>1</v>
      </c>
      <c r="E17" s="200">
        <v>1</v>
      </c>
      <c r="F17" s="200">
        <v>1</v>
      </c>
      <c r="G17" s="200">
        <v>1</v>
      </c>
      <c r="H17" s="200">
        <v>1</v>
      </c>
      <c r="I17" s="28" t="s">
        <v>38</v>
      </c>
      <c r="J17" s="123">
        <f>E23</f>
        <v>20.123000000000001</v>
      </c>
      <c r="K17" s="37">
        <f>J17*(1+$C$17*(K5/J5-1))</f>
        <v>21.945865008880997</v>
      </c>
      <c r="L17" s="37">
        <f t="shared" ref="L17:P17" si="12">K17*(1+$C$17*(L5/K5-1))</f>
        <v>22.517744227353464</v>
      </c>
      <c r="M17" s="37">
        <f t="shared" si="12"/>
        <v>22.213933392539968</v>
      </c>
      <c r="N17" s="37">
        <f t="shared" si="12"/>
        <v>31.757167850799295</v>
      </c>
      <c r="O17" s="37">
        <f t="shared" si="12"/>
        <v>44.981874777975143</v>
      </c>
      <c r="P17" s="37">
        <f t="shared" si="12"/>
        <v>66.96348223801067</v>
      </c>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row>
    <row r="18" spans="1:43" s="199" customFormat="1">
      <c r="A18" s="199" t="s">
        <v>16</v>
      </c>
      <c r="B18" s="199" t="s">
        <v>94</v>
      </c>
      <c r="C18" s="200">
        <v>1</v>
      </c>
      <c r="D18" s="200">
        <v>1</v>
      </c>
      <c r="E18" s="200">
        <v>1</v>
      </c>
      <c r="F18" s="200">
        <v>1</v>
      </c>
      <c r="G18" s="200">
        <v>1</v>
      </c>
      <c r="H18" s="200">
        <v>1</v>
      </c>
      <c r="I18" s="28" t="s">
        <v>38</v>
      </c>
      <c r="J18" s="123">
        <f>E24</f>
        <v>1.0701311035156249</v>
      </c>
      <c r="K18" s="37">
        <f>J18*(1+$C$18*(K5/J5-1))</f>
        <v>1.1670701555214809</v>
      </c>
      <c r="L18" s="37">
        <f t="shared" ref="L18:P18" si="13">K18*(1+$C$18*(L5/K5-1))</f>
        <v>1.1974824071311612</v>
      </c>
      <c r="M18" s="37">
        <f t="shared" si="13"/>
        <v>1.1813258984635187</v>
      </c>
      <c r="N18" s="37">
        <f t="shared" si="13"/>
        <v>1.6888303472000585</v>
      </c>
      <c r="O18" s="37">
        <f t="shared" si="13"/>
        <v>2.3921136656739153</v>
      </c>
      <c r="P18" s="37">
        <f t="shared" si="13"/>
        <v>3.5610845869210008</v>
      </c>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row>
    <row r="19" spans="1:43">
      <c r="A19" s="4" t="s">
        <v>16</v>
      </c>
      <c r="B19" s="199"/>
      <c r="C19" s="4"/>
      <c r="D19" s="4"/>
      <c r="E19" s="4"/>
      <c r="F19" s="4"/>
      <c r="H19" s="10"/>
      <c r="I19" s="10"/>
      <c r="J19" s="10"/>
      <c r="K19" s="11"/>
      <c r="L19" s="11"/>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200" t="str">
        <f>ITEMS_TRA!C30</f>
        <v>TAIJET</v>
      </c>
      <c r="C22" s="200" t="str">
        <f>ITEMS_TRA!D30</f>
        <v xml:space="preserve">Transport Other -  Aviation Int Jet Fuel </v>
      </c>
      <c r="D22" s="28" t="s">
        <v>38</v>
      </c>
      <c r="E22" s="188">
        <f>'[2]TS BYDem'!$J34</f>
        <v>60.368000000000002</v>
      </c>
      <c r="F22" s="6"/>
      <c r="G22"/>
      <c r="J22" s="6">
        <f>E22</f>
        <v>60.368000000000002</v>
      </c>
      <c r="K22" s="200">
        <f t="shared" ref="K22:P22" si="14">(K16*K9)</f>
        <v>65.836504440497336</v>
      </c>
      <c r="L22" s="233">
        <v>68.939278175231294</v>
      </c>
      <c r="M22" s="200">
        <f t="shared" si="14"/>
        <v>66.640696269982243</v>
      </c>
      <c r="N22" s="200">
        <f t="shared" si="14"/>
        <v>95.269925399644762</v>
      </c>
      <c r="O22" s="200">
        <f t="shared" si="14"/>
        <v>134.94338898756664</v>
      </c>
      <c r="P22" s="200">
        <f t="shared" si="14"/>
        <v>200.88711900532863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99" customFormat="1">
      <c r="A23" s="199" t="s">
        <v>16</v>
      </c>
      <c r="B23" s="200" t="str">
        <f>ITEMS_TRA!C31</f>
        <v>TADJET</v>
      </c>
      <c r="C23" s="200" t="str">
        <f>ITEMS_TRA!D31</f>
        <v xml:space="preserve">Transport Other -  Aviation Dom Jet Fuel </v>
      </c>
      <c r="D23" s="28" t="s">
        <v>38</v>
      </c>
      <c r="E23" s="188">
        <f>'[2]TS BYDem'!$J35</f>
        <v>20.123000000000001</v>
      </c>
      <c r="F23" s="200"/>
      <c r="J23" s="200">
        <f t="shared" ref="J23:J24" si="15">E23</f>
        <v>20.123000000000001</v>
      </c>
      <c r="K23" s="200">
        <f>(K17*K10)</f>
        <v>21.945865008880997</v>
      </c>
      <c r="L23" s="24">
        <v>20.465228059152793</v>
      </c>
      <c r="M23" s="200">
        <f t="shared" ref="M23:P23" si="16">(M17*M10)</f>
        <v>22.213933392539968</v>
      </c>
      <c r="N23" s="200">
        <f t="shared" si="16"/>
        <v>31.757167850799295</v>
      </c>
      <c r="O23" s="200">
        <f t="shared" si="16"/>
        <v>44.981874777975143</v>
      </c>
      <c r="P23" s="200">
        <f t="shared" si="16"/>
        <v>66.96348223801067</v>
      </c>
      <c r="Q23" s="200"/>
      <c r="R23" s="200"/>
      <c r="S23" s="200"/>
      <c r="T23" s="200"/>
      <c r="U23" s="200"/>
      <c r="V23" s="200"/>
      <c r="W23" s="200"/>
      <c r="X23" s="200"/>
      <c r="Y23" s="200"/>
      <c r="Z23" s="200"/>
      <c r="AA23" s="200"/>
      <c r="AB23" s="200"/>
      <c r="AC23" s="200"/>
      <c r="AD23" s="200"/>
      <c r="AE23" s="200"/>
      <c r="AF23" s="200"/>
      <c r="AG23" s="200"/>
      <c r="AH23" s="200"/>
      <c r="AI23" s="200"/>
      <c r="AJ23" s="200"/>
      <c r="AK23" s="200"/>
      <c r="AL23" s="200"/>
      <c r="AM23" s="200"/>
      <c r="AN23" s="200"/>
      <c r="AO23" s="200"/>
      <c r="AP23" s="200"/>
      <c r="AQ23" s="200"/>
    </row>
    <row r="24" spans="1:43" s="199" customFormat="1">
      <c r="A24" s="199" t="s">
        <v>16</v>
      </c>
      <c r="B24" s="200" t="str">
        <f>ITEMS_TRA!C32</f>
        <v>TAOAG</v>
      </c>
      <c r="C24" s="200" t="str">
        <f>ITEMS_TRA!D32</f>
        <v>Transport Other - Aviation Gasoline</v>
      </c>
      <c r="D24" s="28" t="s">
        <v>38</v>
      </c>
      <c r="E24" s="188">
        <f>'[2]TS BYDem'!$J36</f>
        <v>1.0701311035156249</v>
      </c>
      <c r="F24" s="200"/>
      <c r="J24" s="200">
        <f t="shared" si="15"/>
        <v>1.0701311035156249</v>
      </c>
      <c r="K24" s="200">
        <f>(K18*K11)</f>
        <v>1.1670701555214809</v>
      </c>
      <c r="L24" s="200">
        <f t="shared" ref="L24:P24" si="17">(L18*L11)</f>
        <v>1.1974824071311612</v>
      </c>
      <c r="M24" s="200">
        <f t="shared" si="17"/>
        <v>1.1813258984635187</v>
      </c>
      <c r="N24" s="200">
        <f t="shared" si="17"/>
        <v>1.6888303472000585</v>
      </c>
      <c r="O24" s="200">
        <f t="shared" si="17"/>
        <v>2.3921136656739153</v>
      </c>
      <c r="P24" s="200">
        <f t="shared" si="17"/>
        <v>3.5610845869210008</v>
      </c>
      <c r="Q24" s="200"/>
      <c r="R24" s="200"/>
      <c r="S24" s="200"/>
      <c r="T24" s="200"/>
      <c r="U24" s="200"/>
      <c r="V24" s="200"/>
      <c r="W24" s="200"/>
      <c r="X24" s="200"/>
      <c r="Y24" s="200"/>
      <c r="Z24" s="200"/>
      <c r="AA24" s="200"/>
      <c r="AB24" s="200"/>
      <c r="AC24" s="200"/>
      <c r="AD24" s="200"/>
      <c r="AE24" s="200"/>
      <c r="AF24" s="200"/>
      <c r="AG24" s="200"/>
      <c r="AH24" s="200"/>
      <c r="AI24" s="200"/>
      <c r="AJ24" s="200"/>
      <c r="AK24" s="200"/>
      <c r="AL24" s="200"/>
      <c r="AM24" s="200"/>
      <c r="AN24" s="200"/>
      <c r="AO24" s="200"/>
      <c r="AP24" s="200"/>
      <c r="AQ24" s="200"/>
    </row>
    <row r="25" spans="1:43" s="199" customFormat="1">
      <c r="D25" s="28"/>
      <c r="E25" s="62"/>
      <c r="F25" s="200"/>
      <c r="J25" s="200"/>
      <c r="K25" s="200"/>
      <c r="L25" s="200"/>
      <c r="M25" s="200"/>
      <c r="N25" s="200"/>
      <c r="O25" s="200"/>
      <c r="P25" s="200"/>
      <c r="Q25" s="200"/>
      <c r="R25" s="200"/>
      <c r="S25" s="200"/>
      <c r="T25" s="200"/>
      <c r="U25" s="200"/>
      <c r="V25" s="200"/>
      <c r="W25" s="200"/>
      <c r="X25" s="200"/>
      <c r="Y25" s="200"/>
      <c r="Z25" s="200"/>
      <c r="AA25" s="200"/>
      <c r="AB25" s="200"/>
      <c r="AC25" s="200"/>
      <c r="AD25" s="200"/>
      <c r="AE25" s="200"/>
      <c r="AF25" s="200"/>
      <c r="AG25" s="200"/>
      <c r="AH25" s="200"/>
      <c r="AI25" s="200"/>
      <c r="AJ25" s="200"/>
      <c r="AK25" s="200"/>
      <c r="AL25" s="200"/>
      <c r="AM25" s="200"/>
      <c r="AN25" s="200"/>
      <c r="AO25" s="200"/>
      <c r="AP25" s="200"/>
      <c r="AQ25" s="200"/>
    </row>
    <row r="26" spans="1:43" ht="18" thickBot="1">
      <c r="A26" s="4" t="s">
        <v>16</v>
      </c>
      <c r="B26" s="70" t="s">
        <v>602</v>
      </c>
      <c r="C26" s="20"/>
      <c r="D26" s="14"/>
      <c r="E26" s="14"/>
      <c r="F26" s="14"/>
      <c r="G26" s="14"/>
      <c r="H26" s="14"/>
      <c r="I26" s="14"/>
      <c r="J26" s="4"/>
      <c r="K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200" t="s">
        <v>600</v>
      </c>
      <c r="C28" s="200" t="s">
        <v>602</v>
      </c>
      <c r="D28" s="199">
        <f>MATCH(B28,Drivers!$A$7:$A$22,0)</f>
        <v>16</v>
      </c>
      <c r="E28" s="200"/>
      <c r="F28" s="199"/>
      <c r="G28" s="199"/>
      <c r="H28" s="199"/>
      <c r="I28" s="199"/>
      <c r="J28" s="200">
        <f>INDEX(Drivers!$C$7:$AG$22,$D28,J$3)</f>
        <v>1.1399999999999999</v>
      </c>
      <c r="K28" s="200">
        <f>INDEX(Drivers!$C$7:$AG$22,$D28,K$3)</f>
        <v>1.1299999999999999</v>
      </c>
      <c r="L28" s="200">
        <f>INDEX(Drivers!$C$7:$AG$22,$D28,L$3)</f>
        <v>1.1499999999999999</v>
      </c>
      <c r="M28" s="200">
        <f>INDEX(Drivers!$C$7:$AG$22,$D28,M$3)</f>
        <v>1.01</v>
      </c>
      <c r="N28" s="200">
        <f>INDEX(Drivers!$C$7:$AG$22,$D28,N$3)</f>
        <v>1.61</v>
      </c>
      <c r="O28" s="200">
        <f>INDEX(Drivers!$C$7:$AG$22,$D28,O$3)</f>
        <v>3.24</v>
      </c>
      <c r="P28" s="200">
        <f>INDEX(Drivers!$C$7:$AG$22,$D28,P$3)</f>
        <v>6.42</v>
      </c>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9" t="s">
        <v>155</v>
      </c>
      <c r="F31" s="4"/>
      <c r="G31"/>
      <c r="K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62">
        <f>'[2]TS BYDem'!$J$33</f>
        <v>0.820564128</v>
      </c>
      <c r="J33" s="200">
        <f>E33</f>
        <v>0.820564128</v>
      </c>
      <c r="K33" s="200">
        <f>J33</f>
        <v>0.820564128</v>
      </c>
      <c r="L33" s="200">
        <f>K33</f>
        <v>0.820564128</v>
      </c>
      <c r="M33" s="200">
        <f>K33</f>
        <v>0.820564128</v>
      </c>
      <c r="N33" s="200">
        <f t="shared" ref="N33:P33" si="18">M33</f>
        <v>0.820564128</v>
      </c>
      <c r="O33" s="200">
        <f t="shared" si="18"/>
        <v>0.820564128</v>
      </c>
      <c r="P33" s="200">
        <f t="shared" si="18"/>
        <v>0.820564128</v>
      </c>
    </row>
    <row r="34" spans="1:78">
      <c r="A34" s="4" t="s">
        <v>16</v>
      </c>
    </row>
    <row r="35" spans="1:78" ht="18" thickBot="1">
      <c r="A35" s="4" t="s">
        <v>16</v>
      </c>
      <c r="C35" s="70" t="s">
        <v>157</v>
      </c>
    </row>
    <row r="36" spans="1:78" ht="15.75" thickTop="1">
      <c r="A36" s="4" t="s">
        <v>16</v>
      </c>
      <c r="B36" s="4" t="s">
        <v>158</v>
      </c>
      <c r="C36" s="4" t="s">
        <v>159</v>
      </c>
      <c r="D36" s="28" t="s">
        <v>38</v>
      </c>
      <c r="E36" s="62">
        <f>'[2]TS BYDem'!$J$37</f>
        <v>4.5090000000000003</v>
      </c>
      <c r="J36" s="6">
        <f>E36</f>
        <v>4.5090000000000003</v>
      </c>
      <c r="K36" s="6">
        <f>K$28/J$28*J36</f>
        <v>4.4694473684210525</v>
      </c>
      <c r="L36" s="200">
        <f>L$28/K$28*K36</f>
        <v>4.5485526315789473</v>
      </c>
      <c r="M36" s="200">
        <f>M$28/K$28*K36</f>
        <v>3.9948157894736842</v>
      </c>
      <c r="N36" s="200">
        <f t="shared" ref="N36:P36" si="19">N$28/M$28*M36</f>
        <v>6.3679736842105266</v>
      </c>
      <c r="O36" s="200">
        <f t="shared" si="19"/>
        <v>12.815052631578947</v>
      </c>
      <c r="P36" s="200">
        <f t="shared" si="19"/>
        <v>25.392789473684207</v>
      </c>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199" customFormat="1"/>
    <row r="39" spans="1:78" s="199" customFormat="1"/>
    <row r="40" spans="1:78" s="199" customFormat="1"/>
    <row r="42" spans="1:78" s="199" customFormat="1" ht="23.25">
      <c r="A42" s="124" t="s">
        <v>16</v>
      </c>
      <c r="B42" s="128" t="s">
        <v>19</v>
      </c>
      <c r="C42" s="128" t="s">
        <v>20</v>
      </c>
      <c r="D42" s="128" t="s">
        <v>21</v>
      </c>
      <c r="E42" s="128"/>
      <c r="F42" s="128" t="s">
        <v>22</v>
      </c>
      <c r="G42" s="128" t="s">
        <v>23</v>
      </c>
      <c r="H42" s="128" t="s">
        <v>24</v>
      </c>
      <c r="I42" s="129" t="s">
        <v>25</v>
      </c>
      <c r="J42" s="202">
        <v>2012</v>
      </c>
      <c r="K42" s="202">
        <v>2013</v>
      </c>
      <c r="L42" s="202">
        <v>2014</v>
      </c>
      <c r="M42" s="202">
        <v>2015</v>
      </c>
      <c r="N42" s="202">
        <v>2016</v>
      </c>
      <c r="O42" s="202">
        <v>2017</v>
      </c>
      <c r="P42" s="202">
        <v>2018</v>
      </c>
      <c r="Q42" s="202">
        <v>2019</v>
      </c>
      <c r="R42" s="202">
        <v>2020</v>
      </c>
      <c r="S42" s="202">
        <v>2021</v>
      </c>
      <c r="T42" s="202">
        <v>2022</v>
      </c>
      <c r="U42" s="202">
        <v>2023</v>
      </c>
      <c r="V42" s="202">
        <v>2024</v>
      </c>
      <c r="W42" s="202">
        <v>2025</v>
      </c>
      <c r="X42" s="202">
        <v>2026</v>
      </c>
      <c r="Y42" s="202">
        <v>2027</v>
      </c>
      <c r="Z42" s="202">
        <v>2028</v>
      </c>
      <c r="AA42" s="202">
        <v>2029</v>
      </c>
      <c r="AB42" s="202">
        <v>2030</v>
      </c>
      <c r="AC42" s="202">
        <v>2031</v>
      </c>
      <c r="AD42" s="202">
        <v>2032</v>
      </c>
      <c r="AE42" s="202">
        <v>2033</v>
      </c>
      <c r="AF42" s="202">
        <v>2034</v>
      </c>
      <c r="AG42" s="202">
        <v>2035</v>
      </c>
      <c r="AH42" s="202">
        <v>2036</v>
      </c>
      <c r="AI42" s="202">
        <v>2037</v>
      </c>
      <c r="AJ42" s="202">
        <v>2038</v>
      </c>
      <c r="AK42" s="202">
        <v>2039</v>
      </c>
      <c r="AL42" s="202">
        <v>2040</v>
      </c>
      <c r="AM42" s="202">
        <v>2045</v>
      </c>
      <c r="AN42" s="202">
        <v>2050</v>
      </c>
      <c r="AO42" s="202">
        <v>2060</v>
      </c>
      <c r="AP42" s="202">
        <v>2070</v>
      </c>
    </row>
    <row r="43" spans="1:78" s="205" customFormat="1">
      <c r="A43" s="124" t="s">
        <v>16</v>
      </c>
      <c r="B43" s="125">
        <v>1</v>
      </c>
      <c r="C43" s="205">
        <v>2012</v>
      </c>
      <c r="D43" s="205">
        <v>2015</v>
      </c>
      <c r="E43" s="205">
        <v>2017</v>
      </c>
      <c r="F43" s="205">
        <v>2020</v>
      </c>
      <c r="G43" s="125">
        <v>2030</v>
      </c>
      <c r="H43" s="205">
        <v>2040</v>
      </c>
      <c r="I43" s="130">
        <v>2050</v>
      </c>
      <c r="J43" s="205">
        <f t="shared" ref="J43:S44" si="20">MATCH(J$42,$C$43:$I$43,$B43)</f>
        <v>1</v>
      </c>
      <c r="K43" s="205">
        <f t="shared" si="20"/>
        <v>1</v>
      </c>
      <c r="L43" s="205">
        <f t="shared" si="20"/>
        <v>1</v>
      </c>
      <c r="M43" s="205">
        <f t="shared" si="20"/>
        <v>2</v>
      </c>
      <c r="N43" s="205">
        <f t="shared" si="20"/>
        <v>2</v>
      </c>
      <c r="O43" s="205">
        <f t="shared" si="20"/>
        <v>3</v>
      </c>
      <c r="P43" s="205">
        <f t="shared" si="20"/>
        <v>3</v>
      </c>
      <c r="Q43" s="205">
        <f t="shared" si="20"/>
        <v>3</v>
      </c>
      <c r="R43" s="205">
        <f t="shared" si="20"/>
        <v>4</v>
      </c>
      <c r="S43" s="205">
        <f t="shared" si="20"/>
        <v>4</v>
      </c>
      <c r="T43" s="205">
        <f t="shared" ref="T43:AC44" si="21">MATCH(T$42,$C$43:$I$43,$B43)</f>
        <v>4</v>
      </c>
      <c r="U43" s="205">
        <f t="shared" si="21"/>
        <v>4</v>
      </c>
      <c r="V43" s="205">
        <f t="shared" si="21"/>
        <v>4</v>
      </c>
      <c r="W43" s="205">
        <f t="shared" si="21"/>
        <v>4</v>
      </c>
      <c r="X43" s="205">
        <f t="shared" si="21"/>
        <v>4</v>
      </c>
      <c r="Y43" s="205">
        <f t="shared" si="21"/>
        <v>4</v>
      </c>
      <c r="Z43" s="205">
        <f t="shared" si="21"/>
        <v>4</v>
      </c>
      <c r="AA43" s="205">
        <f t="shared" si="21"/>
        <v>4</v>
      </c>
      <c r="AB43" s="205">
        <f t="shared" si="21"/>
        <v>5</v>
      </c>
      <c r="AC43" s="205">
        <f t="shared" si="21"/>
        <v>5</v>
      </c>
      <c r="AD43" s="205">
        <f t="shared" ref="AD43:AP44" si="22">MATCH(AD$42,$C$43:$I$43,$B43)</f>
        <v>5</v>
      </c>
      <c r="AE43" s="205">
        <f t="shared" si="22"/>
        <v>5</v>
      </c>
      <c r="AF43" s="205">
        <f t="shared" si="22"/>
        <v>5</v>
      </c>
      <c r="AG43" s="205">
        <f t="shared" si="22"/>
        <v>5</v>
      </c>
      <c r="AH43" s="205">
        <f t="shared" si="22"/>
        <v>5</v>
      </c>
      <c r="AI43" s="205">
        <f t="shared" si="22"/>
        <v>5</v>
      </c>
      <c r="AJ43" s="205">
        <f t="shared" si="22"/>
        <v>5</v>
      </c>
      <c r="AK43" s="205">
        <f t="shared" si="22"/>
        <v>5</v>
      </c>
      <c r="AL43" s="205">
        <f t="shared" si="22"/>
        <v>6</v>
      </c>
      <c r="AM43" s="205">
        <f t="shared" si="22"/>
        <v>6</v>
      </c>
      <c r="AN43" s="205">
        <f t="shared" si="22"/>
        <v>7</v>
      </c>
      <c r="AO43" s="205">
        <f t="shared" si="22"/>
        <v>7</v>
      </c>
      <c r="AP43" s="205">
        <f t="shared" si="22"/>
        <v>7</v>
      </c>
      <c r="AR43" s="199"/>
      <c r="AS43" s="199"/>
      <c r="AT43" s="199"/>
      <c r="AU43" s="199"/>
      <c r="AV43" s="199"/>
      <c r="AW43" s="199"/>
      <c r="AX43" s="199"/>
      <c r="AY43" s="199"/>
      <c r="AZ43" s="199"/>
      <c r="BA43" s="199"/>
      <c r="BB43" s="199"/>
      <c r="BC43" s="199"/>
      <c r="BD43" s="199"/>
      <c r="BE43" s="199"/>
      <c r="BF43" s="199"/>
      <c r="BG43" s="199"/>
      <c r="BH43" s="199"/>
      <c r="BI43" s="199"/>
      <c r="BJ43" s="199"/>
      <c r="BK43" s="199"/>
      <c r="BL43" s="199"/>
      <c r="BM43" s="199"/>
      <c r="BN43" s="199"/>
      <c r="BO43" s="199"/>
      <c r="BP43" s="199"/>
      <c r="BQ43" s="199"/>
      <c r="BR43" s="199"/>
      <c r="BS43" s="199"/>
      <c r="BT43" s="199"/>
      <c r="BU43" s="199"/>
      <c r="BV43" s="199"/>
      <c r="BW43" s="199"/>
      <c r="BX43" s="199"/>
      <c r="BY43" s="199"/>
      <c r="BZ43" s="199"/>
    </row>
    <row r="44" spans="1:78" s="201" customFormat="1">
      <c r="A44" s="41" t="s">
        <v>16</v>
      </c>
      <c r="B44" s="202">
        <v>0</v>
      </c>
      <c r="C44" s="201">
        <f t="shared" ref="C44:H44" si="23">INDEX($C43:$I43,0,COUNT($C43:$I43)-C45)</f>
        <v>2050</v>
      </c>
      <c r="D44" s="201">
        <f t="shared" si="23"/>
        <v>2040</v>
      </c>
      <c r="E44" s="201">
        <f t="shared" si="23"/>
        <v>2030</v>
      </c>
      <c r="F44" s="201">
        <f t="shared" si="23"/>
        <v>2020</v>
      </c>
      <c r="G44" s="201">
        <f t="shared" si="23"/>
        <v>2017</v>
      </c>
      <c r="H44" s="201">
        <f t="shared" si="23"/>
        <v>2015</v>
      </c>
      <c r="I44" s="131">
        <v>2012</v>
      </c>
      <c r="J44" s="41">
        <f t="shared" si="20"/>
        <v>1</v>
      </c>
      <c r="K44" s="201" t="e">
        <f t="shared" si="20"/>
        <v>#N/A</v>
      </c>
      <c r="L44" s="201" t="e">
        <f t="shared" si="20"/>
        <v>#N/A</v>
      </c>
      <c r="M44" s="201">
        <f t="shared" si="20"/>
        <v>2</v>
      </c>
      <c r="N44" s="201" t="e">
        <f t="shared" si="20"/>
        <v>#N/A</v>
      </c>
      <c r="O44" s="201">
        <f t="shared" si="20"/>
        <v>3</v>
      </c>
      <c r="P44" s="201" t="e">
        <f t="shared" si="20"/>
        <v>#N/A</v>
      </c>
      <c r="Q44" s="201" t="e">
        <f t="shared" si="20"/>
        <v>#N/A</v>
      </c>
      <c r="R44" s="201">
        <f t="shared" si="20"/>
        <v>4</v>
      </c>
      <c r="S44" s="201" t="e">
        <f t="shared" si="20"/>
        <v>#N/A</v>
      </c>
      <c r="T44" s="201" t="e">
        <f t="shared" si="21"/>
        <v>#N/A</v>
      </c>
      <c r="U44" s="201" t="e">
        <f t="shared" si="21"/>
        <v>#N/A</v>
      </c>
      <c r="V44" s="201" t="e">
        <f t="shared" si="21"/>
        <v>#N/A</v>
      </c>
      <c r="W44" s="201" t="e">
        <f t="shared" si="21"/>
        <v>#N/A</v>
      </c>
      <c r="X44" s="201" t="e">
        <f t="shared" si="21"/>
        <v>#N/A</v>
      </c>
      <c r="Y44" s="201" t="e">
        <f t="shared" si="21"/>
        <v>#N/A</v>
      </c>
      <c r="Z44" s="201" t="e">
        <f t="shared" si="21"/>
        <v>#N/A</v>
      </c>
      <c r="AA44" s="201" t="e">
        <f t="shared" si="21"/>
        <v>#N/A</v>
      </c>
      <c r="AB44" s="201">
        <f t="shared" si="21"/>
        <v>5</v>
      </c>
      <c r="AC44" s="201" t="e">
        <f t="shared" si="21"/>
        <v>#N/A</v>
      </c>
      <c r="AD44" s="201" t="e">
        <f t="shared" si="22"/>
        <v>#N/A</v>
      </c>
      <c r="AE44" s="201" t="e">
        <f t="shared" si="22"/>
        <v>#N/A</v>
      </c>
      <c r="AF44" s="201" t="e">
        <f t="shared" si="22"/>
        <v>#N/A</v>
      </c>
      <c r="AG44" s="201" t="e">
        <f t="shared" si="22"/>
        <v>#N/A</v>
      </c>
      <c r="AH44" s="201" t="e">
        <f t="shared" si="22"/>
        <v>#N/A</v>
      </c>
      <c r="AI44" s="201" t="e">
        <f t="shared" si="22"/>
        <v>#N/A</v>
      </c>
      <c r="AJ44" s="201" t="e">
        <f t="shared" si="22"/>
        <v>#N/A</v>
      </c>
      <c r="AK44" s="201" t="e">
        <f t="shared" si="22"/>
        <v>#N/A</v>
      </c>
      <c r="AL44" s="201">
        <f t="shared" si="22"/>
        <v>6</v>
      </c>
      <c r="AM44" s="201" t="e">
        <f t="shared" si="22"/>
        <v>#N/A</v>
      </c>
      <c r="AN44" s="201">
        <f t="shared" si="22"/>
        <v>7</v>
      </c>
      <c r="AO44" s="201" t="e">
        <f t="shared" si="22"/>
        <v>#N/A</v>
      </c>
      <c r="AP44" s="201" t="e">
        <f t="shared" si="22"/>
        <v>#N/A</v>
      </c>
      <c r="AR44" s="199"/>
      <c r="AS44" s="199"/>
      <c r="AT44" s="199"/>
      <c r="AU44" s="199"/>
      <c r="AV44" s="199"/>
      <c r="AW44" s="199"/>
      <c r="AX44" s="199"/>
      <c r="AY44" s="199"/>
      <c r="AZ44" s="199"/>
      <c r="BA44" s="199"/>
      <c r="BB44" s="199"/>
      <c r="BC44" s="199"/>
      <c r="BD44" s="199"/>
      <c r="BE44" s="199"/>
      <c r="BF44" s="199"/>
      <c r="BG44" s="199"/>
      <c r="BH44" s="199"/>
      <c r="BI44" s="199"/>
      <c r="BJ44" s="199"/>
      <c r="BK44" s="199"/>
      <c r="BL44" s="199"/>
      <c r="BM44" s="199"/>
      <c r="BN44" s="199"/>
      <c r="BO44" s="199"/>
      <c r="BP44" s="199"/>
      <c r="BQ44" s="199"/>
      <c r="BR44" s="199"/>
      <c r="BS44" s="199"/>
      <c r="BT44" s="199"/>
      <c r="BU44" s="199"/>
      <c r="BV44" s="199"/>
      <c r="BW44" s="199"/>
      <c r="BX44" s="199"/>
      <c r="BY44" s="199"/>
      <c r="BZ44" s="199"/>
    </row>
    <row r="45" spans="1:78" s="201" customFormat="1">
      <c r="A45" s="41" t="s">
        <v>16</v>
      </c>
      <c r="B45" s="202">
        <v>-1</v>
      </c>
      <c r="C45" s="201">
        <v>0</v>
      </c>
      <c r="D45" s="201">
        <v>1</v>
      </c>
      <c r="E45" s="202">
        <v>2</v>
      </c>
      <c r="F45" s="201">
        <v>3</v>
      </c>
      <c r="G45" s="201">
        <v>4</v>
      </c>
      <c r="H45" s="201">
        <v>5</v>
      </c>
      <c r="I45" s="201">
        <v>6</v>
      </c>
      <c r="J45" s="41">
        <f t="shared" ref="J45:AP45" si="24">MATCH(J$42,$C$44:$I$44,$B45)</f>
        <v>7</v>
      </c>
      <c r="K45" s="201">
        <f t="shared" si="24"/>
        <v>6</v>
      </c>
      <c r="L45" s="201">
        <f t="shared" si="24"/>
        <v>6</v>
      </c>
      <c r="M45" s="201">
        <f t="shared" si="24"/>
        <v>6</v>
      </c>
      <c r="N45" s="201">
        <f t="shared" si="24"/>
        <v>5</v>
      </c>
      <c r="O45" s="201">
        <f t="shared" si="24"/>
        <v>5</v>
      </c>
      <c r="P45" s="201">
        <f t="shared" si="24"/>
        <v>4</v>
      </c>
      <c r="Q45" s="201">
        <f t="shared" si="24"/>
        <v>4</v>
      </c>
      <c r="R45" s="201">
        <f t="shared" si="24"/>
        <v>4</v>
      </c>
      <c r="S45" s="201">
        <f t="shared" si="24"/>
        <v>3</v>
      </c>
      <c r="T45" s="201">
        <f t="shared" si="24"/>
        <v>3</v>
      </c>
      <c r="U45" s="201">
        <f t="shared" si="24"/>
        <v>3</v>
      </c>
      <c r="V45" s="201">
        <f t="shared" si="24"/>
        <v>3</v>
      </c>
      <c r="W45" s="201">
        <f t="shared" si="24"/>
        <v>3</v>
      </c>
      <c r="X45" s="201">
        <f t="shared" si="24"/>
        <v>3</v>
      </c>
      <c r="Y45" s="201">
        <f t="shared" si="24"/>
        <v>3</v>
      </c>
      <c r="Z45" s="201">
        <f t="shared" si="24"/>
        <v>3</v>
      </c>
      <c r="AA45" s="201">
        <f t="shared" si="24"/>
        <v>3</v>
      </c>
      <c r="AB45" s="201">
        <f t="shared" si="24"/>
        <v>3</v>
      </c>
      <c r="AC45" s="201">
        <f t="shared" si="24"/>
        <v>2</v>
      </c>
      <c r="AD45" s="201">
        <f t="shared" si="24"/>
        <v>2</v>
      </c>
      <c r="AE45" s="201">
        <f t="shared" si="24"/>
        <v>2</v>
      </c>
      <c r="AF45" s="201">
        <f t="shared" si="24"/>
        <v>2</v>
      </c>
      <c r="AG45" s="201">
        <f t="shared" si="24"/>
        <v>2</v>
      </c>
      <c r="AH45" s="201">
        <f t="shared" si="24"/>
        <v>2</v>
      </c>
      <c r="AI45" s="201">
        <f t="shared" si="24"/>
        <v>2</v>
      </c>
      <c r="AJ45" s="201">
        <f t="shared" si="24"/>
        <v>2</v>
      </c>
      <c r="AK45" s="201">
        <f t="shared" si="24"/>
        <v>2</v>
      </c>
      <c r="AL45" s="201">
        <f t="shared" si="24"/>
        <v>2</v>
      </c>
      <c r="AM45" s="201">
        <f t="shared" si="24"/>
        <v>1</v>
      </c>
      <c r="AN45" s="201">
        <f t="shared" si="24"/>
        <v>1</v>
      </c>
      <c r="AO45" s="201" t="e">
        <f t="shared" si="24"/>
        <v>#N/A</v>
      </c>
      <c r="AP45" s="201" t="e">
        <f t="shared" si="24"/>
        <v>#N/A</v>
      </c>
      <c r="AR45" s="199"/>
      <c r="AS45" s="199"/>
      <c r="AT45" s="199"/>
      <c r="AU45" s="199"/>
      <c r="AV45" s="199"/>
      <c r="AW45" s="199"/>
      <c r="AX45" s="199"/>
      <c r="AY45" s="199"/>
      <c r="AZ45" s="199"/>
      <c r="BA45" s="199"/>
      <c r="BB45" s="199"/>
      <c r="BC45" s="199"/>
      <c r="BD45" s="199"/>
      <c r="BE45" s="199"/>
      <c r="BF45" s="199"/>
      <c r="BG45" s="199"/>
      <c r="BH45" s="199"/>
      <c r="BI45" s="199"/>
      <c r="BJ45" s="199"/>
      <c r="BK45" s="199"/>
      <c r="BL45" s="199"/>
      <c r="BM45" s="199"/>
      <c r="BN45" s="199"/>
      <c r="BO45" s="199"/>
      <c r="BP45" s="199"/>
      <c r="BQ45" s="199"/>
      <c r="BR45" s="199"/>
      <c r="BS45" s="199"/>
      <c r="BT45" s="199"/>
      <c r="BU45" s="199"/>
      <c r="BV45" s="199"/>
      <c r="BW45" s="199"/>
      <c r="BX45" s="199"/>
      <c r="BY45" s="199"/>
      <c r="BZ45" s="199"/>
    </row>
    <row r="46" spans="1:78" s="127" customFormat="1">
      <c r="A46" s="126" t="s">
        <v>16</v>
      </c>
      <c r="I46" s="132"/>
      <c r="J46" s="203">
        <f t="shared" ref="J46:K46" si="25">IF(ISNA(J43),-1,IF(ISNA(J45),99,IF(ISNA(J44),J43,0)))</f>
        <v>0</v>
      </c>
      <c r="K46" s="203">
        <f t="shared" si="25"/>
        <v>1</v>
      </c>
      <c r="L46" s="203">
        <f t="shared" ref="L46:AP46" si="26">IF(ISNA(L43),-1,IF(ISNA(L45),99,IF(ISNA(L44),L43,0)))</f>
        <v>1</v>
      </c>
      <c r="M46" s="203">
        <f t="shared" si="26"/>
        <v>0</v>
      </c>
      <c r="N46" s="203">
        <f t="shared" si="26"/>
        <v>2</v>
      </c>
      <c r="O46" s="203">
        <f t="shared" si="26"/>
        <v>0</v>
      </c>
      <c r="P46" s="203">
        <f t="shared" si="26"/>
        <v>3</v>
      </c>
      <c r="Q46" s="203">
        <f t="shared" si="26"/>
        <v>3</v>
      </c>
      <c r="R46" s="203">
        <f t="shared" si="26"/>
        <v>0</v>
      </c>
      <c r="S46" s="203">
        <f t="shared" si="26"/>
        <v>4</v>
      </c>
      <c r="T46" s="203">
        <f t="shared" si="26"/>
        <v>4</v>
      </c>
      <c r="U46" s="203">
        <f t="shared" si="26"/>
        <v>4</v>
      </c>
      <c r="V46" s="203">
        <f t="shared" si="26"/>
        <v>4</v>
      </c>
      <c r="W46" s="203">
        <f t="shared" si="26"/>
        <v>4</v>
      </c>
      <c r="X46" s="203">
        <f t="shared" si="26"/>
        <v>4</v>
      </c>
      <c r="Y46" s="203">
        <f t="shared" si="26"/>
        <v>4</v>
      </c>
      <c r="Z46" s="203">
        <f t="shared" si="26"/>
        <v>4</v>
      </c>
      <c r="AA46" s="203">
        <f t="shared" si="26"/>
        <v>4</v>
      </c>
      <c r="AB46" s="203">
        <f t="shared" si="26"/>
        <v>0</v>
      </c>
      <c r="AC46" s="203">
        <f t="shared" si="26"/>
        <v>5</v>
      </c>
      <c r="AD46" s="203">
        <f t="shared" si="26"/>
        <v>5</v>
      </c>
      <c r="AE46" s="203">
        <f t="shared" si="26"/>
        <v>5</v>
      </c>
      <c r="AF46" s="203">
        <f t="shared" si="26"/>
        <v>5</v>
      </c>
      <c r="AG46" s="203">
        <f t="shared" si="26"/>
        <v>5</v>
      </c>
      <c r="AH46" s="203">
        <f t="shared" si="26"/>
        <v>5</v>
      </c>
      <c r="AI46" s="203">
        <f t="shared" si="26"/>
        <v>5</v>
      </c>
      <c r="AJ46" s="203">
        <f t="shared" si="26"/>
        <v>5</v>
      </c>
      <c r="AK46" s="203">
        <f t="shared" si="26"/>
        <v>5</v>
      </c>
      <c r="AL46" s="203">
        <f t="shared" si="26"/>
        <v>0</v>
      </c>
      <c r="AM46" s="203">
        <f t="shared" si="26"/>
        <v>6</v>
      </c>
      <c r="AN46" s="203">
        <f t="shared" si="26"/>
        <v>0</v>
      </c>
      <c r="AO46" s="203">
        <f t="shared" si="26"/>
        <v>99</v>
      </c>
      <c r="AP46" s="203">
        <f t="shared" si="26"/>
        <v>99</v>
      </c>
      <c r="AR46" s="199"/>
      <c r="AS46" s="199"/>
      <c r="AT46" s="199"/>
      <c r="AU46" s="199"/>
      <c r="AV46" s="199"/>
      <c r="AW46" s="199"/>
      <c r="AX46" s="199"/>
      <c r="AY46" s="199"/>
      <c r="AZ46" s="199"/>
      <c r="BA46" s="199"/>
      <c r="BB46" s="199"/>
      <c r="BC46" s="199"/>
      <c r="BD46" s="199"/>
      <c r="BE46" s="199"/>
      <c r="BF46" s="199"/>
      <c r="BG46" s="199"/>
      <c r="BH46" s="199"/>
      <c r="BI46" s="199"/>
      <c r="BJ46" s="199"/>
      <c r="BK46" s="199"/>
      <c r="BL46" s="199"/>
      <c r="BM46" s="199"/>
      <c r="BN46" s="199"/>
      <c r="BO46" s="199"/>
      <c r="BP46" s="199"/>
      <c r="BQ46" s="199"/>
      <c r="BR46" s="199"/>
      <c r="BS46" s="199"/>
      <c r="BT46" s="199"/>
      <c r="BU46" s="199"/>
      <c r="BV46" s="199"/>
      <c r="BW46" s="199"/>
      <c r="BX46" s="199"/>
      <c r="BY46" s="199"/>
      <c r="BZ46" s="199"/>
    </row>
    <row r="47" spans="1:78" s="199" customFormat="1">
      <c r="A47" s="41" t="s">
        <v>125</v>
      </c>
      <c r="B47" s="133" t="str">
        <f t="shared" ref="B47:B51" si="27">IF(A47="*","","COM_PROJ")</f>
        <v>COM_PROJ</v>
      </c>
      <c r="C47" s="134" t="str">
        <f t="shared" ref="C47:C51" si="28">IF($A47="*","","-")</f>
        <v>-</v>
      </c>
      <c r="D47" s="61" t="s">
        <v>134</v>
      </c>
      <c r="E47" s="134" t="str">
        <f t="shared" ref="E47:H51" si="29">IF($A47="*","","-")</f>
        <v>-</v>
      </c>
      <c r="F47" s="134" t="str">
        <f t="shared" si="29"/>
        <v>-</v>
      </c>
      <c r="G47" s="134" t="str">
        <f t="shared" si="29"/>
        <v>-</v>
      </c>
      <c r="H47" s="134" t="str">
        <f t="shared" si="29"/>
        <v>-</v>
      </c>
      <c r="I47" s="135">
        <f t="shared" ref="I47:I51" si="30">IF(A47="*","",0)</f>
        <v>0</v>
      </c>
      <c r="J47" s="200">
        <f>J33</f>
        <v>0.820564128</v>
      </c>
      <c r="K47" s="200">
        <f t="shared" ref="K47:AL47" si="31">IF(K$46=-1,L47,IF(K$46=99,J47,IF(K$46=0,INDEX($J33:$P33,0,K$44),(INDEX($J33:$P33,0,K$46+1)-INDEX($J33:$P33,0,K$46))/(INDEX($J$4:$P$4,0,K$46+1)-INDEX($J$4:$P$4,0,K$46))+J47)))</f>
        <v>0.820564128</v>
      </c>
      <c r="L47" s="200">
        <f t="shared" si="31"/>
        <v>0.820564128</v>
      </c>
      <c r="M47" s="200">
        <f t="shared" si="31"/>
        <v>0.820564128</v>
      </c>
      <c r="N47" s="200">
        <f t="shared" si="31"/>
        <v>0.820564128</v>
      </c>
      <c r="O47" s="200">
        <f t="shared" si="31"/>
        <v>0.820564128</v>
      </c>
      <c r="P47" s="200">
        <f t="shared" si="31"/>
        <v>0.820564128</v>
      </c>
      <c r="Q47" s="200">
        <f t="shared" si="31"/>
        <v>0.820564128</v>
      </c>
      <c r="R47" s="200">
        <f t="shared" si="31"/>
        <v>0.820564128</v>
      </c>
      <c r="S47" s="200">
        <f t="shared" si="31"/>
        <v>0.820564128</v>
      </c>
      <c r="T47" s="200">
        <f t="shared" si="31"/>
        <v>0.820564128</v>
      </c>
      <c r="U47" s="200">
        <f t="shared" si="31"/>
        <v>0.820564128</v>
      </c>
      <c r="V47" s="200">
        <f t="shared" si="31"/>
        <v>0.820564128</v>
      </c>
      <c r="W47" s="200">
        <f t="shared" si="31"/>
        <v>0.820564128</v>
      </c>
      <c r="X47" s="200">
        <f t="shared" si="31"/>
        <v>0.820564128</v>
      </c>
      <c r="Y47" s="200">
        <f t="shared" si="31"/>
        <v>0.820564128</v>
      </c>
      <c r="Z47" s="200">
        <f t="shared" si="31"/>
        <v>0.820564128</v>
      </c>
      <c r="AA47" s="200">
        <f t="shared" si="31"/>
        <v>0.820564128</v>
      </c>
      <c r="AB47" s="200">
        <f t="shared" si="31"/>
        <v>0.820564128</v>
      </c>
      <c r="AC47" s="200">
        <f t="shared" si="31"/>
        <v>0.820564128</v>
      </c>
      <c r="AD47" s="200">
        <f t="shared" si="31"/>
        <v>0.820564128</v>
      </c>
      <c r="AE47" s="200">
        <f t="shared" si="31"/>
        <v>0.820564128</v>
      </c>
      <c r="AF47" s="200">
        <f t="shared" si="31"/>
        <v>0.820564128</v>
      </c>
      <c r="AG47" s="200">
        <f t="shared" si="31"/>
        <v>0.820564128</v>
      </c>
      <c r="AH47" s="200">
        <f t="shared" si="31"/>
        <v>0.820564128</v>
      </c>
      <c r="AI47" s="200">
        <f t="shared" si="31"/>
        <v>0.820564128</v>
      </c>
      <c r="AJ47" s="200">
        <f t="shared" si="31"/>
        <v>0.820564128</v>
      </c>
      <c r="AK47" s="200">
        <f t="shared" si="31"/>
        <v>0.820564128</v>
      </c>
      <c r="AL47" s="200">
        <f t="shared" si="31"/>
        <v>0.820564128</v>
      </c>
      <c r="AM47" s="230">
        <f>(AL47+AN47)/2</f>
        <v>0.820564128</v>
      </c>
      <c r="AN47" s="200">
        <f>IF(AN$46=-1,AO47,IF(AN$46=99,AM47,IF(AN$46=0,INDEX($J33:$P33,0,AN$44),(INDEX($J33:$P33,0,AN$46+1)-INDEX($J33:$P33,0,AN$46))/(INDEX($J$4:$P$4,0,AN$46+1)-INDEX($J$4:$P$4,0,AN$46))+AM47)))</f>
        <v>0.820564128</v>
      </c>
      <c r="AO47" s="200">
        <f>IF(AO$46=-1,AP47,IF(AO$46=99,AN47,IF(AO$46=0,INDEX($J33:$P33,0,AO$44),(INDEX($J33:$P33,0,AO$46+1)-INDEX($J33:$P33,0,AO$46))/(INDEX($J$4:$P$4,0,AO$46+1)-INDEX($J$4:$P$4,0,AO$46))+AN47)))</f>
        <v>0.820564128</v>
      </c>
      <c r="AP47" s="200">
        <f>IF(AP$46=-1,AR47,IF(AP$46=99,AO47,IF(AP$46=0,INDEX($J33:$P33,0,AP$44),(INDEX($J33:$P33,0,AP$46+1)-INDEX($J33:$P33,0,AP$46))/(INDEX($J$4:$P$4,0,AP$46+1)-INDEX($J$4:$P$4,0,AP$46))+AO47)))</f>
        <v>0.820564128</v>
      </c>
    </row>
    <row r="48" spans="1:78" s="199" customFormat="1">
      <c r="A48" s="41"/>
      <c r="B48" s="133" t="str">
        <f t="shared" si="27"/>
        <v>COM_PROJ</v>
      </c>
      <c r="C48" s="134" t="str">
        <f t="shared" si="28"/>
        <v>-</v>
      </c>
      <c r="D48" s="61" t="str">
        <f>B22</f>
        <v>TAIJET</v>
      </c>
      <c r="E48" s="134" t="str">
        <f t="shared" si="29"/>
        <v>-</v>
      </c>
      <c r="F48" s="134" t="str">
        <f t="shared" si="29"/>
        <v>-</v>
      </c>
      <c r="G48" s="134" t="str">
        <f t="shared" si="29"/>
        <v>-</v>
      </c>
      <c r="H48" s="134" t="str">
        <f t="shared" si="29"/>
        <v>-</v>
      </c>
      <c r="I48" s="135">
        <f t="shared" si="30"/>
        <v>0</v>
      </c>
      <c r="J48" s="200">
        <f>J22</f>
        <v>60.368000000000002</v>
      </c>
      <c r="K48" s="200">
        <f t="shared" ref="K48:AL48" si="32">IF(K$46=-1,L48,IF(K$46=99,J48,IF(K$46=0,INDEX($J22:$P22,0,K$44),(INDEX($J22:$P22,0,K$46+1)-INDEX($J22:$P22,0,K$46))/(INDEX($J$4:$P$4,0,K$46+1)-INDEX($J$4:$P$4,0,K$46))+J48)))</f>
        <v>62.190834813499116</v>
      </c>
      <c r="L48" s="200">
        <f t="shared" si="32"/>
        <v>64.013669626998222</v>
      </c>
      <c r="M48" s="200">
        <f t="shared" si="32"/>
        <v>65.836504440497336</v>
      </c>
      <c r="N48" s="200">
        <f t="shared" si="32"/>
        <v>67.387891307864322</v>
      </c>
      <c r="O48" s="200">
        <f t="shared" si="32"/>
        <v>68.939278175231294</v>
      </c>
      <c r="P48" s="200">
        <f t="shared" si="32"/>
        <v>68.173084206814949</v>
      </c>
      <c r="Q48" s="200">
        <f t="shared" si="32"/>
        <v>67.406890238398603</v>
      </c>
      <c r="R48" s="200">
        <f t="shared" si="32"/>
        <v>66.640696269982243</v>
      </c>
      <c r="S48" s="200">
        <f t="shared" si="32"/>
        <v>69.503619182948498</v>
      </c>
      <c r="T48" s="200">
        <f t="shared" si="32"/>
        <v>72.366542095914753</v>
      </c>
      <c r="U48" s="200">
        <f t="shared" si="32"/>
        <v>75.229465008881007</v>
      </c>
      <c r="V48" s="200">
        <f t="shared" si="32"/>
        <v>78.092387921847262</v>
      </c>
      <c r="W48" s="200">
        <f t="shared" si="32"/>
        <v>80.955310834813517</v>
      </c>
      <c r="X48" s="200">
        <f t="shared" si="32"/>
        <v>83.818233747779772</v>
      </c>
      <c r="Y48" s="200">
        <f t="shared" si="32"/>
        <v>86.681156660746026</v>
      </c>
      <c r="Z48" s="200">
        <f t="shared" si="32"/>
        <v>89.544079573712281</v>
      </c>
      <c r="AA48" s="200">
        <f t="shared" si="32"/>
        <v>92.407002486678536</v>
      </c>
      <c r="AB48" s="200">
        <f t="shared" si="32"/>
        <v>95.269925399644762</v>
      </c>
      <c r="AC48" s="200">
        <f t="shared" si="32"/>
        <v>99.237271758436947</v>
      </c>
      <c r="AD48" s="200">
        <f t="shared" si="32"/>
        <v>103.20461811722913</v>
      </c>
      <c r="AE48" s="200">
        <f t="shared" si="32"/>
        <v>107.17196447602132</v>
      </c>
      <c r="AF48" s="200">
        <f t="shared" si="32"/>
        <v>111.1393108348135</v>
      </c>
      <c r="AG48" s="200">
        <f t="shared" si="32"/>
        <v>115.10665719360568</v>
      </c>
      <c r="AH48" s="200">
        <f t="shared" si="32"/>
        <v>119.07400355239787</v>
      </c>
      <c r="AI48" s="200">
        <f t="shared" si="32"/>
        <v>123.04134991119005</v>
      </c>
      <c r="AJ48" s="200">
        <f t="shared" si="32"/>
        <v>127.00869626998224</v>
      </c>
      <c r="AK48" s="200">
        <f t="shared" si="32"/>
        <v>130.97604262877442</v>
      </c>
      <c r="AL48" s="200">
        <f t="shared" si="32"/>
        <v>134.94338898756664</v>
      </c>
      <c r="AM48" s="230">
        <f t="shared" ref="AM48:AM51" si="33">(AL48+AN48)/2</f>
        <v>167.91525399644763</v>
      </c>
      <c r="AN48" s="200">
        <f t="shared" ref="AN48:AO50" si="34">IF(AN$46=-1,AO48,IF(AN$46=99,AM48,IF(AN$46=0,INDEX($J22:$P22,0,AN$44),(INDEX($J22:$P22,0,AN$46+1)-INDEX($J22:$P22,0,AN$46))/(INDEX($J$4:$P$4,0,AN$46+1)-INDEX($J$4:$P$4,0,AN$46))+AM48)))</f>
        <v>200.88711900532863</v>
      </c>
      <c r="AO48" s="200">
        <f t="shared" si="34"/>
        <v>200.88711900532863</v>
      </c>
      <c r="AP48" s="200">
        <f>IF(AP$46=-1,AR48,IF(AP$46=99,AO48,IF(AP$46=0,INDEX($J22:$P22,0,AP$44),(INDEX($J22:$P22,0,AP$46+1)-INDEX($J22:$P22,0,AP$46))/(INDEX($J$4:$P$4,0,AP$46+1)-INDEX($J$4:$P$4,0,AP$46))+AO48)))</f>
        <v>200.88711900532863</v>
      </c>
    </row>
    <row r="49" spans="1:42" s="199" customFormat="1">
      <c r="A49" s="41"/>
      <c r="B49" s="133" t="str">
        <f t="shared" ref="B49:B50" si="35">IF(A49="*","","COM_PROJ")</f>
        <v>COM_PROJ</v>
      </c>
      <c r="C49" s="134" t="str">
        <f t="shared" si="28"/>
        <v>-</v>
      </c>
      <c r="D49" s="61" t="str">
        <f t="shared" ref="D49:D50" si="36">B23</f>
        <v>TADJET</v>
      </c>
      <c r="E49" s="134" t="str">
        <f t="shared" si="29"/>
        <v>-</v>
      </c>
      <c r="F49" s="134" t="str">
        <f t="shared" si="29"/>
        <v>-</v>
      </c>
      <c r="G49" s="134" t="str">
        <f t="shared" si="29"/>
        <v>-</v>
      </c>
      <c r="H49" s="134" t="str">
        <f t="shared" si="29"/>
        <v>-</v>
      </c>
      <c r="I49" s="135">
        <f t="shared" ref="I49:I50" si="37">IF(A49="*","",0)</f>
        <v>0</v>
      </c>
      <c r="J49" s="200">
        <f t="shared" ref="J49:J50" si="38">J23</f>
        <v>20.123000000000001</v>
      </c>
      <c r="K49" s="200">
        <f t="shared" ref="K49:AL49" si="39">IF(K$46=-1,L49,IF(K$46=99,J49,IF(K$46=0,INDEX($J23:$P23,0,K$44),(INDEX($J23:$P23,0,K$46+1)-INDEX($J23:$P23,0,K$46))/(INDEX($J$4:$P$4,0,K$46+1)-INDEX($J$4:$P$4,0,K$46))+J49)))</f>
        <v>20.730621669626998</v>
      </c>
      <c r="L49" s="200">
        <f t="shared" si="39"/>
        <v>21.338243339253996</v>
      </c>
      <c r="M49" s="200">
        <f t="shared" si="39"/>
        <v>21.945865008880997</v>
      </c>
      <c r="N49" s="200">
        <f t="shared" si="39"/>
        <v>21.205546534016896</v>
      </c>
      <c r="O49" s="200">
        <f t="shared" si="39"/>
        <v>20.465228059152793</v>
      </c>
      <c r="P49" s="200">
        <f t="shared" si="39"/>
        <v>21.048129836948519</v>
      </c>
      <c r="Q49" s="200">
        <f t="shared" si="39"/>
        <v>21.631031614744245</v>
      </c>
      <c r="R49" s="200">
        <f t="shared" si="39"/>
        <v>22.213933392539968</v>
      </c>
      <c r="S49" s="200">
        <f t="shared" si="39"/>
        <v>23.168256838365899</v>
      </c>
      <c r="T49" s="200">
        <f t="shared" si="39"/>
        <v>24.12258028419183</v>
      </c>
      <c r="U49" s="200">
        <f t="shared" si="39"/>
        <v>25.076903730017762</v>
      </c>
      <c r="V49" s="200">
        <f t="shared" si="39"/>
        <v>26.031227175843693</v>
      </c>
      <c r="W49" s="200">
        <f t="shared" si="39"/>
        <v>26.985550621669624</v>
      </c>
      <c r="X49" s="200">
        <f t="shared" si="39"/>
        <v>27.939874067495555</v>
      </c>
      <c r="Y49" s="200">
        <f t="shared" si="39"/>
        <v>28.894197513321487</v>
      </c>
      <c r="Z49" s="200">
        <f t="shared" si="39"/>
        <v>29.848520959147418</v>
      </c>
      <c r="AA49" s="200">
        <f t="shared" si="39"/>
        <v>30.802844404973349</v>
      </c>
      <c r="AB49" s="200">
        <f t="shared" si="39"/>
        <v>31.757167850799295</v>
      </c>
      <c r="AC49" s="200">
        <f t="shared" si="39"/>
        <v>33.079638543516879</v>
      </c>
      <c r="AD49" s="200">
        <f t="shared" si="39"/>
        <v>34.402109236234466</v>
      </c>
      <c r="AE49" s="200">
        <f t="shared" si="39"/>
        <v>35.724579928952053</v>
      </c>
      <c r="AF49" s="200">
        <f t="shared" si="39"/>
        <v>37.047050621669641</v>
      </c>
      <c r="AG49" s="200">
        <f t="shared" si="39"/>
        <v>38.369521314387228</v>
      </c>
      <c r="AH49" s="200">
        <f t="shared" si="39"/>
        <v>39.691992007104815</v>
      </c>
      <c r="AI49" s="200">
        <f t="shared" si="39"/>
        <v>41.014462699822403</v>
      </c>
      <c r="AJ49" s="200">
        <f t="shared" si="39"/>
        <v>42.33693339253999</v>
      </c>
      <c r="AK49" s="200">
        <f t="shared" si="39"/>
        <v>43.659404085257577</v>
      </c>
      <c r="AL49" s="200">
        <f t="shared" si="39"/>
        <v>44.981874777975143</v>
      </c>
      <c r="AM49" s="230">
        <f t="shared" ref="AM49:AM50" si="40">(AL49+AN49)/2</f>
        <v>55.97267850799291</v>
      </c>
      <c r="AN49" s="200">
        <f t="shared" si="34"/>
        <v>66.96348223801067</v>
      </c>
      <c r="AO49" s="200">
        <f t="shared" si="34"/>
        <v>66.96348223801067</v>
      </c>
      <c r="AP49" s="200">
        <f>IF(AP$46=-1,AR49,IF(AP$46=99,AO49,IF(AP$46=0,INDEX($J23:$P23,0,AP$44),(INDEX($J23:$P23,0,AP$46+1)-INDEX($J23:$P23,0,AP$46))/(INDEX($J$4:$P$4,0,AP$46+1)-INDEX($J$4:$P$4,0,AP$46))+AO49)))</f>
        <v>66.96348223801067</v>
      </c>
    </row>
    <row r="50" spans="1:42" s="199" customFormat="1">
      <c r="A50" s="41"/>
      <c r="B50" s="133" t="str">
        <f t="shared" si="35"/>
        <v>COM_PROJ</v>
      </c>
      <c r="C50" s="134" t="str">
        <f t="shared" si="28"/>
        <v>-</v>
      </c>
      <c r="D50" s="61" t="str">
        <f t="shared" si="36"/>
        <v>TAOAG</v>
      </c>
      <c r="E50" s="134" t="str">
        <f t="shared" si="29"/>
        <v>-</v>
      </c>
      <c r="F50" s="134" t="str">
        <f t="shared" si="29"/>
        <v>-</v>
      </c>
      <c r="G50" s="134" t="str">
        <f t="shared" si="29"/>
        <v>-</v>
      </c>
      <c r="H50" s="134" t="str">
        <f t="shared" si="29"/>
        <v>-</v>
      </c>
      <c r="I50" s="135">
        <f t="shared" si="37"/>
        <v>0</v>
      </c>
      <c r="J50" s="200">
        <f t="shared" si="38"/>
        <v>1.0701311035156249</v>
      </c>
      <c r="K50" s="200">
        <f t="shared" ref="K50:AL50" si="41">IF(K$46=-1,L50,IF(K$46=99,J50,IF(K$46=0,INDEX($J24:$P24,0,K$44),(INDEX($J24:$P24,0,K$46+1)-INDEX($J24:$P24,0,K$46))/(INDEX($J$4:$P$4,0,K$46+1)-INDEX($J$4:$P$4,0,K$46))+J50)))</f>
        <v>1.1024441208509101</v>
      </c>
      <c r="L50" s="200">
        <f t="shared" si="41"/>
        <v>1.1347571381861954</v>
      </c>
      <c r="M50" s="200">
        <f t="shared" si="41"/>
        <v>1.1670701555214809</v>
      </c>
      <c r="N50" s="200">
        <f t="shared" si="41"/>
        <v>1.182276281326321</v>
      </c>
      <c r="O50" s="200">
        <f t="shared" si="41"/>
        <v>1.1974824071311612</v>
      </c>
      <c r="P50" s="200">
        <f t="shared" si="41"/>
        <v>1.1920969042419469</v>
      </c>
      <c r="Q50" s="200">
        <f t="shared" si="41"/>
        <v>1.1867114013527327</v>
      </c>
      <c r="R50" s="200">
        <f t="shared" si="41"/>
        <v>1.1813258984635187</v>
      </c>
      <c r="S50" s="200">
        <f t="shared" si="41"/>
        <v>1.2320763433371726</v>
      </c>
      <c r="T50" s="200">
        <f t="shared" si="41"/>
        <v>1.2828267882108266</v>
      </c>
      <c r="U50" s="200">
        <f t="shared" si="41"/>
        <v>1.3335772330844806</v>
      </c>
      <c r="V50" s="200">
        <f t="shared" si="41"/>
        <v>1.3843276779581346</v>
      </c>
      <c r="W50" s="200">
        <f t="shared" si="41"/>
        <v>1.4350781228317886</v>
      </c>
      <c r="X50" s="200">
        <f t="shared" si="41"/>
        <v>1.4858285677054426</v>
      </c>
      <c r="Y50" s="200">
        <f t="shared" si="41"/>
        <v>1.5365790125790966</v>
      </c>
      <c r="Z50" s="200">
        <f t="shared" si="41"/>
        <v>1.5873294574527506</v>
      </c>
      <c r="AA50" s="200">
        <f t="shared" si="41"/>
        <v>1.6380799023264045</v>
      </c>
      <c r="AB50" s="200">
        <f t="shared" si="41"/>
        <v>1.6888303472000585</v>
      </c>
      <c r="AC50" s="200">
        <f t="shared" si="41"/>
        <v>1.7591586790474443</v>
      </c>
      <c r="AD50" s="200">
        <f t="shared" si="41"/>
        <v>1.82948701089483</v>
      </c>
      <c r="AE50" s="200">
        <f t="shared" si="41"/>
        <v>1.8998153427422158</v>
      </c>
      <c r="AF50" s="200">
        <f t="shared" si="41"/>
        <v>1.9701436745896015</v>
      </c>
      <c r="AG50" s="200">
        <f t="shared" si="41"/>
        <v>2.0404720064369872</v>
      </c>
      <c r="AH50" s="200">
        <f t="shared" si="41"/>
        <v>2.1108003382843727</v>
      </c>
      <c r="AI50" s="200">
        <f t="shared" si="41"/>
        <v>2.1811286701317583</v>
      </c>
      <c r="AJ50" s="200">
        <f t="shared" si="41"/>
        <v>2.2514570019791438</v>
      </c>
      <c r="AK50" s="200">
        <f t="shared" si="41"/>
        <v>2.3217853338265293</v>
      </c>
      <c r="AL50" s="200">
        <f t="shared" si="41"/>
        <v>2.3921136656739153</v>
      </c>
      <c r="AM50" s="230">
        <f t="shared" si="40"/>
        <v>2.976599126297458</v>
      </c>
      <c r="AN50" s="200">
        <f t="shared" si="34"/>
        <v>3.5610845869210008</v>
      </c>
      <c r="AO50" s="200">
        <f t="shared" si="34"/>
        <v>3.5610845869210008</v>
      </c>
      <c r="AP50" s="200">
        <f>IF(AP$46=-1,AR50,IF(AP$46=99,AO50,IF(AP$46=0,INDEX($J24:$P24,0,AP$44),(INDEX($J24:$P24,0,AP$46+1)-INDEX($J24:$P24,0,AP$46))/(INDEX($J$4:$P$4,0,AP$46+1)-INDEX($J$4:$P$4,0,AP$46))+AO50)))</f>
        <v>3.5610845869210008</v>
      </c>
    </row>
    <row r="51" spans="1:42" s="199" customFormat="1">
      <c r="A51" s="41"/>
      <c r="B51" s="133" t="str">
        <f t="shared" si="27"/>
        <v>COM_PROJ</v>
      </c>
      <c r="C51" s="134" t="str">
        <f t="shared" si="28"/>
        <v>-</v>
      </c>
      <c r="D51" s="61" t="s">
        <v>158</v>
      </c>
      <c r="E51" s="134" t="str">
        <f t="shared" si="29"/>
        <v>-</v>
      </c>
      <c r="F51" s="134" t="str">
        <f t="shared" si="29"/>
        <v>-</v>
      </c>
      <c r="G51" s="134" t="str">
        <f t="shared" si="29"/>
        <v>-</v>
      </c>
      <c r="H51" s="134" t="str">
        <f t="shared" si="29"/>
        <v>-</v>
      </c>
      <c r="I51" s="135">
        <f t="shared" si="30"/>
        <v>0</v>
      </c>
      <c r="J51" s="200">
        <f>J36</f>
        <v>4.5090000000000003</v>
      </c>
      <c r="K51" s="200">
        <f t="shared" ref="K51:AL51" si="42">IF(K$46=-1,L51,IF(K$46=99,J51,IF(K$46=0,INDEX($J36:$P36,0,K$44),(INDEX($J36:$P36,0,K$46+1)-INDEX($J36:$P36,0,K$46))/(INDEX($J$4:$P$4,0,K$46+1)-INDEX($J$4:$P$4,0,K$46))+J51)))</f>
        <v>4.4958157894736841</v>
      </c>
      <c r="L51" s="200">
        <f t="shared" si="42"/>
        <v>4.4826315789473679</v>
      </c>
      <c r="M51" s="200">
        <f t="shared" si="42"/>
        <v>4.4694473684210525</v>
      </c>
      <c r="N51" s="200">
        <f t="shared" si="42"/>
        <v>4.5090000000000003</v>
      </c>
      <c r="O51" s="200">
        <f t="shared" si="42"/>
        <v>4.5485526315789473</v>
      </c>
      <c r="P51" s="200">
        <f t="shared" si="42"/>
        <v>4.3639736842105261</v>
      </c>
      <c r="Q51" s="200">
        <f t="shared" si="42"/>
        <v>4.1793947368421049</v>
      </c>
      <c r="R51" s="200">
        <f t="shared" si="42"/>
        <v>3.9948157894736842</v>
      </c>
      <c r="S51" s="200">
        <f t="shared" si="42"/>
        <v>4.2321315789473681</v>
      </c>
      <c r="T51" s="200">
        <f t="shared" si="42"/>
        <v>4.4694473684210525</v>
      </c>
      <c r="U51" s="200">
        <f t="shared" si="42"/>
        <v>4.7067631578947369</v>
      </c>
      <c r="V51" s="200">
        <f t="shared" si="42"/>
        <v>4.9440789473684212</v>
      </c>
      <c r="W51" s="200">
        <f t="shared" si="42"/>
        <v>5.1813947368421056</v>
      </c>
      <c r="X51" s="200">
        <f t="shared" si="42"/>
        <v>5.41871052631579</v>
      </c>
      <c r="Y51" s="200">
        <f t="shared" si="42"/>
        <v>5.6560263157894743</v>
      </c>
      <c r="Z51" s="200">
        <f t="shared" si="42"/>
        <v>5.8933421052631587</v>
      </c>
      <c r="AA51" s="200">
        <f t="shared" si="42"/>
        <v>6.1306578947368431</v>
      </c>
      <c r="AB51" s="200">
        <f t="shared" si="42"/>
        <v>6.3679736842105266</v>
      </c>
      <c r="AC51" s="200">
        <f t="shared" si="42"/>
        <v>7.0126815789473689</v>
      </c>
      <c r="AD51" s="200">
        <f t="shared" si="42"/>
        <v>7.6573894736842112</v>
      </c>
      <c r="AE51" s="200">
        <f t="shared" si="42"/>
        <v>8.3020973684210535</v>
      </c>
      <c r="AF51" s="200">
        <f t="shared" si="42"/>
        <v>8.9468052631578949</v>
      </c>
      <c r="AG51" s="200">
        <f t="shared" si="42"/>
        <v>9.5915131578947364</v>
      </c>
      <c r="AH51" s="200">
        <f t="shared" si="42"/>
        <v>10.236221052631578</v>
      </c>
      <c r="AI51" s="200">
        <f t="shared" si="42"/>
        <v>10.880928947368419</v>
      </c>
      <c r="AJ51" s="200">
        <f t="shared" si="42"/>
        <v>11.525636842105261</v>
      </c>
      <c r="AK51" s="200">
        <f t="shared" si="42"/>
        <v>12.170344736842102</v>
      </c>
      <c r="AL51" s="200">
        <f t="shared" si="42"/>
        <v>12.815052631578947</v>
      </c>
      <c r="AM51" s="230">
        <f t="shared" si="33"/>
        <v>19.103921052631577</v>
      </c>
      <c r="AN51" s="200">
        <f>IF(AN$46=-1,AO51,IF(AN$46=99,AM51,IF(AN$46=0,INDEX($J36:$P36,0,AN$44),(INDEX($J36:$P36,0,AN$46+1)-INDEX($J36:$P36,0,AN$46))/(INDEX($J$4:$P$4,0,AN$46+1)-INDEX($J$4:$P$4,0,AN$46))+AM51)))</f>
        <v>25.392789473684207</v>
      </c>
      <c r="AO51" s="200">
        <f>IF(AO$46=-1,AP51,IF(AO$46=99,AN51,IF(AO$46=0,INDEX($J36:$P36,0,AO$44),(INDEX($J36:$P36,0,AO$46+1)-INDEX($J36:$P36,0,AO$46))/(INDEX($J$4:$P$4,0,AO$46+1)-INDEX($J$4:$P$4,0,AO$46))+AN51)))</f>
        <v>25.392789473684207</v>
      </c>
      <c r="AP51" s="200">
        <f>IF(AP$46=-1,AR51,IF(AP$46=99,AO51,IF(AP$46=0,INDEX($J36:$P36,0,AP$44),(INDEX($J36:$P36,0,AP$46+1)-INDEX($J36:$P36,0,AP$46))/(INDEX($J$4:$P$4,0,AP$46+1)-INDEX($J$4:$P$4,0,AP$46))+AO51)))</f>
        <v>25.392789473684207</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2020-08-07T13:12:52Z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