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D08EDDC-1875-4897-BC2B-EFDFEBF7DDA0}" xr6:coauthVersionLast="45" xr6:coauthVersionMax="45" xr10:uidLastSave="{00000000-0000-0000-0000-000000000000}"/>
  <bookViews>
    <workbookView xWindow="-14610" yWindow="-16380" windowWidth="29040" windowHeight="15840" firstSheet="7" activeTab="19"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91" i="56" l="1"/>
  <c r="Z91" i="56"/>
  <c r="AA91" i="56"/>
  <c r="S91" i="56"/>
  <c r="T91" i="56"/>
  <c r="H19" i="56"/>
  <c r="H20" i="56"/>
  <c r="I20" i="56"/>
  <c r="J20" i="56"/>
  <c r="K20" i="56"/>
  <c r="H21" i="56"/>
  <c r="I21" i="56"/>
  <c r="Q21" i="56" s="1"/>
  <c r="H22" i="56"/>
  <c r="I22" i="56"/>
  <c r="Y22" i="56" s="1"/>
  <c r="AA22" i="56" s="1"/>
  <c r="H14" i="56"/>
  <c r="I14" i="56"/>
  <c r="J14" i="56" s="1"/>
  <c r="K14" i="56" s="1"/>
  <c r="H15" i="56"/>
  <c r="I15" i="56"/>
  <c r="Q15" i="56" s="1"/>
  <c r="J15" i="56"/>
  <c r="K15" i="56" s="1"/>
  <c r="H16" i="56"/>
  <c r="I16" i="56"/>
  <c r="J16" i="56"/>
  <c r="K16" i="56"/>
  <c r="H17" i="56"/>
  <c r="I17" i="56"/>
  <c r="J17" i="56" s="1"/>
  <c r="K17" i="56" s="1"/>
  <c r="H18" i="56"/>
  <c r="I18" i="56"/>
  <c r="J18" i="56"/>
  <c r="K18" i="56" s="1"/>
  <c r="H13" i="56"/>
  <c r="I13" i="56" s="1"/>
  <c r="J13" i="56" s="1"/>
  <c r="K13" i="56" s="1"/>
  <c r="Q16" i="56"/>
  <c r="S20" i="56"/>
  <c r="AA75" i="56"/>
  <c r="T75" i="56"/>
  <c r="R75" i="56"/>
  <c r="S75" i="56"/>
  <c r="D3" i="56"/>
  <c r="AA12" i="56"/>
  <c r="AA13" i="56"/>
  <c r="AA14" i="56"/>
  <c r="AA15" i="56"/>
  <c r="AA16" i="56"/>
  <c r="AA17" i="56"/>
  <c r="AA18" i="56"/>
  <c r="AA19" i="56"/>
  <c r="AA20" i="56"/>
  <c r="AA21" i="56"/>
  <c r="AA23" i="56"/>
  <c r="AA24" i="56"/>
  <c r="AA25" i="56"/>
  <c r="S12" i="56"/>
  <c r="S13" i="56"/>
  <c r="S14" i="56"/>
  <c r="S15" i="56"/>
  <c r="S16" i="56"/>
  <c r="S17" i="56"/>
  <c r="S18" i="56"/>
  <c r="S19" i="56"/>
  <c r="S21" i="56"/>
  <c r="S23" i="56"/>
  <c r="S24" i="56"/>
  <c r="S25" i="56"/>
  <c r="Z8" i="56"/>
  <c r="AA8" i="56"/>
  <c r="Z9" i="56"/>
  <c r="AA9" i="56"/>
  <c r="AA7" i="56"/>
  <c r="AA4" i="56"/>
  <c r="S8" i="56"/>
  <c r="S9" i="56"/>
  <c r="S7" i="56"/>
  <c r="R91" i="56"/>
  <c r="Q75" i="56"/>
  <c r="Q91" i="56" s="1"/>
  <c r="P7" i="56"/>
  <c r="P8" i="56"/>
  <c r="P9" i="56"/>
  <c r="D3" i="57"/>
  <c r="Y18" i="56"/>
  <c r="Y23" i="56"/>
  <c r="Y24" i="56"/>
  <c r="Y25" i="56"/>
  <c r="Y12" i="56"/>
  <c r="Q18" i="56"/>
  <c r="Q23" i="56"/>
  <c r="Q24" i="56"/>
  <c r="Q25" i="56"/>
  <c r="Q12" i="56"/>
  <c r="P14" i="56"/>
  <c r="Y8" i="56"/>
  <c r="Y9" i="56"/>
  <c r="Y7" i="56"/>
  <c r="Q8" i="56"/>
  <c r="Q9" i="56"/>
  <c r="Q7" i="56"/>
  <c r="E96" i="57"/>
  <c r="J22" i="56" l="1"/>
  <c r="K22" i="56" s="1"/>
  <c r="J21" i="56"/>
  <c r="K21" i="56" s="1"/>
  <c r="Y15" i="56"/>
  <c r="Q13" i="56"/>
  <c r="Y13" i="56"/>
  <c r="Q14" i="56"/>
  <c r="Y14" i="56"/>
  <c r="Y16" i="56"/>
  <c r="Y17" i="56"/>
  <c r="Q17" i="56"/>
  <c r="Q22" i="56"/>
  <c r="Y21" i="56"/>
  <c r="Q20" i="56"/>
  <c r="Y20" i="56"/>
  <c r="Y75" i="56"/>
  <c r="X7" i="56"/>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AE148" i="57"/>
  <c r="Y138" i="57"/>
  <c r="Y137" i="57"/>
  <c r="Y94" i="57"/>
  <c r="Z94" i="57"/>
  <c r="Y98" i="57"/>
  <c r="Z98" i="57"/>
  <c r="Y102" i="57"/>
  <c r="Z102" i="57"/>
  <c r="AA103" i="57"/>
  <c r="V76" i="57"/>
  <c r="U76" i="57"/>
  <c r="T76" i="57"/>
  <c r="AE76" i="57"/>
  <c r="Z79" i="57"/>
  <c r="AA79" i="57"/>
  <c r="AB79" i="57"/>
  <c r="Z88" i="57"/>
  <c r="AA88" i="57"/>
  <c r="AB88" i="57"/>
  <c r="Z89" i="57"/>
  <c r="AA89" i="57"/>
  <c r="AB89" i="57"/>
  <c r="Y47" i="57"/>
  <c r="Z47" i="57"/>
  <c r="AA47" i="57"/>
  <c r="AB47" i="57"/>
  <c r="AC47" i="57"/>
  <c r="AD47" i="57"/>
  <c r="AE47" i="57"/>
  <c r="X47" i="57"/>
  <c r="AE53" i="57"/>
  <c r="AE24" i="57"/>
  <c r="AE12" i="57"/>
  <c r="AE63" i="57" s="1"/>
  <c r="S22" i="56" l="1"/>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M21" i="57"/>
  <c r="P47" i="57"/>
  <c r="Q47" i="57"/>
  <c r="R47" i="57"/>
  <c r="S47" i="57"/>
  <c r="T47" i="57"/>
  <c r="U47" i="57"/>
  <c r="V47" i="57"/>
  <c r="O47" i="57"/>
  <c r="E47" i="57"/>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E19" i="57"/>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5" i="57" s="1"/>
  <c r="I131" i="57"/>
  <c r="I113" i="57"/>
  <c r="S12" i="57"/>
  <c r="H18" i="57"/>
  <c r="Q18" i="57" s="1"/>
  <c r="H131" i="57"/>
  <c r="H113" i="57"/>
  <c r="R12" i="57"/>
  <c r="R76" i="57" s="1"/>
  <c r="P113" i="57"/>
  <c r="P131" i="57"/>
  <c r="P148" i="57"/>
  <c r="P72" i="57"/>
  <c r="P160" i="57"/>
  <c r="P171" i="57" s="1"/>
  <c r="P185" i="57" s="1"/>
  <c r="G131" i="57"/>
  <c r="G113" i="57"/>
  <c r="Q12" i="57"/>
  <c r="Q76" i="57" s="1"/>
  <c r="H11" i="57"/>
  <c r="H13" i="57" s="1"/>
  <c r="J11" i="57"/>
  <c r="I18" i="57"/>
  <c r="R18" i="57" s="1"/>
  <c r="K33" i="29"/>
  <c r="O36" i="29"/>
  <c r="L36" i="29"/>
  <c r="Y160" i="57" l="1"/>
  <c r="Y171" i="57" s="1"/>
  <c r="Y24" i="57"/>
  <c r="Y63" i="57"/>
  <c r="Y148" i="57"/>
  <c r="Y76" i="57"/>
  <c r="Y53" i="57"/>
  <c r="S76" i="57"/>
  <c r="AB12" i="57"/>
  <c r="U99" i="57"/>
  <c r="T100" i="57"/>
  <c r="O76" i="57"/>
  <c r="X12" i="57"/>
  <c r="T96" i="57"/>
  <c r="U95" i="57"/>
  <c r="AA15" i="57"/>
  <c r="R15" i="57"/>
  <c r="I14" i="57"/>
  <c r="R148" i="57"/>
  <c r="R131" i="57"/>
  <c r="R113" i="57"/>
  <c r="R160" i="57"/>
  <c r="R72" i="57"/>
  <c r="AA12" i="57"/>
  <c r="O72" i="57"/>
  <c r="O148" i="57"/>
  <c r="O131" i="57"/>
  <c r="O113" i="57"/>
  <c r="O160" i="57"/>
  <c r="I13" i="57"/>
  <c r="Q160" i="57"/>
  <c r="Q171" i="57" s="1"/>
  <c r="Q185" i="57" s="1"/>
  <c r="Q148" i="57"/>
  <c r="Q131" i="57"/>
  <c r="Q113" i="57"/>
  <c r="Q72" i="57"/>
  <c r="Z12" i="57"/>
  <c r="Z13" i="57"/>
  <c r="Q13" i="57"/>
  <c r="S131" i="57"/>
  <c r="S160" i="57"/>
  <c r="S171" i="57" s="1"/>
  <c r="S185" i="57" s="1"/>
  <c r="S113" i="57"/>
  <c r="S148" i="57"/>
  <c r="S72" i="57"/>
  <c r="H14" i="57"/>
  <c r="H15" i="57"/>
  <c r="J14" i="57"/>
  <c r="AB14" i="57" s="1"/>
  <c r="J13" i="57"/>
  <c r="AB13" i="57" s="1"/>
  <c r="J15" i="57"/>
  <c r="AB15" i="57" s="1"/>
  <c r="L33" i="29"/>
  <c r="Z160" i="57" l="1"/>
  <c r="Z171" i="57" s="1"/>
  <c r="Z53" i="57"/>
  <c r="Z63" i="57"/>
  <c r="Z24" i="57"/>
  <c r="Z148" i="57"/>
  <c r="Z76" i="57"/>
  <c r="V99" i="57"/>
  <c r="V100" i="57" s="1"/>
  <c r="U100" i="57"/>
  <c r="AB53" i="57"/>
  <c r="AB148" i="57"/>
  <c r="AB76" i="57"/>
  <c r="AB63" i="57"/>
  <c r="AB24" i="57"/>
  <c r="AB160" i="57"/>
  <c r="AB171" i="57" s="1"/>
  <c r="AB16" i="57"/>
  <c r="AA53" i="57"/>
  <c r="AA63" i="57"/>
  <c r="AA148" i="57"/>
  <c r="AA76" i="57"/>
  <c r="AA24" i="57"/>
  <c r="AA160" i="57"/>
  <c r="AA171" i="57" s="1"/>
  <c r="O171" i="57"/>
  <c r="O185" i="57" s="1"/>
  <c r="X24" i="57"/>
  <c r="X160" i="57"/>
  <c r="X171" i="57" s="1"/>
  <c r="X63" i="57"/>
  <c r="X76" i="57"/>
  <c r="X148" i="57"/>
  <c r="X53" i="57"/>
  <c r="V95" i="57"/>
  <c r="V96" i="57" s="1"/>
  <c r="U96" i="57"/>
  <c r="R171" i="57"/>
  <c r="H16" i="57"/>
  <c r="Z15" i="57"/>
  <c r="Q15" i="57"/>
  <c r="Z14" i="57"/>
  <c r="Z16" i="57" s="1"/>
  <c r="Q14" i="57"/>
  <c r="AA14" i="57"/>
  <c r="R14" i="57"/>
  <c r="S15" i="57"/>
  <c r="S13" i="57"/>
  <c r="AA13" i="57"/>
  <c r="R13" i="57"/>
  <c r="I16" i="57"/>
  <c r="S14" i="57"/>
  <c r="J16" i="57"/>
  <c r="L28" i="29"/>
  <c r="M28" i="29"/>
  <c r="N28" i="29"/>
  <c r="O28" i="29"/>
  <c r="M9" i="29"/>
  <c r="N9" i="29" s="1"/>
  <c r="O9" i="29" s="1"/>
  <c r="P9" i="29" s="1"/>
  <c r="M10" i="29"/>
  <c r="N10" i="29" s="1"/>
  <c r="O10" i="29" s="1"/>
  <c r="P10" i="29" s="1"/>
  <c r="M11" i="29"/>
  <c r="N11" i="29" s="1"/>
  <c r="O11" i="29" s="1"/>
  <c r="P11" i="29" s="1"/>
  <c r="M5" i="29"/>
  <c r="N5" i="29"/>
  <c r="O5" i="29"/>
  <c r="O3" i="29"/>
  <c r="M3" i="29"/>
  <c r="Q16" i="57" l="1"/>
  <c r="AA16" i="57"/>
  <c r="R16" i="57"/>
  <c r="S16" i="57"/>
  <c r="R185" i="57"/>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E78" i="32"/>
  <c r="B41" i="57" l="1"/>
  <c r="B25" i="57"/>
  <c r="C12" i="45"/>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G28" i="44"/>
  <c r="H28" i="44"/>
  <c r="I28" i="44"/>
  <c r="J28" i="44"/>
  <c r="J31" i="44" s="1"/>
  <c r="K28" i="44"/>
  <c r="K31" i="44" s="1"/>
  <c r="L28" i="44"/>
  <c r="M28" i="44"/>
  <c r="N28" i="44"/>
  <c r="O28" i="44"/>
  <c r="P28" i="44"/>
  <c r="Q28" i="44"/>
  <c r="R28" i="44"/>
  <c r="R31" i="44" s="1"/>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K29" i="44"/>
  <c r="L29" i="44"/>
  <c r="L30" i="44" s="1"/>
  <c r="L33" i="44" s="1"/>
  <c r="M29" i="44"/>
  <c r="M32" i="44" s="1"/>
  <c r="N29" i="44"/>
  <c r="O29" i="44"/>
  <c r="P29" i="44"/>
  <c r="P30" i="44" s="1"/>
  <c r="P33" i="44" s="1"/>
  <c r="Q29" i="44"/>
  <c r="Q30" i="44" s="1"/>
  <c r="Q33" i="44" s="1"/>
  <c r="R29" i="44"/>
  <c r="S29" i="44"/>
  <c r="T29" i="44"/>
  <c r="T32" i="44" s="1"/>
  <c r="U29" i="44"/>
  <c r="V29" i="44"/>
  <c r="V30" i="44" s="1"/>
  <c r="V33" i="44" s="1"/>
  <c r="W29" i="44"/>
  <c r="X29" i="44"/>
  <c r="X30" i="44" s="1"/>
  <c r="X33" i="44" s="1"/>
  <c r="Y29" i="44"/>
  <c r="Y32" i="44" s="1"/>
  <c r="Z29" i="44"/>
  <c r="AA29" i="44"/>
  <c r="AA32" i="44" s="1"/>
  <c r="AB29" i="44"/>
  <c r="AB30" i="44" s="1"/>
  <c r="AB33" i="44" s="1"/>
  <c r="AC29" i="44"/>
  <c r="AC30" i="44" s="1"/>
  <c r="AC33" i="44" s="1"/>
  <c r="AD29" i="44"/>
  <c r="AD32" i="44" s="1"/>
  <c r="AE29" i="44"/>
  <c r="AE32" i="44" s="1"/>
  <c r="AF29" i="44"/>
  <c r="AG29" i="44"/>
  <c r="K30" i="44"/>
  <c r="K33" i="44" s="1"/>
  <c r="M30" i="44"/>
  <c r="M33" i="44" s="1"/>
  <c r="W30" i="44"/>
  <c r="W33" i="44" s="1"/>
  <c r="E31" i="44"/>
  <c r="Q31" i="44"/>
  <c r="J32" i="44"/>
  <c r="K32" i="44"/>
  <c r="V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O30" i="44" l="1"/>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S162" i="57" l="1"/>
  <c r="AQ162" i="57"/>
  <c r="AO162" i="57"/>
  <c r="AK162" i="57"/>
  <c r="AI162" i="57"/>
  <c r="AJ161" i="57"/>
  <c r="AJ162" i="57" s="1"/>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Q139" i="57" l="1"/>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R139" i="57" l="1"/>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S139" i="57" l="1"/>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K221" i="57"/>
  <c r="J221" i="57"/>
  <c r="I221" i="57"/>
  <c r="G221" i="57"/>
  <c r="E221" i="57"/>
  <c r="C221" i="57"/>
  <c r="B221" i="57"/>
  <c r="K220" i="57"/>
  <c r="J220" i="57"/>
  <c r="I220" i="57"/>
  <c r="G220" i="57"/>
  <c r="E220" i="57"/>
  <c r="C220" i="57"/>
  <c r="B220" i="57"/>
  <c r="K219" i="57"/>
  <c r="J219" i="57"/>
  <c r="I219" i="57"/>
  <c r="G219" i="57"/>
  <c r="E219" i="57"/>
  <c r="C219" i="57"/>
  <c r="B219" i="57"/>
  <c r="K218" i="57"/>
  <c r="J218" i="57"/>
  <c r="I218" i="57"/>
  <c r="G218" i="57"/>
  <c r="E218" i="57"/>
  <c r="C218" i="57"/>
  <c r="B218" i="57"/>
  <c r="K217" i="57"/>
  <c r="J217" i="57"/>
  <c r="I217" i="57"/>
  <c r="G217" i="57"/>
  <c r="E217" i="57"/>
  <c r="C217" i="57"/>
  <c r="B217" i="57"/>
  <c r="K216" i="57"/>
  <c r="J216" i="57"/>
  <c r="I216" i="57"/>
  <c r="G216" i="57"/>
  <c r="E216" i="57"/>
  <c r="C216" i="57"/>
  <c r="B216" i="57"/>
  <c r="K215" i="57"/>
  <c r="J215" i="57"/>
  <c r="I215" i="57"/>
  <c r="G215" i="57"/>
  <c r="E215" i="57"/>
  <c r="C215" i="57"/>
  <c r="B215" i="57"/>
  <c r="K214" i="57"/>
  <c r="J214" i="57"/>
  <c r="I214" i="57"/>
  <c r="G214" i="57"/>
  <c r="E214" i="57"/>
  <c r="C214" i="57"/>
  <c r="B214" i="57"/>
  <c r="BG211" i="57"/>
  <c r="L211" i="57"/>
  <c r="AR210" i="57"/>
  <c r="AQ210" i="57"/>
  <c r="AP210" i="57"/>
  <c r="AO210" i="57"/>
  <c r="D210" i="57"/>
  <c r="M209" i="57"/>
  <c r="N209"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1" i="57" s="1"/>
  <c r="L221" i="57" s="1"/>
  <c r="C192" i="57"/>
  <c r="B192" i="57"/>
  <c r="D220" i="57" s="1"/>
  <c r="L220" i="57" s="1"/>
  <c r="C191" i="57"/>
  <c r="B191" i="57"/>
  <c r="D219" i="57" s="1"/>
  <c r="L219" i="57" s="1"/>
  <c r="C190" i="57"/>
  <c r="B190" i="57"/>
  <c r="D218" i="57" s="1"/>
  <c r="L218" i="57" s="1"/>
  <c r="E189" i="57"/>
  <c r="W189" i="57" s="1"/>
  <c r="C189" i="57"/>
  <c r="B189" i="57"/>
  <c r="D217" i="57" s="1"/>
  <c r="L217" i="57" s="1"/>
  <c r="C188" i="57"/>
  <c r="B188" i="57"/>
  <c r="D216" i="57" s="1"/>
  <c r="C187" i="57"/>
  <c r="B187" i="57"/>
  <c r="D215" i="57" s="1"/>
  <c r="C186" i="57"/>
  <c r="B186" i="57"/>
  <c r="D214"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O134" i="57" s="1"/>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E64" i="57"/>
  <c r="O64" i="57" s="1"/>
  <c r="E49" i="57"/>
  <c r="E44" i="57"/>
  <c r="O44" i="57" s="1"/>
  <c r="E43" i="57"/>
  <c r="O43" i="57" s="1"/>
  <c r="E42" i="57"/>
  <c r="O42" i="57" s="1"/>
  <c r="E41" i="57"/>
  <c r="O41" i="57" s="1"/>
  <c r="X41" i="57" s="1"/>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K144" i="56"/>
  <c r="J144" i="56"/>
  <c r="I144" i="56"/>
  <c r="G144" i="56"/>
  <c r="E144" i="56"/>
  <c r="C144" i="56"/>
  <c r="B144" i="56"/>
  <c r="K143" i="56"/>
  <c r="J143" i="56"/>
  <c r="I143" i="56"/>
  <c r="G143" i="56"/>
  <c r="E143" i="56"/>
  <c r="C143" i="56"/>
  <c r="B143" i="56"/>
  <c r="K142" i="56"/>
  <c r="J142" i="56"/>
  <c r="I142" i="56"/>
  <c r="G142" i="56"/>
  <c r="E142" i="56"/>
  <c r="C142" i="56"/>
  <c r="B142" i="56"/>
  <c r="K141" i="56"/>
  <c r="J141" i="56"/>
  <c r="I141" i="56"/>
  <c r="G141" i="56"/>
  <c r="E141" i="56"/>
  <c r="C141" i="56"/>
  <c r="B141" i="56"/>
  <c r="K140" i="56"/>
  <c r="J140" i="56"/>
  <c r="I140" i="56"/>
  <c r="G140" i="56"/>
  <c r="E140" i="56"/>
  <c r="C140" i="56"/>
  <c r="B140" i="56"/>
  <c r="K139" i="56"/>
  <c r="J139" i="56"/>
  <c r="I139" i="56"/>
  <c r="G139" i="56"/>
  <c r="E139" i="56"/>
  <c r="C139" i="56"/>
  <c r="B139" i="56"/>
  <c r="K138" i="56"/>
  <c r="J138" i="56"/>
  <c r="I138" i="56"/>
  <c r="G138" i="56"/>
  <c r="E138" i="56"/>
  <c r="C138" i="56"/>
  <c r="B138" i="56"/>
  <c r="K137" i="56"/>
  <c r="J137" i="56"/>
  <c r="I137" i="56"/>
  <c r="G137" i="56"/>
  <c r="E137" i="56"/>
  <c r="C137" i="56"/>
  <c r="B137" i="56"/>
  <c r="K136" i="56"/>
  <c r="J136" i="56"/>
  <c r="I136" i="56"/>
  <c r="G136" i="56"/>
  <c r="E136" i="56"/>
  <c r="C136" i="56"/>
  <c r="B136" i="56"/>
  <c r="K135" i="56"/>
  <c r="J135" i="56"/>
  <c r="I135" i="56"/>
  <c r="G135" i="56"/>
  <c r="E135" i="56"/>
  <c r="C135" i="56"/>
  <c r="B135" i="56"/>
  <c r="K134" i="56"/>
  <c r="J134" i="56"/>
  <c r="I134" i="56"/>
  <c r="G134" i="56"/>
  <c r="E134" i="56"/>
  <c r="C134" i="56"/>
  <c r="B134" i="56"/>
  <c r="K133" i="56"/>
  <c r="J133" i="56"/>
  <c r="I133" i="56"/>
  <c r="G133" i="56"/>
  <c r="E133" i="56"/>
  <c r="C133" i="56"/>
  <c r="B133" i="56"/>
  <c r="K132" i="56"/>
  <c r="J132" i="56"/>
  <c r="I132" i="56"/>
  <c r="G132" i="56"/>
  <c r="E132" i="56"/>
  <c r="C132" i="56"/>
  <c r="B132" i="56"/>
  <c r="AR129" i="56"/>
  <c r="AQ129"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C129" i="56"/>
  <c r="AR128" i="56"/>
  <c r="AQ128"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AD13" i="56" s="1"/>
  <c r="V12" i="56"/>
  <c r="AD12" i="56" s="1"/>
  <c r="U12" i="56"/>
  <c r="AC12" i="56" s="1"/>
  <c r="T12" i="56"/>
  <c r="AB12" i="56" s="1"/>
  <c r="R12" i="56"/>
  <c r="Z12" i="56" s="1"/>
  <c r="P12" i="56"/>
  <c r="X12" i="56" s="1"/>
  <c r="N12" i="56"/>
  <c r="M12" i="56"/>
  <c r="AD4" i="56"/>
  <c r="AC4" i="56"/>
  <c r="AB4" i="56"/>
  <c r="Z4" i="56"/>
  <c r="X4" i="56"/>
  <c r="A1" i="56"/>
  <c r="J9" i="55"/>
  <c r="X67" i="57" l="1"/>
  <c r="P67" i="57"/>
  <c r="Y67" i="57" s="1"/>
  <c r="AJ76" i="56"/>
  <c r="P91" i="56"/>
  <c r="AB75" i="56"/>
  <c r="AM76" i="56"/>
  <c r="U91" i="56"/>
  <c r="I137" i="57"/>
  <c r="G139" i="57"/>
  <c r="G103" i="57"/>
  <c r="J98" i="57"/>
  <c r="M94" i="57"/>
  <c r="G89" i="57"/>
  <c r="H83" i="57"/>
  <c r="M84" i="57"/>
  <c r="H79" i="57"/>
  <c r="H47" i="57"/>
  <c r="I47" i="57"/>
  <c r="G38" i="57"/>
  <c r="H95" i="57"/>
  <c r="J83" i="57"/>
  <c r="J137" i="57"/>
  <c r="H139" i="57"/>
  <c r="H103" i="57"/>
  <c r="K98" i="57"/>
  <c r="G95" i="57"/>
  <c r="H89" i="57"/>
  <c r="I83" i="57"/>
  <c r="I79" i="57"/>
  <c r="G43" i="57"/>
  <c r="L98" i="57"/>
  <c r="J47" i="57"/>
  <c r="K137" i="57"/>
  <c r="I139" i="57"/>
  <c r="I103" i="57"/>
  <c r="I89" i="57"/>
  <c r="J79" i="57"/>
  <c r="L137" i="57"/>
  <c r="J139" i="57"/>
  <c r="J103" i="57"/>
  <c r="M98" i="57"/>
  <c r="I95" i="57"/>
  <c r="J89" i="57"/>
  <c r="K83" i="57"/>
  <c r="K79" i="57"/>
  <c r="K47" i="57"/>
  <c r="F41" i="57"/>
  <c r="H99" i="57"/>
  <c r="M79" i="57"/>
  <c r="M47" i="57"/>
  <c r="M137" i="57"/>
  <c r="K139" i="57"/>
  <c r="K103" i="57"/>
  <c r="G99" i="57"/>
  <c r="J95" i="57"/>
  <c r="K89" i="57"/>
  <c r="L83" i="57"/>
  <c r="G78" i="57"/>
  <c r="L79" i="57"/>
  <c r="L47" i="57"/>
  <c r="G102" i="57"/>
  <c r="G104" i="57" s="1"/>
  <c r="G88" i="57"/>
  <c r="G138" i="57"/>
  <c r="L139" i="57"/>
  <c r="L103" i="57"/>
  <c r="K95" i="57"/>
  <c r="L89" i="57"/>
  <c r="M83" i="57"/>
  <c r="H78" i="57"/>
  <c r="H138" i="57"/>
  <c r="H102" i="57"/>
  <c r="H104" i="57" s="1"/>
  <c r="M103" i="57"/>
  <c r="I99" i="57"/>
  <c r="G94" i="57"/>
  <c r="L95" i="57"/>
  <c r="H88" i="57"/>
  <c r="M89" i="57"/>
  <c r="G84" i="57"/>
  <c r="I78" i="57"/>
  <c r="G42" i="57"/>
  <c r="G37" i="57"/>
  <c r="F27" i="57"/>
  <c r="I138" i="57"/>
  <c r="I102" i="57"/>
  <c r="J99" i="57"/>
  <c r="H94" i="57"/>
  <c r="M95" i="57"/>
  <c r="I88" i="57"/>
  <c r="H84" i="57"/>
  <c r="J78" i="57"/>
  <c r="M102" i="57"/>
  <c r="G47" i="57"/>
  <c r="F35" i="57"/>
  <c r="M139" i="57"/>
  <c r="J138" i="57"/>
  <c r="J102" i="57"/>
  <c r="J104" i="57" s="1"/>
  <c r="K99" i="57"/>
  <c r="I94" i="57"/>
  <c r="J88" i="57"/>
  <c r="I84" i="57"/>
  <c r="K78" i="57"/>
  <c r="M138" i="57"/>
  <c r="L84" i="57"/>
  <c r="K138" i="57"/>
  <c r="G133" i="57"/>
  <c r="K102" i="57"/>
  <c r="G98" i="57"/>
  <c r="L99" i="57"/>
  <c r="J94" i="57"/>
  <c r="J96" i="57" s="1"/>
  <c r="K88" i="57"/>
  <c r="J84" i="57"/>
  <c r="L78" i="57"/>
  <c r="F37" i="57"/>
  <c r="F30" i="57"/>
  <c r="H137" i="57"/>
  <c r="I98" i="57"/>
  <c r="G137" i="57"/>
  <c r="L138" i="57"/>
  <c r="F132" i="57"/>
  <c r="L102" i="57"/>
  <c r="H98" i="57"/>
  <c r="M99" i="57"/>
  <c r="K94" i="57"/>
  <c r="L88" i="57"/>
  <c r="K84" i="57"/>
  <c r="M78" i="57"/>
  <c r="F47" i="57"/>
  <c r="F38" i="57"/>
  <c r="L94" i="57"/>
  <c r="L96" i="57" s="1"/>
  <c r="M88" i="57"/>
  <c r="G83" i="57"/>
  <c r="G79" i="57"/>
  <c r="G41" i="57"/>
  <c r="P42" i="57"/>
  <c r="Y42" i="57" s="1"/>
  <c r="X42" i="57"/>
  <c r="P133" i="57"/>
  <c r="X133" i="57"/>
  <c r="P43" i="57"/>
  <c r="Y43" i="57" s="1"/>
  <c r="X43" i="57"/>
  <c r="P134" i="57"/>
  <c r="G134" i="57" s="1"/>
  <c r="X134" i="57"/>
  <c r="P30" i="57"/>
  <c r="Y30" i="57" s="1"/>
  <c r="X30" i="57"/>
  <c r="P44" i="57"/>
  <c r="G44" i="57" s="1"/>
  <c r="X44" i="57"/>
  <c r="P31" i="57"/>
  <c r="Y31" i="57" s="1"/>
  <c r="X31" i="57"/>
  <c r="P37" i="57"/>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O142" i="57"/>
  <c r="F142" i="57" s="1"/>
  <c r="T66" i="57"/>
  <c r="T63" i="57"/>
  <c r="U66" i="57"/>
  <c r="U63" i="57"/>
  <c r="E57" i="57"/>
  <c r="O49" i="57"/>
  <c r="F49" i="57" s="1"/>
  <c r="V66" i="57"/>
  <c r="V63" i="57"/>
  <c r="F138" i="57"/>
  <c r="F134"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Q32" i="57"/>
  <c r="Z32" i="57" s="1"/>
  <c r="P38" i="57"/>
  <c r="P27" i="57"/>
  <c r="Y27" i="57" s="1"/>
  <c r="E68" i="57"/>
  <c r="O68" i="57" s="1"/>
  <c r="X68" i="57" s="1"/>
  <c r="O70" i="57"/>
  <c r="X70" i="57" s="1"/>
  <c r="P41" i="57"/>
  <c r="Q42" i="57"/>
  <c r="H42" i="57" s="1"/>
  <c r="O35" i="57"/>
  <c r="Q43" i="57"/>
  <c r="H43" i="57" s="1"/>
  <c r="Q31" i="57"/>
  <c r="Z31" i="57" s="1"/>
  <c r="F53" i="57"/>
  <c r="F63" i="57" s="1"/>
  <c r="G53" i="57"/>
  <c r="F88" i="56"/>
  <c r="AR197" i="57"/>
  <c r="N210" i="57"/>
  <c r="Y8" i="58"/>
  <c r="Z67" i="58"/>
  <c r="Z104" i="58" s="1"/>
  <c r="Z22" i="58"/>
  <c r="Z25" i="58" s="1"/>
  <c r="Z7" i="58"/>
  <c r="AA4" i="58"/>
  <c r="Z6" i="58"/>
  <c r="Z5" i="58"/>
  <c r="Z12" i="58" a="1"/>
  <c r="Z12" i="58" s="1"/>
  <c r="Z11" i="58" s="1"/>
  <c r="G67" i="56"/>
  <c r="P67" i="56" s="1"/>
  <c r="F80" i="56"/>
  <c r="G68" i="56"/>
  <c r="G81" i="56" s="1"/>
  <c r="F81" i="56"/>
  <c r="G69" i="56"/>
  <c r="G82" i="56" s="1"/>
  <c r="F56" i="56"/>
  <c r="K178" i="56" s="1"/>
  <c r="F83" i="56"/>
  <c r="F57" i="56"/>
  <c r="K179" i="56" s="1"/>
  <c r="F84" i="56"/>
  <c r="G85" i="56"/>
  <c r="F85" i="56"/>
  <c r="F51" i="56"/>
  <c r="F78" i="56"/>
  <c r="AE139" i="57"/>
  <c r="AZ109" i="56"/>
  <c r="AZ110" i="56" s="1"/>
  <c r="G15" i="56"/>
  <c r="AD15" i="56" s="1"/>
  <c r="AL76" i="56"/>
  <c r="P13" i="56"/>
  <c r="N107" i="56"/>
  <c r="T13" i="56"/>
  <c r="F17" i="56"/>
  <c r="G16" i="56"/>
  <c r="Z16" i="56" s="1"/>
  <c r="X75" i="56"/>
  <c r="N109" i="56"/>
  <c r="AG130" i="56"/>
  <c r="AG131" i="56" s="1"/>
  <c r="R13" i="56"/>
  <c r="U130" i="56"/>
  <c r="U131" i="56" s="1"/>
  <c r="U13" i="56"/>
  <c r="V130" i="56"/>
  <c r="V131" i="56" s="1"/>
  <c r="AA168" i="56"/>
  <c r="AA169" i="56" s="1"/>
  <c r="X13" i="56"/>
  <c r="N108" i="56"/>
  <c r="W130" i="56"/>
  <c r="W131" i="56" s="1"/>
  <c r="AH168" i="56"/>
  <c r="AH169" i="56" s="1"/>
  <c r="AC13" i="56"/>
  <c r="Z130" i="56"/>
  <c r="Z131" i="56" s="1"/>
  <c r="AM168" i="56"/>
  <c r="AM169" i="56" s="1"/>
  <c r="AD130" i="56"/>
  <c r="AD131" i="56" s="1"/>
  <c r="BA110" i="56"/>
  <c r="J224" i="57"/>
  <c r="J245" i="57" s="1"/>
  <c r="M224" i="57"/>
  <c r="AR211" i="57"/>
  <c r="AC100" i="57"/>
  <c r="BH196" i="57"/>
  <c r="E244" i="57"/>
  <c r="L244" i="57" s="1"/>
  <c r="F224" i="57"/>
  <c r="F245" i="57" s="1"/>
  <c r="AQ211" i="57"/>
  <c r="G224" i="57"/>
  <c r="G245" i="57" s="1"/>
  <c r="H224" i="57"/>
  <c r="H245" i="57" s="1"/>
  <c r="I224" i="57"/>
  <c r="I245" i="57" s="1"/>
  <c r="C35" i="57"/>
  <c r="C41" i="57" s="1"/>
  <c r="M196" i="57"/>
  <c r="AP197" i="57"/>
  <c r="AQ197" i="57"/>
  <c r="M210" i="57"/>
  <c r="N197" i="57"/>
  <c r="N196" i="57"/>
  <c r="M211" i="57"/>
  <c r="BE245" i="57"/>
  <c r="C56" i="57"/>
  <c r="C109" i="57" s="1"/>
  <c r="O197" i="57"/>
  <c r="O196" i="57"/>
  <c r="O209" i="57"/>
  <c r="O211" i="57" s="1"/>
  <c r="BG210" i="57"/>
  <c r="AX224" i="57"/>
  <c r="AY224" i="57"/>
  <c r="F53" i="56"/>
  <c r="K175" i="56" s="1"/>
  <c r="F54" i="56"/>
  <c r="K176" i="56" s="1"/>
  <c r="AG26" i="44"/>
  <c r="F58" i="56"/>
  <c r="K180" i="56" s="1"/>
  <c r="C3" i="57"/>
  <c r="E87" i="57"/>
  <c r="E90" i="57" s="1"/>
  <c r="G70" i="56"/>
  <c r="F55" i="56"/>
  <c r="K177" i="56" s="1"/>
  <c r="G71" i="56"/>
  <c r="P16" i="56"/>
  <c r="AB16" i="56"/>
  <c r="F52" i="56"/>
  <c r="G66" i="56"/>
  <c r="G79" i="56" s="1"/>
  <c r="AK76" i="56"/>
  <c r="Z75" i="56"/>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68" i="56"/>
  <c r="AI169" i="56" s="1"/>
  <c r="W168" i="56"/>
  <c r="W169" i="56" s="1"/>
  <c r="K168" i="56"/>
  <c r="K169" i="56" s="1"/>
  <c r="AF168" i="56"/>
  <c r="AF169" i="56" s="1"/>
  <c r="T168" i="56"/>
  <c r="T169" i="56" s="1"/>
  <c r="AR130" i="56"/>
  <c r="AR131" i="56" s="1"/>
  <c r="AF130" i="56"/>
  <c r="AF131" i="56" s="1"/>
  <c r="T130" i="56"/>
  <c r="T131" i="56" s="1"/>
  <c r="AQ168" i="56"/>
  <c r="AQ169" i="56" s="1"/>
  <c r="AE168" i="56"/>
  <c r="AE169" i="56" s="1"/>
  <c r="S168" i="56"/>
  <c r="S169" i="56" s="1"/>
  <c r="AQ130" i="56"/>
  <c r="AQ131" i="56" s="1"/>
  <c r="AE130" i="56"/>
  <c r="AE131" i="56" s="1"/>
  <c r="S130" i="56"/>
  <c r="S131" i="56" s="1"/>
  <c r="AP168" i="56"/>
  <c r="AP169" i="56" s="1"/>
  <c r="AD168" i="56"/>
  <c r="AD169" i="56" s="1"/>
  <c r="R168" i="56"/>
  <c r="R169" i="56" s="1"/>
  <c r="AO168" i="56"/>
  <c r="AO169" i="56" s="1"/>
  <c r="AC168" i="56"/>
  <c r="AC169" i="56" s="1"/>
  <c r="Q168" i="56"/>
  <c r="Q169" i="56" s="1"/>
  <c r="AO130" i="56"/>
  <c r="AO131" i="56" s="1"/>
  <c r="AC130" i="56"/>
  <c r="AC131" i="56" s="1"/>
  <c r="Q130" i="56"/>
  <c r="Q131" i="56" s="1"/>
  <c r="AN168" i="56"/>
  <c r="AN169" i="56" s="1"/>
  <c r="AB168" i="56"/>
  <c r="AB169" i="56" s="1"/>
  <c r="P168" i="56"/>
  <c r="P169" i="56" s="1"/>
  <c r="AN130" i="56"/>
  <c r="AN131" i="56" s="1"/>
  <c r="AB130" i="56"/>
  <c r="AB131" i="56" s="1"/>
  <c r="P130" i="56"/>
  <c r="P131" i="56" s="1"/>
  <c r="AK168" i="56"/>
  <c r="AK169" i="56" s="1"/>
  <c r="Y168" i="56"/>
  <c r="Y169" i="56" s="1"/>
  <c r="M168" i="56"/>
  <c r="M169" i="56" s="1"/>
  <c r="AK130" i="56"/>
  <c r="AK131" i="56" s="1"/>
  <c r="Y130" i="56"/>
  <c r="Y131" i="56" s="1"/>
  <c r="M130" i="56"/>
  <c r="M131" i="56" s="1"/>
  <c r="AJ168" i="56"/>
  <c r="AJ169" i="56" s="1"/>
  <c r="X168" i="56"/>
  <c r="X169" i="56" s="1"/>
  <c r="L168" i="56"/>
  <c r="L169" i="56" s="1"/>
  <c r="AJ130" i="56"/>
  <c r="AJ131" i="56" s="1"/>
  <c r="X130" i="56"/>
  <c r="X131" i="56" s="1"/>
  <c r="L130" i="56"/>
  <c r="L131" i="56" s="1"/>
  <c r="AH130" i="56"/>
  <c r="AH131" i="56" s="1"/>
  <c r="AI130" i="56"/>
  <c r="AI131" i="56" s="1"/>
  <c r="N168" i="56"/>
  <c r="N169" i="56" s="1"/>
  <c r="N130" i="56"/>
  <c r="N131" i="56" s="1"/>
  <c r="AL130" i="56"/>
  <c r="AL131" i="56" s="1"/>
  <c r="O168" i="56"/>
  <c r="O169" i="56" s="1"/>
  <c r="O130" i="56"/>
  <c r="O131" i="56" s="1"/>
  <c r="AM130" i="56"/>
  <c r="AM131" i="56" s="1"/>
  <c r="U168" i="56"/>
  <c r="U169" i="56" s="1"/>
  <c r="O25" i="57"/>
  <c r="F25" i="57" s="1"/>
  <c r="R130" i="56"/>
  <c r="R131" i="56" s="1"/>
  <c r="AP130" i="56"/>
  <c r="AP131" i="56" s="1"/>
  <c r="V168" i="56"/>
  <c r="V169" i="56" s="1"/>
  <c r="Z168" i="56"/>
  <c r="Z169" i="56" s="1"/>
  <c r="AG168" i="56"/>
  <c r="AG169" i="56" s="1"/>
  <c r="AA130" i="56"/>
  <c r="AA131" i="56" s="1"/>
  <c r="AL168" i="56"/>
  <c r="AL169" i="56" s="1"/>
  <c r="V21" i="57"/>
  <c r="E82" i="57"/>
  <c r="E85" i="57" s="1"/>
  <c r="O36" i="57"/>
  <c r="F36" i="57" s="1"/>
  <c r="C36" i="57"/>
  <c r="C42" i="57" s="1"/>
  <c r="C55" i="57"/>
  <c r="F44" i="57"/>
  <c r="F42" i="57"/>
  <c r="C75" i="57"/>
  <c r="C93" i="57" s="1"/>
  <c r="C114" i="57" s="1"/>
  <c r="B27" i="57"/>
  <c r="E69" i="57"/>
  <c r="O69" i="57" s="1"/>
  <c r="X69" i="57" s="1"/>
  <c r="X40" i="57"/>
  <c r="J231" i="57"/>
  <c r="E50" i="57"/>
  <c r="O100" i="57"/>
  <c r="O26" i="57"/>
  <c r="F26" i="57" s="1"/>
  <c r="E144" i="57"/>
  <c r="O144" i="57" s="1"/>
  <c r="BE244" i="57"/>
  <c r="BF244" i="57"/>
  <c r="BG217" i="57"/>
  <c r="BH217" i="57" s="1"/>
  <c r="BH203" i="57"/>
  <c r="BI203" i="57" s="1"/>
  <c r="N198" i="57"/>
  <c r="N211" i="57"/>
  <c r="C211" i="57"/>
  <c r="M244" i="57"/>
  <c r="K254" i="57"/>
  <c r="M245" i="57"/>
  <c r="L210" i="57"/>
  <c r="N245" i="57"/>
  <c r="N244" i="57"/>
  <c r="M227" i="57"/>
  <c r="M223" i="57"/>
  <c r="AO211" i="57"/>
  <c r="K223" i="57"/>
  <c r="L254" i="57"/>
  <c r="AP211" i="57"/>
  <c r="L223" i="57"/>
  <c r="L224" i="57"/>
  <c r="D224" i="57"/>
  <c r="BF245" i="57"/>
  <c r="L245" i="57"/>
  <c r="H31" i="57" l="1"/>
  <c r="G30" i="57"/>
  <c r="Q67" i="56"/>
  <c r="X67" i="56"/>
  <c r="G27" i="57"/>
  <c r="Q64" i="57"/>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M104" i="57"/>
  <c r="S104" i="57"/>
  <c r="AB103" i="57"/>
  <c r="AB104" i="57" s="1"/>
  <c r="X100" i="57"/>
  <c r="Y41" i="57"/>
  <c r="Q44" i="57"/>
  <c r="H44" i="57" s="1"/>
  <c r="Y44" i="57"/>
  <c r="Q143" i="57"/>
  <c r="H143" i="57" s="1"/>
  <c r="Y143" i="57"/>
  <c r="Q134" i="57"/>
  <c r="H134" i="57" s="1"/>
  <c r="Y134" i="57"/>
  <c r="O50" i="57"/>
  <c r="X50" i="57" s="1"/>
  <c r="X49" i="57"/>
  <c r="P144" i="57"/>
  <c r="G144" i="57" s="1"/>
  <c r="X144" i="57"/>
  <c r="X25" i="57"/>
  <c r="Q30" i="57"/>
  <c r="X26" i="57"/>
  <c r="Z43" i="57"/>
  <c r="S43" i="57"/>
  <c r="R43" i="57"/>
  <c r="Q38" i="57"/>
  <c r="H38" i="57" s="1"/>
  <c r="Y38" i="57"/>
  <c r="Q37" i="57"/>
  <c r="H37" i="57" s="1"/>
  <c r="Y37" i="57"/>
  <c r="Q133" i="57"/>
  <c r="H133" i="57" s="1"/>
  <c r="Y133" i="57"/>
  <c r="P36" i="57"/>
  <c r="X36" i="57"/>
  <c r="P35" i="57"/>
  <c r="G35" i="57" s="1"/>
  <c r="X35" i="57"/>
  <c r="P142" i="57"/>
  <c r="G142" i="57" s="1"/>
  <c r="X142" i="57"/>
  <c r="S42" i="57"/>
  <c r="R42" i="57"/>
  <c r="Z42" i="57"/>
  <c r="Q48" i="57"/>
  <c r="F144" i="57"/>
  <c r="P49" i="57"/>
  <c r="V103" i="57"/>
  <c r="O77" i="57"/>
  <c r="G63" i="57"/>
  <c r="P26" i="57"/>
  <c r="P70" i="57"/>
  <c r="Y70" i="57" s="1"/>
  <c r="P25" i="57"/>
  <c r="R31" i="57"/>
  <c r="I31" i="57" s="1"/>
  <c r="P68" i="57"/>
  <c r="Y68" i="57" s="1"/>
  <c r="Q67" i="57"/>
  <c r="Z67" i="57" s="1"/>
  <c r="P87" i="57"/>
  <c r="G87" i="57" s="1"/>
  <c r="G90" i="57" s="1"/>
  <c r="R64" i="57"/>
  <c r="P69" i="57"/>
  <c r="Y69" i="57" s="1"/>
  <c r="Q27" i="57"/>
  <c r="Q41" i="57"/>
  <c r="H41" i="57" s="1"/>
  <c r="P77" i="57"/>
  <c r="G77" i="57" s="1"/>
  <c r="G80" i="57" s="1"/>
  <c r="T15" i="56"/>
  <c r="G78" i="56"/>
  <c r="P65" i="56"/>
  <c r="X15" i="56"/>
  <c r="X16" i="56"/>
  <c r="AB15" i="56"/>
  <c r="AC15" i="56"/>
  <c r="AC16" i="56"/>
  <c r="V16" i="56"/>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P209" i="57"/>
  <c r="Q196" i="57" s="1"/>
  <c r="O210" i="57"/>
  <c r="O96" i="57"/>
  <c r="L225" i="57"/>
  <c r="L226" i="57" s="1"/>
  <c r="P198" i="57"/>
  <c r="N199" i="57"/>
  <c r="P196" i="57"/>
  <c r="P197" i="57"/>
  <c r="BE246" i="57"/>
  <c r="BE247" i="57" s="1"/>
  <c r="N246" i="57"/>
  <c r="N247" i="57" s="1"/>
  <c r="BF246" i="57"/>
  <c r="BF247" i="57" s="1"/>
  <c r="N212" i="57"/>
  <c r="N213" i="57" s="1"/>
  <c r="F43" i="57"/>
  <c r="H71" i="56"/>
  <c r="H70" i="56"/>
  <c r="H63" i="56"/>
  <c r="P63" i="56"/>
  <c r="H65" i="56"/>
  <c r="H66" i="56"/>
  <c r="P66" i="56"/>
  <c r="K174" i="56"/>
  <c r="Q106" i="56"/>
  <c r="P108" i="56"/>
  <c r="P107" i="56"/>
  <c r="P109" i="56"/>
  <c r="L13" i="56"/>
  <c r="N13" i="56"/>
  <c r="M13" i="56"/>
  <c r="N16" i="56"/>
  <c r="N15" i="56"/>
  <c r="M15" i="56"/>
  <c r="L15" i="56"/>
  <c r="T14" i="56"/>
  <c r="AD14" i="56"/>
  <c r="X14" i="56"/>
  <c r="U14" i="56"/>
  <c r="AB14" i="56"/>
  <c r="AC14" i="56"/>
  <c r="V14" i="56"/>
  <c r="N14" i="56" s="1"/>
  <c r="Z14" i="56"/>
  <c r="R14" i="56"/>
  <c r="H104" i="56"/>
  <c r="G88" i="56"/>
  <c r="O110" i="56"/>
  <c r="H64" i="56"/>
  <c r="P64" i="56"/>
  <c r="E51" i="57"/>
  <c r="E110" i="57"/>
  <c r="K172" i="56"/>
  <c r="F48" i="56"/>
  <c r="F39" i="56" s="1"/>
  <c r="P39" i="56" s="1"/>
  <c r="K225" i="57"/>
  <c r="K226" i="57" s="1"/>
  <c r="AQ212" i="57"/>
  <c r="AQ213" i="57" s="1"/>
  <c r="AP198" i="57"/>
  <c r="AP199" i="57" s="1"/>
  <c r="BG212" i="57"/>
  <c r="BG213" i="57" s="1"/>
  <c r="AR212" i="57"/>
  <c r="AR213" i="57" s="1"/>
  <c r="AP212" i="57"/>
  <c r="AP213" i="57" s="1"/>
  <c r="M212" i="57"/>
  <c r="M213" i="57" s="1"/>
  <c r="AO212" i="57"/>
  <c r="AO213" i="57" s="1"/>
  <c r="L212" i="57"/>
  <c r="L213" i="57" s="1"/>
  <c r="AS198" i="57"/>
  <c r="AS199" i="57" s="1"/>
  <c r="M198" i="57"/>
  <c r="M199" i="57" s="1"/>
  <c r="BH198" i="57"/>
  <c r="BH199" i="57" s="1"/>
  <c r="AQ198" i="57"/>
  <c r="AQ199" i="57" s="1"/>
  <c r="O198" i="57"/>
  <c r="O199" i="57" s="1"/>
  <c r="AR198" i="57"/>
  <c r="AR199" i="57" s="1"/>
  <c r="D245" i="57"/>
  <c r="L246" i="57" s="1"/>
  <c r="L247" i="57" s="1"/>
  <c r="AX225" i="57"/>
  <c r="AX226" i="57" s="1"/>
  <c r="AY225" i="57"/>
  <c r="AY226" i="57" s="1"/>
  <c r="M246" i="57"/>
  <c r="M247" i="57" s="1"/>
  <c r="M225" i="57"/>
  <c r="M226" i="57" s="1"/>
  <c r="O244" i="57"/>
  <c r="M254" i="57"/>
  <c r="O245" i="57"/>
  <c r="O246" i="57"/>
  <c r="N225" i="57"/>
  <c r="N227" i="57"/>
  <c r="N223" i="57"/>
  <c r="N224" i="57"/>
  <c r="O212" i="57"/>
  <c r="O104" i="57"/>
  <c r="X104" i="57"/>
  <c r="C108" i="57"/>
  <c r="C81" i="57"/>
  <c r="C97" i="57" s="1"/>
  <c r="C118" i="57" s="1"/>
  <c r="K171" i="56"/>
  <c r="K173" i="56"/>
  <c r="F60" i="56"/>
  <c r="Q39" i="56" l="1"/>
  <c r="X39" i="56"/>
  <c r="Y25" i="57"/>
  <c r="G25" i="57"/>
  <c r="AA43" i="57"/>
  <c r="I43" i="57"/>
  <c r="X70" i="56"/>
  <c r="Q70" i="56"/>
  <c r="AB43" i="57"/>
  <c r="AC43" i="57" s="1"/>
  <c r="J43" i="57"/>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Y67" i="56"/>
  <c r="R67" i="56"/>
  <c r="X63" i="56"/>
  <c r="Q63" i="56"/>
  <c r="Y26" i="57"/>
  <c r="G26" i="57"/>
  <c r="H88" i="56"/>
  <c r="R88" i="56"/>
  <c r="Z88" i="56" s="1"/>
  <c r="AB42" i="57"/>
  <c r="AC42" i="57" s="1"/>
  <c r="J42" i="57"/>
  <c r="X72" i="56"/>
  <c r="Q72" i="56"/>
  <c r="AA42" i="57"/>
  <c r="I42" i="57"/>
  <c r="O51" i="57"/>
  <c r="F51" i="57" s="1"/>
  <c r="F50" i="57"/>
  <c r="AD43" i="57"/>
  <c r="AD42" i="57"/>
  <c r="V104" i="57"/>
  <c r="X96" i="57"/>
  <c r="R37" i="57"/>
  <c r="I37" i="57" s="1"/>
  <c r="Z37" i="57"/>
  <c r="R143" i="57"/>
  <c r="I143" i="57" s="1"/>
  <c r="Z143" i="57"/>
  <c r="Y87" i="57"/>
  <c r="R38" i="57"/>
  <c r="I38" i="57" s="1"/>
  <c r="Z38" i="57"/>
  <c r="Q144" i="57"/>
  <c r="H144" i="57" s="1"/>
  <c r="Y144" i="57"/>
  <c r="S44" i="57"/>
  <c r="J44" i="57" s="1"/>
  <c r="Z44" i="57"/>
  <c r="R44" i="57"/>
  <c r="I44" i="57" s="1"/>
  <c r="Y77" i="57"/>
  <c r="Z41" i="57"/>
  <c r="R41" i="57"/>
  <c r="S41" i="57"/>
  <c r="Q142" i="57"/>
  <c r="H142" i="57" s="1"/>
  <c r="Y142" i="57"/>
  <c r="Y82" i="57"/>
  <c r="Q35" i="57"/>
  <c r="H35" i="57" s="1"/>
  <c r="Y35" i="57"/>
  <c r="F77" i="57"/>
  <c r="F80" i="57" s="1"/>
  <c r="X77" i="57"/>
  <c r="AA31" i="57"/>
  <c r="Q36" i="57"/>
  <c r="Y36" i="57"/>
  <c r="R134" i="57"/>
  <c r="I134" i="57" s="1"/>
  <c r="Z134" i="57"/>
  <c r="R133" i="57"/>
  <c r="I133" i="57" s="1"/>
  <c r="Z133" i="57"/>
  <c r="P50" i="57"/>
  <c r="P51" i="57" s="1"/>
  <c r="Y49" i="57"/>
  <c r="Z48" i="57"/>
  <c r="S30" i="57"/>
  <c r="P210" i="57"/>
  <c r="P211" i="57"/>
  <c r="Q109" i="57"/>
  <c r="H109" i="57" s="1"/>
  <c r="Q101" i="57"/>
  <c r="H101" i="57" s="1"/>
  <c r="Q197" i="57"/>
  <c r="R67" i="57"/>
  <c r="AA67" i="57" s="1"/>
  <c r="S64" i="57"/>
  <c r="Q68" i="57"/>
  <c r="Z68" i="57" s="1"/>
  <c r="Q77" i="57"/>
  <c r="H77" i="57" s="1"/>
  <c r="H80"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J67" i="56"/>
  <c r="F36" i="56"/>
  <c r="F28" i="56"/>
  <c r="G28" i="56" s="1"/>
  <c r="P28" i="56" s="1"/>
  <c r="M14" i="56"/>
  <c r="L14" i="56"/>
  <c r="O213" i="57"/>
  <c r="Q198" i="57"/>
  <c r="Q209" i="57"/>
  <c r="R197" i="57" s="1"/>
  <c r="P212" i="57"/>
  <c r="R17" i="56"/>
  <c r="U17" i="56"/>
  <c r="M17" i="56" s="1"/>
  <c r="V17" i="56"/>
  <c r="AD17" i="56"/>
  <c r="T17" i="56"/>
  <c r="L17" i="56" s="1"/>
  <c r="P17" i="56"/>
  <c r="AC17" i="56"/>
  <c r="X17" i="56"/>
  <c r="AB17" i="56"/>
  <c r="Z17" i="56"/>
  <c r="G18" i="56"/>
  <c r="F19" i="56"/>
  <c r="P199" i="57"/>
  <c r="N226" i="57"/>
  <c r="F30" i="56"/>
  <c r="G30" i="56" s="1"/>
  <c r="P30" i="56" s="1"/>
  <c r="F31" i="56"/>
  <c r="G31" i="56" s="1"/>
  <c r="P31" i="56" s="1"/>
  <c r="F32" i="56"/>
  <c r="G32" i="56" s="1"/>
  <c r="P32" i="56" s="1"/>
  <c r="F35" i="56"/>
  <c r="G35" i="56" s="1"/>
  <c r="P35" i="56" s="1"/>
  <c r="F33" i="56"/>
  <c r="G33" i="56" s="1"/>
  <c r="P33" i="56" s="1"/>
  <c r="F34" i="56"/>
  <c r="G34" i="56" s="1"/>
  <c r="P34" i="56" s="1"/>
  <c r="P110" i="56"/>
  <c r="N254" i="57"/>
  <c r="P244" i="57"/>
  <c r="O227" i="57"/>
  <c r="O223" i="57"/>
  <c r="P245" i="57"/>
  <c r="O224" i="57"/>
  <c r="O225" i="57"/>
  <c r="P246" i="57"/>
  <c r="F29" i="56"/>
  <c r="G29" i="56" s="1"/>
  <c r="P29" i="56" s="1"/>
  <c r="Q109" i="56"/>
  <c r="Q108" i="56"/>
  <c r="R106" i="56"/>
  <c r="Q107" i="56"/>
  <c r="O247" i="57"/>
  <c r="F40" i="56"/>
  <c r="T138" i="57"/>
  <c r="AB64" i="57" l="1"/>
  <c r="J64" i="57"/>
  <c r="X32" i="56"/>
  <c r="Q32" i="56"/>
  <c r="AB41" i="57"/>
  <c r="AC41" i="57" s="1"/>
  <c r="J41" i="57"/>
  <c r="Y63" i="56"/>
  <c r="R63" i="56"/>
  <c r="Y70" i="56"/>
  <c r="R70" i="56"/>
  <c r="K31" i="57"/>
  <c r="AA41" i="57"/>
  <c r="I41" i="57"/>
  <c r="Y64" i="56"/>
  <c r="R64" i="56"/>
  <c r="Q29" i="56"/>
  <c r="X29" i="56"/>
  <c r="Q30" i="56"/>
  <c r="X30" i="56"/>
  <c r="AB31" i="57"/>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X51" i="57"/>
  <c r="AE42" i="57"/>
  <c r="H48" i="57"/>
  <c r="R48" i="57" s="1"/>
  <c r="Y57" i="57"/>
  <c r="G49" i="57"/>
  <c r="AD41" i="57"/>
  <c r="AE43" i="57"/>
  <c r="Z82"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Z77" i="57"/>
  <c r="R142" i="57"/>
  <c r="I142" i="57" s="1"/>
  <c r="Z142" i="57"/>
  <c r="R144" i="57"/>
  <c r="I144" i="57" s="1"/>
  <c r="Z144" i="57"/>
  <c r="Z109" i="57"/>
  <c r="AE31" i="57"/>
  <c r="R36" i="57"/>
  <c r="I36" i="57" s="1"/>
  <c r="Z36" i="57"/>
  <c r="S133" i="57"/>
  <c r="J133" i="57" s="1"/>
  <c r="AA133" i="57"/>
  <c r="S38" i="57"/>
  <c r="J38" i="57" s="1"/>
  <c r="AA38" i="57"/>
  <c r="AC38" i="57" s="1"/>
  <c r="Y51" i="57"/>
  <c r="G51" i="57" s="1"/>
  <c r="Y50" i="57"/>
  <c r="G50" i="57" s="1"/>
  <c r="P110" i="57"/>
  <c r="T42" i="57"/>
  <c r="K42" i="57" s="1"/>
  <c r="AD31" i="57"/>
  <c r="Q199" i="57"/>
  <c r="R101" i="57"/>
  <c r="I101" i="57" s="1"/>
  <c r="Q97" i="57"/>
  <c r="H97" i="57" s="1"/>
  <c r="Q108" i="57"/>
  <c r="H108" i="57" s="1"/>
  <c r="Q107" i="57"/>
  <c r="Q93" i="57"/>
  <c r="H93" i="57" s="1"/>
  <c r="P213" i="57"/>
  <c r="T43" i="57"/>
  <c r="K43" i="57" s="1"/>
  <c r="R70" i="57"/>
  <c r="AA70" i="57" s="1"/>
  <c r="R68" i="57"/>
  <c r="AA68" i="57" s="1"/>
  <c r="T30" i="57"/>
  <c r="T31" i="57"/>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Q212" i="57"/>
  <c r="Q210" i="57"/>
  <c r="Q211" i="57"/>
  <c r="R209" i="57"/>
  <c r="S197" i="57" s="1"/>
  <c r="R196" i="57"/>
  <c r="U18" i="56"/>
  <c r="T18" i="56"/>
  <c r="AD18" i="56"/>
  <c r="AC18" i="56"/>
  <c r="AB18" i="56"/>
  <c r="R18" i="56"/>
  <c r="Z18" i="56"/>
  <c r="X18" i="56"/>
  <c r="V18" i="56"/>
  <c r="P18" i="56"/>
  <c r="F20" i="56"/>
  <c r="G19" i="56"/>
  <c r="G36" i="56"/>
  <c r="O254" i="57"/>
  <c r="Q245" i="57"/>
  <c r="Q246" i="57"/>
  <c r="P225" i="57"/>
  <c r="Q244" i="57"/>
  <c r="P227" i="57"/>
  <c r="P223" i="57"/>
  <c r="P224" i="57"/>
  <c r="U138" i="57"/>
  <c r="P247" i="57"/>
  <c r="H34" i="56"/>
  <c r="I34" i="56" s="1"/>
  <c r="O226" i="57"/>
  <c r="H33" i="56"/>
  <c r="I33" i="56" s="1"/>
  <c r="Q110" i="56"/>
  <c r="H35" i="56"/>
  <c r="I35" i="56" s="1"/>
  <c r="S106" i="56"/>
  <c r="R109" i="56"/>
  <c r="R107" i="56"/>
  <c r="R108" i="56"/>
  <c r="H32" i="56"/>
  <c r="I32" i="56" s="1"/>
  <c r="H31" i="56"/>
  <c r="I31" i="56" s="1"/>
  <c r="H29" i="56"/>
  <c r="I29" i="56" s="1"/>
  <c r="H30" i="56"/>
  <c r="I30" i="56" s="1"/>
  <c r="R31" i="56" l="1"/>
  <c r="Y31" i="56"/>
  <c r="Z70" i="56"/>
  <c r="AB70" i="56" s="1"/>
  <c r="S70" i="56"/>
  <c r="AA70" i="56" s="1"/>
  <c r="J70" i="56"/>
  <c r="T70" i="56"/>
  <c r="R77" i="57"/>
  <c r="I77" i="57" s="1"/>
  <c r="I80"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Y36" i="56" s="1"/>
  <c r="Q36" i="56"/>
  <c r="R34" i="56"/>
  <c r="Y34" i="56"/>
  <c r="Z64" i="56"/>
  <c r="AB64" i="56" s="1"/>
  <c r="S64" i="56"/>
  <c r="AA64" i="56" s="1"/>
  <c r="J64" i="56"/>
  <c r="T64" i="56"/>
  <c r="X36" i="56"/>
  <c r="P36" i="56"/>
  <c r="L67" i="56"/>
  <c r="AC67" i="56"/>
  <c r="AD67" i="56"/>
  <c r="R35" i="56"/>
  <c r="Y35" i="56"/>
  <c r="V67" i="56"/>
  <c r="K67" i="56"/>
  <c r="U67" i="56"/>
  <c r="AA48" i="57"/>
  <c r="AD38" i="57"/>
  <c r="AE41" i="57"/>
  <c r="AD37" i="57"/>
  <c r="K37" i="57"/>
  <c r="S196" i="57"/>
  <c r="Z93" i="57"/>
  <c r="AB38" i="57"/>
  <c r="T38" i="57"/>
  <c r="K38" i="57" s="1"/>
  <c r="Z75" i="57"/>
  <c r="Y110" i="57"/>
  <c r="G110" i="57" s="1"/>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S209" i="57"/>
  <c r="T197" i="57" s="1"/>
  <c r="S198" i="57"/>
  <c r="S199" i="57" s="1"/>
  <c r="J34" i="56"/>
  <c r="K34" i="56" s="1"/>
  <c r="I36" i="56"/>
  <c r="J29" i="56"/>
  <c r="K29" i="56" s="1"/>
  <c r="K28" i="56"/>
  <c r="J33" i="56"/>
  <c r="K33" i="56" s="1"/>
  <c r="J35" i="56"/>
  <c r="K35" i="56" s="1"/>
  <c r="J31" i="56"/>
  <c r="K31" i="56" s="1"/>
  <c r="J32" i="56"/>
  <c r="K32" i="56" s="1"/>
  <c r="J30" i="56"/>
  <c r="K30" i="56" s="1"/>
  <c r="R199" i="57"/>
  <c r="Q213" i="57"/>
  <c r="AD7" i="58"/>
  <c r="AD12" i="58" a="1"/>
  <c r="AD12" i="58" s="1"/>
  <c r="AD11" i="58" s="1"/>
  <c r="AD5" i="58"/>
  <c r="AD67" i="58"/>
  <c r="AD104" i="58" s="1"/>
  <c r="AD6" i="58"/>
  <c r="AD22" i="58"/>
  <c r="AD25" i="58" s="1"/>
  <c r="AE4" i="58"/>
  <c r="AC8" i="58"/>
  <c r="L18" i="56"/>
  <c r="M18" i="56"/>
  <c r="N18" i="56"/>
  <c r="R210" i="57"/>
  <c r="R211" i="57"/>
  <c r="R212" i="57"/>
  <c r="G20" i="56"/>
  <c r="F21" i="56"/>
  <c r="X19" i="56"/>
  <c r="V19" i="56"/>
  <c r="T19" i="56"/>
  <c r="AD19" i="56"/>
  <c r="I19" i="56"/>
  <c r="Z19" i="56"/>
  <c r="AC19" i="56"/>
  <c r="AB19" i="56"/>
  <c r="U19" i="56"/>
  <c r="M19" i="56" s="1"/>
  <c r="R19" i="56"/>
  <c r="P19" i="56"/>
  <c r="H36" i="56"/>
  <c r="S109" i="56"/>
  <c r="S107" i="56"/>
  <c r="S108" i="56"/>
  <c r="T106" i="56"/>
  <c r="T198" i="57"/>
  <c r="P226" i="57"/>
  <c r="R246" i="57"/>
  <c r="R244" i="57"/>
  <c r="Q224" i="57"/>
  <c r="R245" i="57"/>
  <c r="P254" i="57"/>
  <c r="Q227" i="57"/>
  <c r="Q225" i="57"/>
  <c r="Q223" i="57"/>
  <c r="R110" i="56"/>
  <c r="V138" i="57"/>
  <c r="Q247" i="57"/>
  <c r="T28" i="56" l="1"/>
  <c r="S28" i="56"/>
  <c r="Z28" i="56"/>
  <c r="AB28" i="56" s="1"/>
  <c r="AC28" i="56" s="1"/>
  <c r="AD28" i="56" s="1"/>
  <c r="AD63" i="56"/>
  <c r="AC63" i="56"/>
  <c r="K65" i="56"/>
  <c r="L65" i="56"/>
  <c r="V65" i="56"/>
  <c r="N65" i="56" s="1"/>
  <c r="U65" i="56"/>
  <c r="M65" i="56" s="1"/>
  <c r="V64" i="56"/>
  <c r="N64" i="56" s="1"/>
  <c r="U64" i="56"/>
  <c r="M64" i="56" s="1"/>
  <c r="L64" i="56"/>
  <c r="K64" i="56"/>
  <c r="Z32" i="56"/>
  <c r="S32" i="56"/>
  <c r="Z30" i="56"/>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K36" i="57"/>
  <c r="AD142" i="57"/>
  <c r="K142" i="57"/>
  <c r="AE38" i="57"/>
  <c r="AE37" i="57"/>
  <c r="L37" i="57"/>
  <c r="AD144" i="57"/>
  <c r="AD35" i="57"/>
  <c r="K35" i="57"/>
  <c r="I48" i="57"/>
  <c r="S48" i="57" s="1"/>
  <c r="AB82" i="57"/>
  <c r="AA97" i="57"/>
  <c r="AE134" i="57"/>
  <c r="AE132" i="57" s="1"/>
  <c r="AD132" i="57"/>
  <c r="AB35" i="57"/>
  <c r="T35" i="57"/>
  <c r="AB101" i="57"/>
  <c r="AA82" i="57"/>
  <c r="AB36" i="57"/>
  <c r="T36" i="57"/>
  <c r="V44" i="57"/>
  <c r="M44" i="57" s="1"/>
  <c r="AB86" i="57"/>
  <c r="AB142" i="57"/>
  <c r="T142" i="57"/>
  <c r="AA81" i="57"/>
  <c r="U38" i="57"/>
  <c r="L38" i="57" s="1"/>
  <c r="U143" i="57"/>
  <c r="L143" i="57" s="1"/>
  <c r="S77" i="57"/>
  <c r="J77" i="57" s="1"/>
  <c r="J80" i="57" s="1"/>
  <c r="AA93" i="57"/>
  <c r="T144" i="57"/>
  <c r="K144" i="57" s="1"/>
  <c r="AB144" i="57"/>
  <c r="U37" i="57"/>
  <c r="V133" i="57"/>
  <c r="M133" i="57" s="1"/>
  <c r="AA75" i="57"/>
  <c r="AA108" i="57"/>
  <c r="S93" i="57"/>
  <c r="J93" i="57" s="1"/>
  <c r="S107" i="57"/>
  <c r="S97" i="57"/>
  <c r="J97" i="57" s="1"/>
  <c r="S108" i="57"/>
  <c r="J108" i="57" s="1"/>
  <c r="V43" i="57"/>
  <c r="M43" i="57" s="1"/>
  <c r="S211" i="57"/>
  <c r="S210" i="57"/>
  <c r="S212" i="57"/>
  <c r="T209" i="57"/>
  <c r="U196" i="57" s="1"/>
  <c r="T196" i="57"/>
  <c r="T199" i="57" s="1"/>
  <c r="U67" i="57"/>
  <c r="T69" i="57"/>
  <c r="V30" i="57"/>
  <c r="T70" i="57"/>
  <c r="T26" i="57"/>
  <c r="S81" i="57"/>
  <c r="J81" i="57" s="1"/>
  <c r="S55" i="57"/>
  <c r="J55" i="57" s="1"/>
  <c r="T82" i="57"/>
  <c r="T25" i="57"/>
  <c r="K25" i="57" s="1"/>
  <c r="S75" i="57"/>
  <c r="J75" i="57" s="1"/>
  <c r="S54" i="57"/>
  <c r="J54" i="57" s="1"/>
  <c r="V42" i="57"/>
  <c r="M42" i="57" s="1"/>
  <c r="V31" i="57"/>
  <c r="M31" i="57" s="1"/>
  <c r="U27" i="57"/>
  <c r="U41" i="57"/>
  <c r="L41" i="57" s="1"/>
  <c r="T68" i="57"/>
  <c r="V64" i="57"/>
  <c r="M64" i="57" s="1"/>
  <c r="J36" i="56"/>
  <c r="K36" i="56"/>
  <c r="R213"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26" i="57"/>
  <c r="T34" i="56"/>
  <c r="T31" i="56"/>
  <c r="T32" i="56"/>
  <c r="AB33" i="56"/>
  <c r="AC33" i="56" s="1"/>
  <c r="AD33" i="56" s="1"/>
  <c r="T35" i="56"/>
  <c r="T107" i="56"/>
  <c r="T108" i="56"/>
  <c r="U106" i="56"/>
  <c r="T109" i="56"/>
  <c r="Q254" i="57"/>
  <c r="S245" i="57"/>
  <c r="S246" i="57"/>
  <c r="S244" i="57"/>
  <c r="R225" i="57"/>
  <c r="R227" i="57"/>
  <c r="R223" i="57"/>
  <c r="R224" i="57"/>
  <c r="AB35" i="56"/>
  <c r="AC35" i="56" s="1"/>
  <c r="AD35" i="56" s="1"/>
  <c r="R247" i="57"/>
  <c r="AB30" i="56"/>
  <c r="AC30" i="56" s="1"/>
  <c r="AD30" i="56" s="1"/>
  <c r="V28" i="56"/>
  <c r="U28" i="56"/>
  <c r="L28" i="56"/>
  <c r="AB32" i="56"/>
  <c r="AC32" i="56" s="1"/>
  <c r="AD32" i="56" s="1"/>
  <c r="T33" i="56"/>
  <c r="Z36" i="56" l="1"/>
  <c r="AA31" i="56"/>
  <c r="AA35" i="56"/>
  <c r="AA30" i="56"/>
  <c r="V134" i="57"/>
  <c r="M134" i="57" s="1"/>
  <c r="L134" i="57"/>
  <c r="M37" i="57"/>
  <c r="AA32" i="56"/>
  <c r="AB107" i="57"/>
  <c r="J107" i="57"/>
  <c r="AA33" i="56"/>
  <c r="S36" i="56"/>
  <c r="AA28" i="56"/>
  <c r="AA29" i="56"/>
  <c r="M38" i="57"/>
  <c r="AA34" i="56"/>
  <c r="AE144" i="57"/>
  <c r="AE35" i="57"/>
  <c r="AE142" i="57"/>
  <c r="AB48" i="57"/>
  <c r="AC48" i="57" s="1"/>
  <c r="AE36" i="57"/>
  <c r="L36" i="57"/>
  <c r="U142" i="57"/>
  <c r="L142" i="57" s="1"/>
  <c r="U35" i="57"/>
  <c r="L35" i="57" s="1"/>
  <c r="AB75" i="57"/>
  <c r="AB93" i="57"/>
  <c r="AB77" i="57"/>
  <c r="T77" i="57"/>
  <c r="U144" i="57"/>
  <c r="L144" i="57" s="1"/>
  <c r="AB81" i="57"/>
  <c r="V143" i="57"/>
  <c r="M143" i="57" s="1"/>
  <c r="U36" i="57"/>
  <c r="V38" i="57"/>
  <c r="AB108" i="57"/>
  <c r="V37" i="57"/>
  <c r="AB97" i="57"/>
  <c r="T211" i="57"/>
  <c r="U198" i="57"/>
  <c r="U199" i="57" s="1"/>
  <c r="S213" i="57"/>
  <c r="T212" i="57"/>
  <c r="U209" i="57"/>
  <c r="V196" i="57" s="1"/>
  <c r="T210" i="57"/>
  <c r="U70" i="57"/>
  <c r="U68" i="57"/>
  <c r="U25" i="57"/>
  <c r="L25" i="57" s="1"/>
  <c r="U69" i="57"/>
  <c r="V41" i="57"/>
  <c r="M41" i="57" s="1"/>
  <c r="U77" i="57"/>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F23" i="56"/>
  <c r="R226" i="57"/>
  <c r="S247" i="57"/>
  <c r="T36" i="56"/>
  <c r="V34" i="56"/>
  <c r="U34" i="56"/>
  <c r="L34" i="56"/>
  <c r="U30" i="56"/>
  <c r="V30" i="56"/>
  <c r="L30" i="56"/>
  <c r="V31" i="56"/>
  <c r="U31" i="56"/>
  <c r="L31" i="56"/>
  <c r="U109" i="56"/>
  <c r="U108" i="56"/>
  <c r="V106" i="56"/>
  <c r="U107" i="56"/>
  <c r="N28" i="56"/>
  <c r="T110" i="56"/>
  <c r="T246" i="57"/>
  <c r="T244" i="57"/>
  <c r="R254" i="57"/>
  <c r="S224" i="57"/>
  <c r="T245" i="57"/>
  <c r="S227" i="57"/>
  <c r="S223" i="57"/>
  <c r="S225" i="57"/>
  <c r="AB36" i="56"/>
  <c r="V32" i="56"/>
  <c r="U32" i="56"/>
  <c r="L32" i="56"/>
  <c r="V35" i="56"/>
  <c r="U35" i="56"/>
  <c r="L35" i="56"/>
  <c r="M28" i="56"/>
  <c r="V33" i="56"/>
  <c r="U33" i="56"/>
  <c r="L33" i="56"/>
  <c r="V29" i="56"/>
  <c r="U29" i="56"/>
  <c r="L29" i="56"/>
  <c r="AA36" i="56" l="1"/>
  <c r="M142" i="57"/>
  <c r="M144" i="57"/>
  <c r="J48" i="57"/>
  <c r="T48" i="57" s="1"/>
  <c r="K48" i="57" s="1"/>
  <c r="U48" i="57" s="1"/>
  <c r="L48" i="57" s="1"/>
  <c r="V48" i="57" s="1"/>
  <c r="M48" i="57" s="1"/>
  <c r="U211" i="57"/>
  <c r="U212" i="57"/>
  <c r="V36" i="57"/>
  <c r="M36" i="57" s="1"/>
  <c r="U82" i="57"/>
  <c r="V35" i="57"/>
  <c r="M35" i="57" s="1"/>
  <c r="V142" i="57"/>
  <c r="V144" i="57"/>
  <c r="T213" i="57"/>
  <c r="U210" i="57"/>
  <c r="U213" i="57" s="1"/>
  <c r="V209" i="57"/>
  <c r="W209" i="57" s="1"/>
  <c r="V197" i="57"/>
  <c r="V198" i="57"/>
  <c r="V199" i="57" s="1"/>
  <c r="V25" i="57"/>
  <c r="M25" i="57" s="1"/>
  <c r="V26" i="57"/>
  <c r="V68" i="57"/>
  <c r="V82"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45" i="57"/>
  <c r="U244" i="57"/>
  <c r="U246" i="57"/>
  <c r="T227" i="57"/>
  <c r="T223" i="57"/>
  <c r="T225" i="57"/>
  <c r="T224" i="57"/>
  <c r="S254" i="57"/>
  <c r="N35" i="56"/>
  <c r="M30" i="56"/>
  <c r="T247" i="57"/>
  <c r="M33" i="56"/>
  <c r="M31" i="56"/>
  <c r="M34" i="56"/>
  <c r="N32" i="56"/>
  <c r="V108" i="56"/>
  <c r="W106" i="56"/>
  <c r="V109" i="56"/>
  <c r="V107" i="56"/>
  <c r="M29" i="56"/>
  <c r="U36" i="56"/>
  <c r="N30" i="56"/>
  <c r="M35" i="56"/>
  <c r="V36" i="56"/>
  <c r="N29" i="56"/>
  <c r="N31" i="56"/>
  <c r="S226" i="57"/>
  <c r="W197" i="57" l="1"/>
  <c r="W196" i="57"/>
  <c r="V77" i="57"/>
  <c r="V210" i="57"/>
  <c r="V213" i="57" s="1"/>
  <c r="V211" i="57"/>
  <c r="V212"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J23" i="56" s="1"/>
  <c r="K23" i="56" s="1"/>
  <c r="T22" i="56"/>
  <c r="V110" i="56"/>
  <c r="X196" i="57"/>
  <c r="X197" i="57"/>
  <c r="AD36" i="56"/>
  <c r="U227" i="57"/>
  <c r="V246" i="57"/>
  <c r="T254" i="57"/>
  <c r="U224" i="57"/>
  <c r="U225" i="57"/>
  <c r="V244" i="57"/>
  <c r="V245" i="57"/>
  <c r="U223" i="57"/>
  <c r="W212" i="57"/>
  <c r="X209" i="57"/>
  <c r="X198" i="57"/>
  <c r="W210" i="57"/>
  <c r="W211" i="57"/>
  <c r="U247" i="57"/>
  <c r="N36" i="56"/>
  <c r="W108" i="56"/>
  <c r="X106" i="56"/>
  <c r="W109" i="56"/>
  <c r="W107" i="56"/>
  <c r="M36" i="56"/>
  <c r="T226" i="57"/>
  <c r="G25" i="56" l="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X25" i="56"/>
  <c r="Z25" i="56" s="1"/>
  <c r="AB25" i="56" s="1"/>
  <c r="AC25" i="56" s="1"/>
  <c r="AD25" i="56"/>
  <c r="H25" i="56"/>
  <c r="I25" i="56" s="1"/>
  <c r="J25" i="56" s="1"/>
  <c r="K25" i="56" s="1"/>
  <c r="V24" i="56"/>
  <c r="N24" i="56" s="1"/>
  <c r="H24" i="56"/>
  <c r="I24" i="56" s="1"/>
  <c r="J24" i="56" s="1"/>
  <c r="K24" i="56" s="1"/>
  <c r="AD24" i="56"/>
  <c r="X24" i="56"/>
  <c r="Z24" i="56" s="1"/>
  <c r="AB24" i="56" s="1"/>
  <c r="AC24" i="56" s="1"/>
  <c r="P24" i="56"/>
  <c r="R24" i="56" s="1"/>
  <c r="U226" i="57"/>
  <c r="V247" i="57"/>
  <c r="W213" i="57"/>
  <c r="Y196" i="57"/>
  <c r="Y197" i="57"/>
  <c r="Y209" i="57"/>
  <c r="X211" i="57"/>
  <c r="X210" i="57"/>
  <c r="X212" i="57"/>
  <c r="Y198" i="57"/>
  <c r="X109" i="56"/>
  <c r="X107" i="56"/>
  <c r="Y106" i="56"/>
  <c r="X108" i="56"/>
  <c r="W110" i="56"/>
  <c r="W244" i="57"/>
  <c r="U254" i="57"/>
  <c r="V223" i="57"/>
  <c r="W245" i="57"/>
  <c r="V225" i="57"/>
  <c r="W246" i="57"/>
  <c r="V227" i="57"/>
  <c r="V224" i="57"/>
  <c r="M22" i="56" l="1"/>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X213" i="57"/>
  <c r="Z197" i="57"/>
  <c r="Z196" i="57"/>
  <c r="W247" i="57"/>
  <c r="Z198" i="57"/>
  <c r="Y210" i="57"/>
  <c r="Y211" i="57"/>
  <c r="Y212" i="57"/>
  <c r="Z209" i="57"/>
  <c r="X246" i="57"/>
  <c r="V254" i="57"/>
  <c r="X245" i="57"/>
  <c r="W227" i="57"/>
  <c r="W224" i="57"/>
  <c r="X244" i="57"/>
  <c r="W225" i="57"/>
  <c r="W223" i="57"/>
  <c r="V226" i="57"/>
  <c r="Y107" i="56"/>
  <c r="Y108" i="56"/>
  <c r="Z106" i="56"/>
  <c r="Y109" i="56"/>
  <c r="Y199" i="57"/>
  <c r="AK25" i="58" l="1"/>
  <c r="AK12" i="58" a="1"/>
  <c r="AK12" i="58" s="1"/>
  <c r="AK11" i="58" s="1"/>
  <c r="AL4" i="58"/>
  <c r="AK67" i="58"/>
  <c r="AK104" i="58" s="1"/>
  <c r="AK6" i="58"/>
  <c r="AK22" i="58"/>
  <c r="AK7" i="58"/>
  <c r="AK5" i="58"/>
  <c r="AK8" i="58" s="1"/>
  <c r="AJ88" i="58"/>
  <c r="AJ76" i="58"/>
  <c r="AJ87" i="58"/>
  <c r="AJ77" i="58"/>
  <c r="U24" i="56"/>
  <c r="M24" i="56" s="1"/>
  <c r="L24" i="56"/>
  <c r="U25" i="56"/>
  <c r="M25" i="56" s="1"/>
  <c r="L25" i="56"/>
  <c r="W226" i="57"/>
  <c r="AA196" i="57"/>
  <c r="AA197" i="57"/>
  <c r="X247" i="57"/>
  <c r="Z211" i="57"/>
  <c r="Z212" i="57"/>
  <c r="Z210" i="57"/>
  <c r="AA209" i="57"/>
  <c r="AA198" i="57"/>
  <c r="Z199" i="57"/>
  <c r="Y110" i="56"/>
  <c r="Y244" i="57"/>
  <c r="W254" i="57"/>
  <c r="Y245" i="57"/>
  <c r="Y246" i="57"/>
  <c r="X225" i="57"/>
  <c r="X224" i="57"/>
  <c r="X223" i="57"/>
  <c r="X227" i="57"/>
  <c r="Y213" i="57"/>
  <c r="Z108" i="56"/>
  <c r="Z107" i="56"/>
  <c r="AA106" i="56"/>
  <c r="Z109" i="56"/>
  <c r="AL25" i="58" l="1"/>
  <c r="AL67" i="58"/>
  <c r="AL104" i="58" s="1"/>
  <c r="AL22" i="58"/>
  <c r="AL6" i="58"/>
  <c r="AL12" i="58" a="1"/>
  <c r="AL12" i="58" s="1"/>
  <c r="AL11" i="58" s="1"/>
  <c r="AL5" i="58"/>
  <c r="AM4" i="58"/>
  <c r="AL7" i="58"/>
  <c r="AK87" i="58"/>
  <c r="AK88" i="58"/>
  <c r="AK76" i="58"/>
  <c r="AK77" i="58"/>
  <c r="Z110" i="56"/>
  <c r="X226" i="57"/>
  <c r="Z213" i="57"/>
  <c r="AB196" i="57"/>
  <c r="AB197" i="57"/>
  <c r="AA199" i="57"/>
  <c r="AA210" i="57"/>
  <c r="AA212" i="57"/>
  <c r="AB209" i="57"/>
  <c r="AB198" i="57"/>
  <c r="AA211" i="57"/>
  <c r="Y247" i="57"/>
  <c r="Z246" i="57"/>
  <c r="Z245" i="57"/>
  <c r="X254" i="57"/>
  <c r="Y223" i="57"/>
  <c r="Y225" i="57"/>
  <c r="Y224" i="57"/>
  <c r="Y227" i="57"/>
  <c r="Z244" i="57"/>
  <c r="AA107" i="56"/>
  <c r="AA108" i="56"/>
  <c r="AB106" i="56"/>
  <c r="AA109" i="56"/>
  <c r="AB199" i="57" l="1"/>
  <c r="AM25" i="58"/>
  <c r="AM67" i="58"/>
  <c r="AM104" i="58" s="1"/>
  <c r="AM12" i="58" a="1"/>
  <c r="AM12" i="58" s="1"/>
  <c r="AM11" i="58" s="1"/>
  <c r="AM6" i="58"/>
  <c r="AM5" i="58"/>
  <c r="AM8" i="58" s="1"/>
  <c r="AN4" i="58"/>
  <c r="AM22" i="58"/>
  <c r="AM7" i="58"/>
  <c r="AL8" i="58"/>
  <c r="AA213" i="57"/>
  <c r="AC197" i="57"/>
  <c r="AC196" i="57"/>
  <c r="Y226" i="57"/>
  <c r="AB212" i="57"/>
  <c r="AB211" i="57"/>
  <c r="AC209" i="57"/>
  <c r="AB210" i="57"/>
  <c r="AC198" i="57"/>
  <c r="AB109" i="56"/>
  <c r="AC106" i="56"/>
  <c r="AB107" i="56"/>
  <c r="AB108" i="56"/>
  <c r="AA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C199" i="57"/>
  <c r="AB213" i="57"/>
  <c r="AD197" i="57"/>
  <c r="AD196" i="57"/>
  <c r="Z226" i="57"/>
  <c r="AB110" i="56"/>
  <c r="AC109" i="56"/>
  <c r="AC108" i="56"/>
  <c r="AD106" i="56"/>
  <c r="AC107" i="56"/>
  <c r="AC211" i="57"/>
  <c r="AD198" i="57"/>
  <c r="AC212" i="57"/>
  <c r="AD209" i="57"/>
  <c r="AC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E196" i="57"/>
  <c r="AE197" i="57"/>
  <c r="AB247" i="57"/>
  <c r="AC213" i="57"/>
  <c r="AD199" i="57"/>
  <c r="AC110" i="56"/>
  <c r="AA254" i="57"/>
  <c r="AC245" i="57"/>
  <c r="AC246" i="57"/>
  <c r="AB225" i="57"/>
  <c r="AB223" i="57"/>
  <c r="AB227" i="57"/>
  <c r="AB224" i="57"/>
  <c r="AC244" i="57"/>
  <c r="AD210" i="57"/>
  <c r="AD212" i="57"/>
  <c r="AE209" i="57"/>
  <c r="AE198" i="57"/>
  <c r="AD211" i="57"/>
  <c r="AA226"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26" i="57"/>
  <c r="AF196" i="57"/>
  <c r="AF197" i="57"/>
  <c r="AD213" i="57"/>
  <c r="AE210" i="57"/>
  <c r="AE212" i="57"/>
  <c r="AF209" i="57"/>
  <c r="AF198" i="57"/>
  <c r="AE211" i="57"/>
  <c r="AC247" i="57"/>
  <c r="AD246" i="57"/>
  <c r="AD244" i="57"/>
  <c r="AD245" i="57"/>
  <c r="AC227" i="57"/>
  <c r="AC224" i="57"/>
  <c r="AC223" i="57"/>
  <c r="AB254" i="57"/>
  <c r="AC225"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G196" i="57"/>
  <c r="AG197" i="57"/>
  <c r="AD247" i="57"/>
  <c r="AC254" i="57"/>
  <c r="AE245" i="57"/>
  <c r="AE246" i="57"/>
  <c r="AE244" i="57"/>
  <c r="AD225" i="57"/>
  <c r="AD223" i="57"/>
  <c r="AD227" i="57"/>
  <c r="AD224" i="57"/>
  <c r="AF107" i="56"/>
  <c r="AG106" i="56"/>
  <c r="AF109" i="56"/>
  <c r="AF108" i="56"/>
  <c r="AF212" i="57"/>
  <c r="AG209" i="57"/>
  <c r="AF211" i="57"/>
  <c r="AG198" i="57"/>
  <c r="AF210" i="57"/>
  <c r="AE110" i="56"/>
  <c r="AF199" i="57"/>
  <c r="AE213" i="57"/>
  <c r="AR7" i="58" l="1"/>
  <c r="AR67" i="58"/>
  <c r="AR104" i="58" s="1"/>
  <c r="AR22" i="58"/>
  <c r="AR25" i="58" s="1"/>
  <c r="AR5" i="58"/>
  <c r="AR12" i="58" a="1"/>
  <c r="AR12" i="58" s="1"/>
  <c r="AR11" i="58" s="1"/>
  <c r="AS4" i="58"/>
  <c r="AR6" i="58"/>
  <c r="AQ8" i="58"/>
  <c r="AE247" i="57"/>
  <c r="AH197" i="57"/>
  <c r="AH196" i="57"/>
  <c r="AF246" i="57"/>
  <c r="AF244" i="57"/>
  <c r="AE227" i="57"/>
  <c r="AE224" i="57"/>
  <c r="AD254" i="57"/>
  <c r="AF245" i="57"/>
  <c r="AE225" i="57"/>
  <c r="AE223" i="57"/>
  <c r="AD226" i="57"/>
  <c r="AG109" i="56"/>
  <c r="AH106" i="56"/>
  <c r="AG108" i="56"/>
  <c r="AG107" i="56"/>
  <c r="AF110" i="56"/>
  <c r="AF213" i="57"/>
  <c r="AG211" i="57"/>
  <c r="AH198" i="57"/>
  <c r="AG210" i="57"/>
  <c r="AH209" i="57"/>
  <c r="AG212" i="57"/>
  <c r="AG199" i="57"/>
  <c r="AH199" i="57" l="1"/>
  <c r="AS67" i="58"/>
  <c r="AS104" i="58" s="1"/>
  <c r="AS5" i="58"/>
  <c r="AS8" i="58" s="1"/>
  <c r="AS12" i="58" a="1"/>
  <c r="AS12" i="58" s="1"/>
  <c r="AS11" i="58" s="1"/>
  <c r="AS6" i="58"/>
  <c r="AS7" i="58"/>
  <c r="AS22" i="58"/>
  <c r="AS25" i="58" s="1"/>
  <c r="AT4" i="58"/>
  <c r="AR8" i="58"/>
  <c r="AQ77" i="58"/>
  <c r="AQ88" i="58"/>
  <c r="AQ87" i="58"/>
  <c r="AQ76" i="58"/>
  <c r="AG213" i="57"/>
  <c r="AE226" i="57"/>
  <c r="AI196" i="57"/>
  <c r="AI197" i="57"/>
  <c r="AH212" i="57"/>
  <c r="AH211" i="57"/>
  <c r="AH210" i="57"/>
  <c r="AI209" i="57"/>
  <c r="AI198" i="57"/>
  <c r="AF247" i="57"/>
  <c r="AG110" i="56"/>
  <c r="AG245" i="57"/>
  <c r="AG244" i="57"/>
  <c r="AF223" i="57"/>
  <c r="AE254" i="57"/>
  <c r="AG246" i="57"/>
  <c r="AF227" i="57"/>
  <c r="AF224" i="57"/>
  <c r="AF225"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H213" i="57"/>
  <c r="AJ196" i="57"/>
  <c r="AJ197" i="57"/>
  <c r="AG227" i="57"/>
  <c r="AH246" i="57"/>
  <c r="AF254" i="57"/>
  <c r="AH245" i="57"/>
  <c r="AH244" i="57"/>
  <c r="AG224" i="57"/>
  <c r="AG225" i="57"/>
  <c r="AG223" i="57"/>
  <c r="AF226" i="57"/>
  <c r="AJ209" i="57"/>
  <c r="AI211" i="57"/>
  <c r="AJ198" i="57"/>
  <c r="AI210" i="57"/>
  <c r="AI212" i="57"/>
  <c r="AG247" i="57"/>
  <c r="AI199" i="57"/>
  <c r="AI107" i="56"/>
  <c r="AI108" i="56"/>
  <c r="AJ106" i="56"/>
  <c r="AI109" i="56"/>
  <c r="AU12" i="58" l="1" a="1"/>
  <c r="AU12" i="58" s="1"/>
  <c r="AU11" i="58" s="1"/>
  <c r="AU5" i="58"/>
  <c r="AU8" i="58" s="1"/>
  <c r="AU7" i="58"/>
  <c r="AV4" i="58"/>
  <c r="AU67" i="58"/>
  <c r="AU104" i="58" s="1"/>
  <c r="AU22" i="58"/>
  <c r="AU25" i="58" s="1"/>
  <c r="AU6" i="58"/>
  <c r="AT8" i="58"/>
  <c r="AI110" i="56"/>
  <c r="AJ199" i="57"/>
  <c r="AG226" i="57"/>
  <c r="AK196" i="57"/>
  <c r="AK197" i="57"/>
  <c r="AK209" i="57"/>
  <c r="AJ212" i="57"/>
  <c r="AJ210" i="57"/>
  <c r="AJ211" i="57"/>
  <c r="AK198" i="57"/>
  <c r="AJ109" i="56"/>
  <c r="AJ108" i="56"/>
  <c r="AK106" i="56"/>
  <c r="AJ107" i="56"/>
  <c r="AH247" i="57"/>
  <c r="AI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J213" i="57"/>
  <c r="AL197" i="57"/>
  <c r="AL196" i="57"/>
  <c r="AI227" i="57"/>
  <c r="AJ246" i="57"/>
  <c r="AH254" i="57"/>
  <c r="AJ245" i="57"/>
  <c r="AI224" i="57"/>
  <c r="AI225" i="57"/>
  <c r="AJ244" i="57"/>
  <c r="AI223" i="57"/>
  <c r="AH226" i="57"/>
  <c r="AJ110" i="56"/>
  <c r="AK107" i="56"/>
  <c r="AK109" i="56"/>
  <c r="AL106" i="56"/>
  <c r="AK108" i="56"/>
  <c r="AK199" i="57"/>
  <c r="AI247" i="57"/>
  <c r="AK212" i="57"/>
  <c r="AK211" i="57"/>
  <c r="AL198" i="57"/>
  <c r="AK210" i="57"/>
  <c r="AL209" i="57"/>
  <c r="AV8" i="58" l="1"/>
  <c r="AR10" i="58"/>
  <c r="AK110" i="56"/>
  <c r="AK213" i="57"/>
  <c r="AM196" i="57"/>
  <c r="AM197" i="57"/>
  <c r="AL211" i="57"/>
  <c r="AM198" i="57"/>
  <c r="AM209" i="57"/>
  <c r="AL210" i="57"/>
  <c r="AL212" i="57"/>
  <c r="AL199" i="57"/>
  <c r="AL108" i="56"/>
  <c r="AL109" i="56"/>
  <c r="AL107" i="56"/>
  <c r="AM106" i="56"/>
  <c r="AK244" i="57"/>
  <c r="AI254" i="57"/>
  <c r="AK245" i="57"/>
  <c r="AJ225" i="57"/>
  <c r="AK246" i="57"/>
  <c r="AJ224" i="57"/>
  <c r="AJ227" i="57"/>
  <c r="AJ223" i="57"/>
  <c r="AI226" i="57"/>
  <c r="AJ247" i="57"/>
  <c r="AV88" i="58" l="1"/>
  <c r="AV87" i="58"/>
  <c r="AV76" i="58"/>
  <c r="AV77" i="58"/>
  <c r="AS10" i="58"/>
  <c r="AM199" i="57"/>
  <c r="AN197" i="57"/>
  <c r="AN196" i="57"/>
  <c r="AK247" i="57"/>
  <c r="AM107" i="56"/>
  <c r="AM108" i="56"/>
  <c r="AN106" i="56"/>
  <c r="AM109" i="56"/>
  <c r="AL110" i="56"/>
  <c r="AJ226" i="57"/>
  <c r="AL246" i="57"/>
  <c r="AL245" i="57"/>
  <c r="AK227" i="57"/>
  <c r="AJ254" i="57"/>
  <c r="AK223" i="57"/>
  <c r="AL244" i="57"/>
  <c r="AK224" i="57"/>
  <c r="AK225" i="57"/>
  <c r="AL213" i="57"/>
  <c r="AM210" i="57"/>
  <c r="AN209" i="57"/>
  <c r="AM212" i="57"/>
  <c r="AN198" i="57"/>
  <c r="AM211" i="57"/>
  <c r="AT10" i="58" l="1"/>
  <c r="AN199" i="57"/>
  <c r="AM110" i="56"/>
  <c r="AO197" i="57"/>
  <c r="AO196" i="57"/>
  <c r="AK226" i="57"/>
  <c r="AN212" i="57"/>
  <c r="AN211" i="57"/>
  <c r="AN210" i="57"/>
  <c r="AO198" i="57"/>
  <c r="AN108" i="56"/>
  <c r="AO106" i="56"/>
  <c r="AN109" i="56"/>
  <c r="AN107" i="56"/>
  <c r="AL247" i="57"/>
  <c r="AM213" i="57"/>
  <c r="AM244" i="57"/>
  <c r="AK254" i="57"/>
  <c r="AM245" i="57"/>
  <c r="AL225" i="57"/>
  <c r="AM246" i="57"/>
  <c r="AL223" i="57"/>
  <c r="AL224" i="57"/>
  <c r="AL227" i="57"/>
  <c r="AU10" i="58" l="1"/>
  <c r="AO199" i="57"/>
  <c r="AN213" i="57"/>
  <c r="AM247" i="57"/>
  <c r="AN110" i="56"/>
  <c r="AL254" i="57"/>
  <c r="AM223" i="57"/>
  <c r="AM224" i="57"/>
  <c r="AN244" i="57"/>
  <c r="AM225" i="57"/>
  <c r="AM227" i="57"/>
  <c r="AN246" i="57"/>
  <c r="AN245" i="57"/>
  <c r="AO109" i="56"/>
  <c r="AO108" i="56"/>
  <c r="AP106" i="56"/>
  <c r="AO107" i="56"/>
  <c r="AL226" i="57"/>
  <c r="AO110" i="56" l="1"/>
  <c r="AM226" i="57"/>
  <c r="AP107" i="56"/>
  <c r="AQ106" i="56"/>
  <c r="AP108" i="56"/>
  <c r="AP109" i="56"/>
  <c r="AM254" i="57"/>
  <c r="AO245" i="57"/>
  <c r="AO246" i="57"/>
  <c r="AN225" i="57"/>
  <c r="AN223" i="57"/>
  <c r="AN224" i="57"/>
  <c r="AO244" i="57"/>
  <c r="AN227" i="57"/>
  <c r="AN247" i="57"/>
  <c r="AP110" i="56" l="1"/>
  <c r="AO247" i="57"/>
  <c r="AN226" i="57"/>
  <c r="AP246" i="57"/>
  <c r="AP244" i="57"/>
  <c r="AO224" i="57"/>
  <c r="AO227" i="57"/>
  <c r="AP245" i="57"/>
  <c r="AO223" i="57"/>
  <c r="AN254" i="57"/>
  <c r="AO225" i="57"/>
  <c r="AQ108" i="56"/>
  <c r="AR106" i="56"/>
  <c r="AQ109" i="56"/>
  <c r="AQ107" i="56"/>
  <c r="AQ110" i="56" l="1"/>
  <c r="AP247" i="57"/>
  <c r="AO226" i="57"/>
  <c r="AR107" i="56"/>
  <c r="AR108" i="56"/>
  <c r="AR109" i="56"/>
  <c r="AS106" i="56"/>
  <c r="AO254" i="57"/>
  <c r="AQ245" i="57"/>
  <c r="AQ246" i="57"/>
  <c r="AQ244" i="57"/>
  <c r="AP225" i="57"/>
  <c r="AP223" i="57"/>
  <c r="AP227" i="57"/>
  <c r="AP224" i="57"/>
  <c r="AR110" i="56" l="1"/>
  <c r="AP226" i="57"/>
  <c r="AQ247" i="57"/>
  <c r="AS109" i="56"/>
  <c r="AT106" i="56"/>
  <c r="AS107" i="56"/>
  <c r="AS108" i="56"/>
  <c r="AR246" i="57"/>
  <c r="AR244" i="57"/>
  <c r="AP254" i="57"/>
  <c r="AQ224" i="57"/>
  <c r="AQ227" i="57"/>
  <c r="AR245" i="57"/>
  <c r="AQ223" i="57"/>
  <c r="AQ225" i="57"/>
  <c r="AQ226" i="57" l="1"/>
  <c r="AR223" i="57"/>
  <c r="AQ254" i="57"/>
  <c r="AR227" i="57"/>
  <c r="AR225" i="57"/>
  <c r="AR224" i="57"/>
  <c r="AR247" i="57"/>
  <c r="AS110" i="56"/>
  <c r="AT108" i="56"/>
  <c r="AU106" i="56"/>
  <c r="AT109" i="56"/>
  <c r="AT107" i="56"/>
  <c r="AT110" i="56" l="1"/>
  <c r="AU109" i="56"/>
  <c r="AU107" i="56"/>
  <c r="AU108" i="56"/>
  <c r="AV106" i="56"/>
  <c r="AS227" i="57"/>
  <c r="AR254" i="57"/>
  <c r="AS224" i="57"/>
  <c r="AS225" i="57"/>
  <c r="AS223" i="57"/>
  <c r="AS245" i="57"/>
  <c r="AS244" i="57"/>
  <c r="AS246" i="57"/>
  <c r="AR226" i="57"/>
  <c r="AS226" i="57" l="1"/>
  <c r="AT246" i="57"/>
  <c r="AS254" i="57"/>
  <c r="AT245" i="57"/>
  <c r="AT244" i="57"/>
  <c r="AS247" i="57"/>
  <c r="AT223" i="57"/>
  <c r="AT227" i="57"/>
  <c r="AT225" i="57"/>
  <c r="AT224" i="57"/>
  <c r="AV109" i="56"/>
  <c r="AW106" i="56"/>
  <c r="AV107" i="56"/>
  <c r="AV108" i="56"/>
  <c r="AU110" i="56"/>
  <c r="AT247" i="57" l="1"/>
  <c r="AU244" i="57"/>
  <c r="AT254" i="57"/>
  <c r="AU245" i="57"/>
  <c r="AU246" i="57"/>
  <c r="AV110" i="56"/>
  <c r="AW107" i="56"/>
  <c r="AX106" i="56"/>
  <c r="AW109" i="56"/>
  <c r="AW108" i="56"/>
  <c r="AU227" i="57"/>
  <c r="AU224" i="57"/>
  <c r="AU225" i="57"/>
  <c r="AU223" i="57"/>
  <c r="AT226" i="57"/>
  <c r="AU226" i="57" l="1"/>
  <c r="AV246" i="57"/>
  <c r="AU254" i="57"/>
  <c r="AV245" i="57"/>
  <c r="AV244" i="57"/>
  <c r="AU247" i="57"/>
  <c r="AV225" i="57"/>
  <c r="AV227" i="57"/>
  <c r="AV224" i="57"/>
  <c r="AV223" i="57"/>
  <c r="AX108" i="56"/>
  <c r="AX107" i="56"/>
  <c r="AX109" i="56"/>
  <c r="AY106" i="56"/>
  <c r="AW110" i="56"/>
  <c r="AV247" i="57" l="1"/>
  <c r="AW223" i="57"/>
  <c r="AW224" i="57"/>
  <c r="AW225" i="57"/>
  <c r="AW244" i="57"/>
  <c r="AW245" i="57"/>
  <c r="AV254" i="57"/>
  <c r="AW246" i="57"/>
  <c r="AY107" i="56"/>
  <c r="AY108" i="56"/>
  <c r="AY109" i="56"/>
  <c r="AX110" i="56"/>
  <c r="AV226" i="57"/>
  <c r="AW226" i="57" l="1"/>
  <c r="AW247" i="57"/>
  <c r="AY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I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E52" i="52" s="1"/>
  <c r="D18" i="52"/>
  <c r="S17" i="52"/>
  <c r="R17" i="52"/>
  <c r="Q17" i="52"/>
  <c r="P17" i="52"/>
  <c r="P51" i="52" s="1"/>
  <c r="O17" i="52"/>
  <c r="N17" i="52"/>
  <c r="M17" i="52"/>
  <c r="M51" i="52" s="1"/>
  <c r="L17" i="52"/>
  <c r="L51" i="52" s="1"/>
  <c r="K17" i="52"/>
  <c r="J17" i="52"/>
  <c r="I17" i="52"/>
  <c r="I51" i="52" s="1"/>
  <c r="H17" i="52"/>
  <c r="G17" i="52"/>
  <c r="F17" i="52"/>
  <c r="E17" i="52"/>
  <c r="D17" i="52"/>
  <c r="D51" i="52" s="1"/>
  <c r="S16" i="52"/>
  <c r="R16" i="52"/>
  <c r="Q16" i="52"/>
  <c r="Q50" i="52" s="1"/>
  <c r="P16" i="52"/>
  <c r="O16" i="52"/>
  <c r="N16" i="52"/>
  <c r="M16" i="52"/>
  <c r="M50" i="52" s="1"/>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I48" i="52" s="1"/>
  <c r="H14" i="52"/>
  <c r="G14" i="52"/>
  <c r="F14" i="52"/>
  <c r="E14" i="52"/>
  <c r="D14" i="52"/>
  <c r="D48" i="52" s="1"/>
  <c r="S13" i="52"/>
  <c r="R13" i="52"/>
  <c r="Q13" i="52"/>
  <c r="Q47" i="52" s="1"/>
  <c r="P13" i="52"/>
  <c r="P47" i="52" s="1"/>
  <c r="O13" i="52"/>
  <c r="N13" i="52"/>
  <c r="M13" i="52"/>
  <c r="M47" i="52" s="1"/>
  <c r="L13" i="52"/>
  <c r="K13" i="52"/>
  <c r="J13" i="52"/>
  <c r="I13" i="52"/>
  <c r="H13" i="52"/>
  <c r="H47" i="52" s="1"/>
  <c r="G13" i="52"/>
  <c r="F13" i="52"/>
  <c r="E13" i="52"/>
  <c r="E47" i="52" s="1"/>
  <c r="D13" i="52"/>
  <c r="D47" i="52" s="1"/>
  <c r="S12" i="52"/>
  <c r="R12" i="52"/>
  <c r="Q12" i="52"/>
  <c r="Q46" i="52" s="1"/>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I45" i="52" s="1"/>
  <c r="H11" i="52"/>
  <c r="G11" i="52"/>
  <c r="F11" i="52"/>
  <c r="E11" i="52"/>
  <c r="D11" i="52"/>
  <c r="D45" i="52" s="1"/>
  <c r="S10" i="52"/>
  <c r="R10" i="52"/>
  <c r="Q10" i="52"/>
  <c r="Q44" i="52" s="1"/>
  <c r="P10" i="52"/>
  <c r="P44" i="52" s="1"/>
  <c r="O10" i="52"/>
  <c r="N10" i="52"/>
  <c r="M10" i="52"/>
  <c r="M44" i="52" s="1"/>
  <c r="L10" i="52"/>
  <c r="K10" i="52"/>
  <c r="J10" i="52"/>
  <c r="I10" i="52"/>
  <c r="H10" i="52"/>
  <c r="H44" i="52" s="1"/>
  <c r="G10" i="52"/>
  <c r="F10" i="52"/>
  <c r="E10" i="52"/>
  <c r="E44" i="52" s="1"/>
  <c r="D10" i="52"/>
  <c r="D44" i="52" s="1"/>
  <c r="S9" i="52"/>
  <c r="R9" i="52"/>
  <c r="Q9" i="52"/>
  <c r="Q43" i="52" s="1"/>
  <c r="P9" i="52"/>
  <c r="O9" i="52"/>
  <c r="N9" i="52"/>
  <c r="M9" i="52"/>
  <c r="L9" i="52"/>
  <c r="L43" i="52" s="1"/>
  <c r="K9" i="52"/>
  <c r="J9" i="52"/>
  <c r="I9" i="52"/>
  <c r="I43" i="52" s="1"/>
  <c r="H9" i="52"/>
  <c r="H43" i="52" s="1"/>
  <c r="G9" i="52"/>
  <c r="F9" i="52"/>
  <c r="E9" i="52"/>
  <c r="E43" i="52" s="1"/>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Q40" i="52" s="1"/>
  <c r="P6" i="52"/>
  <c r="O6" i="52"/>
  <c r="N6" i="52"/>
  <c r="M6" i="52"/>
  <c r="L6" i="52"/>
  <c r="L40" i="52" s="1"/>
  <c r="K6" i="52"/>
  <c r="K40" i="52" s="1"/>
  <c r="J6" i="52"/>
  <c r="I6" i="52"/>
  <c r="I40" i="52" s="1"/>
  <c r="H6" i="52"/>
  <c r="H40" i="52" s="1"/>
  <c r="G6" i="52"/>
  <c r="F6" i="52"/>
  <c r="E6" i="52"/>
  <c r="E40" i="52" s="1"/>
  <c r="D6" i="52"/>
  <c r="S5" i="52"/>
  <c r="R5" i="52"/>
  <c r="Q5" i="52"/>
  <c r="P5" i="52"/>
  <c r="P39" i="52" s="1"/>
  <c r="O5" i="52"/>
  <c r="O39" i="52" s="1"/>
  <c r="N5" i="52"/>
  <c r="M5" i="52"/>
  <c r="M39" i="52" s="1"/>
  <c r="L5" i="52"/>
  <c r="L39" i="52" s="1"/>
  <c r="K5" i="52"/>
  <c r="J5" i="52"/>
  <c r="I5" i="52"/>
  <c r="I39" i="52" s="1"/>
  <c r="H5" i="52"/>
  <c r="G5" i="52"/>
  <c r="F5" i="52"/>
  <c r="E5" i="52"/>
  <c r="D5" i="52"/>
  <c r="D39" i="52" s="1"/>
  <c r="S4" i="52"/>
  <c r="R4" i="52"/>
  <c r="Q4" i="52"/>
  <c r="Q38" i="52" s="1"/>
  <c r="P4" i="52"/>
  <c r="P38" i="52" s="1"/>
  <c r="O4" i="52"/>
  <c r="N4" i="52"/>
  <c r="M4" i="52"/>
  <c r="M38" i="52" s="1"/>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E37" i="52" s="1"/>
  <c r="D3" i="52"/>
  <c r="S2" i="52"/>
  <c r="R2" i="52"/>
  <c r="Q2" i="52"/>
  <c r="P2" i="52"/>
  <c r="P36" i="52" s="1"/>
  <c r="O2" i="52"/>
  <c r="N2" i="52"/>
  <c r="M2" i="52"/>
  <c r="M36" i="52" s="1"/>
  <c r="L2" i="52"/>
  <c r="L36" i="52" s="1"/>
  <c r="K2" i="52"/>
  <c r="J2" i="52"/>
  <c r="I2" i="52"/>
  <c r="I36" i="52" s="1"/>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K20" i="57" s="1"/>
  <c r="I44" i="32"/>
  <c r="M20" i="57" s="1"/>
  <c r="H44" i="32"/>
  <c r="L20" i="57" s="1"/>
  <c r="F44" i="32"/>
  <c r="I20" i="57" s="1"/>
  <c r="E44" i="32"/>
  <c r="G43" i="32"/>
  <c r="K19" i="57" s="1"/>
  <c r="H43" i="32"/>
  <c r="L19" i="57" s="1"/>
  <c r="I43" i="32"/>
  <c r="M19" i="57" s="1"/>
  <c r="AM6" i="32"/>
  <c r="AM7" i="32" s="1"/>
  <c r="AG6" i="32"/>
  <c r="AO7" i="32"/>
  <c r="AA6" i="32"/>
  <c r="AA7" i="32" s="1"/>
  <c r="AH6" i="32"/>
  <c r="AH7" i="32" s="1"/>
  <c r="Z6" i="32"/>
  <c r="Z7" i="32" s="1"/>
  <c r="K6" i="32"/>
  <c r="AI6" i="32"/>
  <c r="AI7" i="32" s="1"/>
  <c r="M94" i="32"/>
  <c r="L73" i="32"/>
  <c r="L80" i="32" s="1"/>
  <c r="L45" i="52"/>
  <c r="O38" i="52"/>
  <c r="Q49" i="52"/>
  <c r="I42" i="52"/>
  <c r="E49" i="52"/>
  <c r="Q52" i="52"/>
  <c r="Q37" i="52"/>
  <c r="M41" i="52"/>
  <c r="H48" i="32"/>
  <c r="E108" i="47"/>
  <c r="G48" i="32"/>
  <c r="K21" i="32"/>
  <c r="D38" i="52"/>
  <c r="H49" i="52"/>
  <c r="P50" i="52"/>
  <c r="E46" i="52"/>
  <c r="E33" i="29"/>
  <c r="J33" i="29" s="1"/>
  <c r="M33" i="29" s="1"/>
  <c r="N33" i="29" s="1"/>
  <c r="O33" i="29" s="1"/>
  <c r="P33" i="29" s="1"/>
  <c r="Q33" i="29" s="1"/>
  <c r="R33" i="29" s="1"/>
  <c r="J36" i="29"/>
  <c r="L44" i="52" l="1"/>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H53" i="52" s="1"/>
  <c r="D43" i="52"/>
  <c r="P43" i="52"/>
  <c r="H45" i="52"/>
  <c r="D46" i="52"/>
  <c r="P46" i="52"/>
  <c r="L47" i="52"/>
  <c r="H48" i="52"/>
  <c r="D49" i="52"/>
  <c r="L50" i="52"/>
  <c r="H51" i="52"/>
  <c r="D52" i="52"/>
  <c r="P52" i="52"/>
  <c r="P53" i="52" s="1"/>
  <c r="J19" i="57"/>
  <c r="J20" i="57"/>
  <c r="G106" i="47"/>
  <c r="G104" i="47"/>
  <c r="J51" i="29"/>
  <c r="G108" i="47" s="1"/>
  <c r="M36" i="29"/>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35" i="56"/>
  <c r="B16" i="56"/>
  <c r="D142" i="56"/>
  <c r="D121" i="56"/>
  <c r="M121" i="56" s="1"/>
  <c r="B23" i="56"/>
  <c r="D144" i="56"/>
  <c r="D123" i="56"/>
  <c r="M123" i="56" s="1"/>
  <c r="B25" i="56"/>
  <c r="C29" i="56"/>
  <c r="C52" i="56" s="1"/>
  <c r="C95" i="56"/>
  <c r="C79" i="56" s="1"/>
  <c r="B21" i="56"/>
  <c r="D140" i="56"/>
  <c r="D119" i="56"/>
  <c r="M119" i="56" s="1"/>
  <c r="C102" i="56"/>
  <c r="C86" i="56" s="1"/>
  <c r="C36" i="56"/>
  <c r="C59" i="56" s="1"/>
  <c r="D133" i="56"/>
  <c r="D112" i="56"/>
  <c r="M112" i="56" s="1"/>
  <c r="B14" i="56"/>
  <c r="B39" i="56" s="1"/>
  <c r="B46" i="56" s="1"/>
  <c r="C100" i="56"/>
  <c r="C84" i="56" s="1"/>
  <c r="C34" i="56"/>
  <c r="C57" i="56" s="1"/>
  <c r="C39" i="56"/>
  <c r="C46" i="56" s="1"/>
  <c r="C93" i="56"/>
  <c r="C77" i="56" s="1"/>
  <c r="B19" i="56"/>
  <c r="D138" i="56"/>
  <c r="D117" i="56"/>
  <c r="M117" i="56" s="1"/>
  <c r="C98" i="56"/>
  <c r="C82" i="56" s="1"/>
  <c r="C32" i="56"/>
  <c r="C55" i="56" s="1"/>
  <c r="B17" i="56"/>
  <c r="D136" i="56"/>
  <c r="D115" i="56"/>
  <c r="M115" i="56" s="1"/>
  <c r="C96" i="56"/>
  <c r="C80" i="56" s="1"/>
  <c r="C30" i="56"/>
  <c r="C53" i="56" s="1"/>
  <c r="D141" i="56"/>
  <c r="D120" i="56"/>
  <c r="M120" i="56" s="1"/>
  <c r="B22" i="56"/>
  <c r="D143" i="56"/>
  <c r="D122" i="56"/>
  <c r="M122" i="56" s="1"/>
  <c r="B24" i="56"/>
  <c r="B40" i="56" s="1"/>
  <c r="B47" i="56" s="1"/>
  <c r="D134" i="56"/>
  <c r="D113" i="56"/>
  <c r="M113" i="56" s="1"/>
  <c r="B15" i="56"/>
  <c r="C101" i="56"/>
  <c r="C85" i="56" s="1"/>
  <c r="C35" i="56"/>
  <c r="C58" i="56" s="1"/>
  <c r="C103" i="56"/>
  <c r="C87" i="56" s="1"/>
  <c r="C40" i="56"/>
  <c r="C47" i="56" s="1"/>
  <c r="B18" i="56"/>
  <c r="D137" i="56"/>
  <c r="D116" i="56"/>
  <c r="M116" i="56" s="1"/>
  <c r="C94" i="56"/>
  <c r="C78" i="56" s="1"/>
  <c r="C28" i="56"/>
  <c r="C51" i="56" s="1"/>
  <c r="B20" i="56"/>
  <c r="D139" i="56"/>
  <c r="D118" i="56"/>
  <c r="M118" i="56" s="1"/>
  <c r="D132"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Q7" i="32"/>
  <c r="J93" i="32"/>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E9" i="47"/>
  <c r="E8" i="47"/>
  <c r="E7" i="47"/>
  <c r="E6" i="47"/>
  <c r="D53" i="52" l="1"/>
  <c r="H20" i="57"/>
  <c r="F15" i="57"/>
  <c r="F13" i="57"/>
  <c r="X13" i="57" s="1"/>
  <c r="F14" i="57"/>
  <c r="H19" i="57"/>
  <c r="K8" i="56"/>
  <c r="I8" i="56"/>
  <c r="K9" i="56"/>
  <c r="I9" i="56"/>
  <c r="K7" i="56"/>
  <c r="I7" i="56"/>
  <c r="N53" i="52"/>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L143" i="56"/>
  <c r="L132" i="56"/>
  <c r="N111" i="56"/>
  <c r="B54" i="56"/>
  <c r="B31" i="56"/>
  <c r="L133" i="56"/>
  <c r="N112" i="56"/>
  <c r="L144" i="56"/>
  <c r="N123" i="56"/>
  <c r="E99" i="47"/>
  <c r="B35" i="56"/>
  <c r="B58" i="56"/>
  <c r="E94" i="47"/>
  <c r="L141" i="56"/>
  <c r="N120" i="56"/>
  <c r="L138" i="56"/>
  <c r="N117" i="56"/>
  <c r="E96" i="47"/>
  <c r="B36" i="56"/>
  <c r="B59" i="56"/>
  <c r="L142" i="56"/>
  <c r="L139" i="56"/>
  <c r="N118" i="56"/>
  <c r="B32" i="56"/>
  <c r="B55" i="56"/>
  <c r="L140" i="56"/>
  <c r="N119" i="56"/>
  <c r="B52" i="56"/>
  <c r="B29" i="56"/>
  <c r="B56" i="56"/>
  <c r="B33" i="56"/>
  <c r="B51" i="56"/>
  <c r="B28" i="56"/>
  <c r="L134" i="56"/>
  <c r="N113" i="56"/>
  <c r="L136" i="56"/>
  <c r="N115" i="56"/>
  <c r="E95" i="47"/>
  <c r="B57" i="56"/>
  <c r="B34" i="56"/>
  <c r="L135" i="56"/>
  <c r="N114" i="56"/>
  <c r="E88" i="47"/>
  <c r="E90" i="47"/>
  <c r="E91" i="47"/>
  <c r="B53" i="56"/>
  <c r="B30" i="56"/>
  <c r="L137"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P73" i="32"/>
  <c r="P80" i="32" s="1"/>
  <c r="N21" i="32"/>
  <c r="S53" i="52"/>
  <c r="O53" i="52"/>
  <c r="K47" i="29"/>
  <c r="M47" i="29"/>
  <c r="U30" i="32"/>
  <c r="AE30" i="32"/>
  <c r="G6" i="47"/>
  <c r="G8" i="47"/>
  <c r="G9" i="47"/>
  <c r="G7" i="47"/>
  <c r="X14" i="57" l="1"/>
  <c r="O14" i="57"/>
  <c r="O13" i="57"/>
  <c r="X15" i="57"/>
  <c r="O15" i="57"/>
  <c r="O86" i="57" s="1"/>
  <c r="G92" i="47"/>
  <c r="F16" i="57"/>
  <c r="G89" i="47"/>
  <c r="G94" i="47"/>
  <c r="G88" i="47"/>
  <c r="G90" i="47"/>
  <c r="G93" i="47"/>
  <c r="G95" i="47"/>
  <c r="G96" i="47"/>
  <c r="G87" i="47"/>
  <c r="G91" i="47"/>
  <c r="K181" i="56"/>
  <c r="G97" i="47"/>
  <c r="K183" i="56"/>
  <c r="G99" i="47"/>
  <c r="K182" i="56"/>
  <c r="G98" i="47"/>
  <c r="R47" i="29"/>
  <c r="S47" i="29" s="1"/>
  <c r="P83" i="47" s="1"/>
  <c r="N45" i="32"/>
  <c r="AM30" i="32"/>
  <c r="F26" i="44"/>
  <c r="O9" i="55"/>
  <c r="E26" i="44"/>
  <c r="G25" i="44"/>
  <c r="G26" i="44" s="1"/>
  <c r="H35" i="44"/>
  <c r="O10" i="58"/>
  <c r="O23" i="58" s="1"/>
  <c r="G11" i="57"/>
  <c r="H3" i="56"/>
  <c r="M135" i="56"/>
  <c r="H90" i="47" s="1"/>
  <c r="O114" i="56"/>
  <c r="M133" i="56"/>
  <c r="H88" i="47" s="1"/>
  <c r="O112" i="56"/>
  <c r="M140" i="56"/>
  <c r="H95" i="47" s="1"/>
  <c r="O119" i="56"/>
  <c r="M138" i="56"/>
  <c r="H93" i="47" s="1"/>
  <c r="O117" i="56"/>
  <c r="M141" i="56"/>
  <c r="H96" i="47" s="1"/>
  <c r="O120" i="56"/>
  <c r="M132" i="56"/>
  <c r="H87" i="47" s="1"/>
  <c r="O111" i="56"/>
  <c r="M137" i="56"/>
  <c r="H92" i="47" s="1"/>
  <c r="O116" i="56"/>
  <c r="M136" i="56"/>
  <c r="H91" i="47" s="1"/>
  <c r="O115" i="56"/>
  <c r="M134" i="56"/>
  <c r="H89" i="47" s="1"/>
  <c r="O113" i="56"/>
  <c r="M139" i="56"/>
  <c r="H94" i="47" s="1"/>
  <c r="O118" i="56"/>
  <c r="M144" i="56"/>
  <c r="O123" i="56"/>
  <c r="L3" i="29"/>
  <c r="AM29" i="32"/>
  <c r="R94" i="32"/>
  <c r="Q73" i="32"/>
  <c r="Q80" i="32" s="1"/>
  <c r="O21" i="32"/>
  <c r="M11" i="55"/>
  <c r="F7" i="56"/>
  <c r="J13" i="55"/>
  <c r="J14" i="55"/>
  <c r="C33" i="44"/>
  <c r="N47" i="29"/>
  <c r="K83" i="47" s="1"/>
  <c r="H83" i="47"/>
  <c r="L47" i="29"/>
  <c r="I83" i="47" s="1"/>
  <c r="AF30" i="32"/>
  <c r="V30" i="32"/>
  <c r="O30" i="32"/>
  <c r="AG29" i="32"/>
  <c r="N29" i="32"/>
  <c r="W29" i="32"/>
  <c r="AB47" i="29"/>
  <c r="F86" i="57" l="1"/>
  <c r="X86" i="57"/>
  <c r="O16" i="57"/>
  <c r="O75" i="57"/>
  <c r="G13" i="57"/>
  <c r="G15" i="57"/>
  <c r="G14" i="57"/>
  <c r="N137" i="56"/>
  <c r="I92" i="47" s="1"/>
  <c r="P116" i="56"/>
  <c r="N141" i="56"/>
  <c r="I96" i="47" s="1"/>
  <c r="P120" i="56"/>
  <c r="N139" i="56"/>
  <c r="I94" i="47" s="1"/>
  <c r="P118" i="56"/>
  <c r="N138" i="56"/>
  <c r="I93" i="47" s="1"/>
  <c r="P117" i="56"/>
  <c r="N132" i="56"/>
  <c r="I87" i="47" s="1"/>
  <c r="P111" i="56"/>
  <c r="N134" i="56"/>
  <c r="I89" i="47" s="1"/>
  <c r="P113" i="56"/>
  <c r="N140" i="56"/>
  <c r="I95" i="47" s="1"/>
  <c r="P119" i="56"/>
  <c r="N135" i="56"/>
  <c r="I90" i="47" s="1"/>
  <c r="P114" i="56"/>
  <c r="N144" i="56"/>
  <c r="M183" i="56" s="1"/>
  <c r="P123" i="56"/>
  <c r="N136" i="56"/>
  <c r="I91" i="47" s="1"/>
  <c r="P115" i="56"/>
  <c r="N133" i="56"/>
  <c r="I88" i="47" s="1"/>
  <c r="P112" i="56"/>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P43" i="56" s="1"/>
  <c r="J11" i="55"/>
  <c r="M20" i="55"/>
  <c r="M21" i="55"/>
  <c r="J21" i="55"/>
  <c r="J20" i="55"/>
  <c r="F9" i="56"/>
  <c r="J12" i="55"/>
  <c r="J15" i="55"/>
  <c r="J18" i="55"/>
  <c r="J17" i="55"/>
  <c r="J16" i="55"/>
  <c r="M12" i="55"/>
  <c r="G9" i="56"/>
  <c r="X9" i="56" s="1"/>
  <c r="F8" i="56"/>
  <c r="I104" i="56" s="1"/>
  <c r="S88" i="56" s="1"/>
  <c r="AA88" i="56" s="1"/>
  <c r="J10" i="55"/>
  <c r="M18" i="55"/>
  <c r="M15" i="55"/>
  <c r="M16" i="55"/>
  <c r="M17" i="55"/>
  <c r="G8" i="56"/>
  <c r="X8" i="56" s="1"/>
  <c r="M10" i="55"/>
  <c r="G19" i="47"/>
  <c r="K19" i="47"/>
  <c r="J19" i="47"/>
  <c r="L19" i="47"/>
  <c r="O47" i="29"/>
  <c r="P47" i="29" s="1"/>
  <c r="R73" i="32"/>
  <c r="R80" i="32" s="1"/>
  <c r="S94" i="32"/>
  <c r="P21" i="32"/>
  <c r="P45" i="32" s="1"/>
  <c r="J28" i="29"/>
  <c r="K6" i="35"/>
  <c r="N6" i="35"/>
  <c r="C32" i="44"/>
  <c r="E14" i="57" s="1"/>
  <c r="C31" i="44"/>
  <c r="E13" i="57" s="1"/>
  <c r="K13" i="55"/>
  <c r="K19" i="55"/>
  <c r="K28" i="29"/>
  <c r="K5" i="29"/>
  <c r="K18" i="29" s="1"/>
  <c r="K24" i="32"/>
  <c r="K36" i="32" s="1"/>
  <c r="N12" i="55"/>
  <c r="T47" i="29"/>
  <c r="Q83" i="47" s="1"/>
  <c r="P30" i="32"/>
  <c r="AG30" i="32"/>
  <c r="W30" i="32"/>
  <c r="O29" i="32"/>
  <c r="X29" i="32"/>
  <c r="AH29" i="32"/>
  <c r="AL47" i="29"/>
  <c r="AC47" i="29"/>
  <c r="Z83" i="47" s="1"/>
  <c r="P76" i="56" l="1"/>
  <c r="P92" i="56" s="1"/>
  <c r="X92" i="56" s="1"/>
  <c r="X43" i="56"/>
  <c r="F75" i="57"/>
  <c r="X75" i="57"/>
  <c r="Y14" i="57"/>
  <c r="Y55" i="57" s="1"/>
  <c r="P14" i="57"/>
  <c r="Y15" i="57"/>
  <c r="Y56" i="57" s="1"/>
  <c r="P15" i="57"/>
  <c r="Y13" i="57"/>
  <c r="Y54" i="57" s="1"/>
  <c r="Y58" i="57" s="1"/>
  <c r="P13" i="57"/>
  <c r="I99" i="47"/>
  <c r="G16" i="57"/>
  <c r="I88" i="56"/>
  <c r="K104" i="56"/>
  <c r="O138" i="56"/>
  <c r="J93" i="47" s="1"/>
  <c r="Q117" i="56"/>
  <c r="O144" i="56"/>
  <c r="Q123" i="56"/>
  <c r="O139" i="56"/>
  <c r="J94" i="47" s="1"/>
  <c r="Q118" i="56"/>
  <c r="O134" i="56"/>
  <c r="J89" i="47" s="1"/>
  <c r="Q113" i="56"/>
  <c r="O133" i="56"/>
  <c r="J88" i="47" s="1"/>
  <c r="Q112" i="56"/>
  <c r="O135" i="56"/>
  <c r="J90" i="47" s="1"/>
  <c r="Q114" i="56"/>
  <c r="O141" i="56"/>
  <c r="J96" i="47" s="1"/>
  <c r="Q120" i="56"/>
  <c r="O136" i="56"/>
  <c r="J91" i="47" s="1"/>
  <c r="Q115" i="56"/>
  <c r="O140" i="56"/>
  <c r="J95" i="47" s="1"/>
  <c r="Q119" i="56"/>
  <c r="O137" i="56"/>
  <c r="J92" i="47" s="1"/>
  <c r="Q116" i="56"/>
  <c r="O132" i="56"/>
  <c r="J87" i="47" s="1"/>
  <c r="Q111" i="56"/>
  <c r="G48" i="56"/>
  <c r="P48" i="56" s="1"/>
  <c r="X48" i="56" s="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I25" i="44"/>
  <c r="I26" i="44" s="1"/>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1"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O19" i="55"/>
  <c r="M24" i="32"/>
  <c r="M22" i="32"/>
  <c r="H7" i="56"/>
  <c r="H43" i="56" s="1"/>
  <c r="O6" i="35"/>
  <c r="O13" i="55"/>
  <c r="N24" i="32"/>
  <c r="N22" i="32"/>
  <c r="M23" i="32"/>
  <c r="U47" i="29"/>
  <c r="V47" i="29" s="1"/>
  <c r="AH30" i="32"/>
  <c r="Q30" i="32"/>
  <c r="X30" i="32"/>
  <c r="AI29" i="32"/>
  <c r="Y29" i="32"/>
  <c r="P29" i="32"/>
  <c r="AD47" i="29"/>
  <c r="AA83" i="47" s="1"/>
  <c r="M83" i="47"/>
  <c r="Q47" i="29"/>
  <c r="G51" i="56" l="1"/>
  <c r="P60" i="56"/>
  <c r="K88" i="56"/>
  <c r="U88" i="56"/>
  <c r="AC88" i="56" s="1"/>
  <c r="Y61" i="57"/>
  <c r="E161" i="57"/>
  <c r="Y16" i="57"/>
  <c r="Y59" i="57" s="1"/>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Q49" i="57"/>
  <c r="I43" i="56"/>
  <c r="K43" i="56"/>
  <c r="P137" i="56"/>
  <c r="K92" i="47" s="1"/>
  <c r="R116" i="56"/>
  <c r="Q137" i="56" s="1"/>
  <c r="L92" i="47" s="1"/>
  <c r="P134" i="56"/>
  <c r="K89" i="47" s="1"/>
  <c r="R113" i="56"/>
  <c r="Q134" i="56" s="1"/>
  <c r="L89" i="47" s="1"/>
  <c r="P132" i="56"/>
  <c r="K87" i="47" s="1"/>
  <c r="R111" i="56"/>
  <c r="Q132" i="56" s="1"/>
  <c r="L87" i="47" s="1"/>
  <c r="P140" i="56"/>
  <c r="K95" i="47" s="1"/>
  <c r="R119" i="56"/>
  <c r="Q140" i="56" s="1"/>
  <c r="L95" i="47" s="1"/>
  <c r="P139" i="56"/>
  <c r="K94" i="47" s="1"/>
  <c r="R118" i="56"/>
  <c r="Q139" i="56" s="1"/>
  <c r="L94" i="47" s="1"/>
  <c r="P135" i="56"/>
  <c r="K90" i="47" s="1"/>
  <c r="R114" i="56"/>
  <c r="Q135" i="56" s="1"/>
  <c r="L90" i="47" s="1"/>
  <c r="P136" i="56"/>
  <c r="K91" i="47" s="1"/>
  <c r="R115" i="56"/>
  <c r="Q136" i="56" s="1"/>
  <c r="L91" i="47" s="1"/>
  <c r="P144" i="56"/>
  <c r="R123" i="56"/>
  <c r="Q144" i="56" s="1"/>
  <c r="N183" i="56"/>
  <c r="J99" i="47"/>
  <c r="P133" i="56"/>
  <c r="K88" i="47" s="1"/>
  <c r="R112" i="56"/>
  <c r="Q133" i="56" s="1"/>
  <c r="L88" i="47" s="1"/>
  <c r="P141" i="56"/>
  <c r="K96" i="47" s="1"/>
  <c r="R120" i="56"/>
  <c r="Q141" i="56" s="1"/>
  <c r="L96" i="47" s="1"/>
  <c r="P138" i="56"/>
  <c r="K93" i="47" s="1"/>
  <c r="R117" i="56"/>
  <c r="Q138" i="56" s="1"/>
  <c r="L93" i="47" s="1"/>
  <c r="L16" i="29"/>
  <c r="M16" i="29" s="1"/>
  <c r="K22" i="29"/>
  <c r="G59" i="56"/>
  <c r="G86" i="56" s="1"/>
  <c r="G53" i="56"/>
  <c r="N175"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4" i="56" s="1"/>
  <c r="M174" i="56" s="1"/>
  <c r="G56" i="56"/>
  <c r="L178" i="56" s="1"/>
  <c r="M178" i="56" s="1"/>
  <c r="G58" i="56"/>
  <c r="L180" i="56" s="1"/>
  <c r="M180" i="56" s="1"/>
  <c r="G54" i="56"/>
  <c r="N176" i="56" s="1"/>
  <c r="G57" i="56"/>
  <c r="N179" i="56" s="1"/>
  <c r="G55" i="56"/>
  <c r="N177" i="56" s="1"/>
  <c r="N83" i="47"/>
  <c r="O83" i="47"/>
  <c r="E123" i="57"/>
  <c r="N3" i="29"/>
  <c r="K35" i="44"/>
  <c r="S6" i="35"/>
  <c r="R10" i="58"/>
  <c r="J25" i="44"/>
  <c r="J26" i="44" s="1"/>
  <c r="E120" i="57"/>
  <c r="O11" i="55"/>
  <c r="O10" i="55"/>
  <c r="O22" i="55"/>
  <c r="X16" i="57"/>
  <c r="H8" i="56"/>
  <c r="O93" i="57"/>
  <c r="E58" i="57"/>
  <c r="E61" i="57" s="1"/>
  <c r="E163" i="57"/>
  <c r="E162" i="57"/>
  <c r="J229" i="57" s="1"/>
  <c r="E45" i="57"/>
  <c r="E117" i="57"/>
  <c r="E116" i="57"/>
  <c r="E115" i="57"/>
  <c r="O55" i="57"/>
  <c r="F55" i="57" s="1"/>
  <c r="O108" i="57"/>
  <c r="O97" i="57"/>
  <c r="O81" i="57"/>
  <c r="E111" i="57"/>
  <c r="X55" i="57"/>
  <c r="L12" i="55"/>
  <c r="L14" i="55"/>
  <c r="O14" i="55"/>
  <c r="X56" i="57"/>
  <c r="O56" i="57"/>
  <c r="F56" i="57" s="1"/>
  <c r="O101" i="57"/>
  <c r="O109" i="57"/>
  <c r="F109" i="57" s="1"/>
  <c r="E124" i="57"/>
  <c r="E125" i="57"/>
  <c r="E121" i="57"/>
  <c r="E119" i="57"/>
  <c r="L13" i="55"/>
  <c r="L5" i="29"/>
  <c r="L18" i="29" s="1"/>
  <c r="O171" i="56"/>
  <c r="P171" i="56" s="1"/>
  <c r="X76" i="56"/>
  <c r="O20" i="55"/>
  <c r="O21" i="55"/>
  <c r="H9" i="56"/>
  <c r="O12" i="55"/>
  <c r="L38" i="55"/>
  <c r="M38" i="55" s="1"/>
  <c r="N38" i="55" s="1"/>
  <c r="L15" i="55"/>
  <c r="L16" i="55"/>
  <c r="L18" i="55"/>
  <c r="L17" i="55"/>
  <c r="K26" i="55"/>
  <c r="L35" i="55"/>
  <c r="M35" i="55" s="1"/>
  <c r="N35" i="55" s="1"/>
  <c r="O35" i="55" s="1"/>
  <c r="L10" i="55"/>
  <c r="L11" i="55"/>
  <c r="N173" i="56"/>
  <c r="L173" i="56"/>
  <c r="M173" i="56" s="1"/>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Y107" i="57" l="1"/>
  <c r="G107" i="57"/>
  <c r="P86" i="56"/>
  <c r="AJ78" i="56" s="1"/>
  <c r="X59" i="56"/>
  <c r="R60" i="56"/>
  <c r="X60" i="56"/>
  <c r="Q60" i="56"/>
  <c r="P51" i="56"/>
  <c r="X51" i="56" s="1"/>
  <c r="K92" i="56"/>
  <c r="K76" i="56" s="1"/>
  <c r="S43" i="56"/>
  <c r="I92" i="56"/>
  <c r="I76" i="56" s="1"/>
  <c r="Q43" i="56"/>
  <c r="Y60" i="57"/>
  <c r="Z49" i="57"/>
  <c r="Z57" i="57" s="1"/>
  <c r="Z58" i="57" s="1"/>
  <c r="Y101" i="57"/>
  <c r="Y86" i="57"/>
  <c r="F101" i="57"/>
  <c r="X101" i="57"/>
  <c r="Y75" i="57"/>
  <c r="Y93" i="57"/>
  <c r="X109" i="57"/>
  <c r="Y109" i="57"/>
  <c r="F93" i="57"/>
  <c r="X93" i="57"/>
  <c r="Y97" i="57"/>
  <c r="Y81" i="57"/>
  <c r="F81" i="57"/>
  <c r="X81" i="57"/>
  <c r="F108" i="57"/>
  <c r="X108" i="57"/>
  <c r="F97" i="57"/>
  <c r="X97" i="57"/>
  <c r="Y108" i="57"/>
  <c r="P111" i="57"/>
  <c r="Q50" i="57"/>
  <c r="X57" i="57"/>
  <c r="L175" i="56"/>
  <c r="M175" i="56" s="1"/>
  <c r="L177" i="56"/>
  <c r="M177" i="56" s="1"/>
  <c r="G102" i="56"/>
  <c r="N121" i="56" s="1"/>
  <c r="M142" i="56" s="1"/>
  <c r="H97" i="47" s="1"/>
  <c r="K60" i="56"/>
  <c r="I48" i="56"/>
  <c r="Q48" i="56" s="1"/>
  <c r="K48" i="56"/>
  <c r="P183" i="56"/>
  <c r="L99" i="47"/>
  <c r="O183" i="56"/>
  <c r="K99" i="47"/>
  <c r="L179" i="56"/>
  <c r="M179" i="56" s="1"/>
  <c r="M73" i="58"/>
  <c r="L24" i="29"/>
  <c r="M18" i="29"/>
  <c r="N16" i="29"/>
  <c r="O16" i="29" s="1"/>
  <c r="O22" i="29" s="1"/>
  <c r="M22" i="29"/>
  <c r="M75" i="58"/>
  <c r="P54" i="56"/>
  <c r="X54" i="56" s="1"/>
  <c r="X81" i="56" s="1"/>
  <c r="N174" i="56"/>
  <c r="M74" i="58"/>
  <c r="L176" i="56"/>
  <c r="M176" i="56" s="1"/>
  <c r="P57" i="56"/>
  <c r="P52" i="56"/>
  <c r="X52" i="56" s="1"/>
  <c r="P53" i="56"/>
  <c r="X53" i="56" s="1"/>
  <c r="P56" i="56"/>
  <c r="X56" i="56" s="1"/>
  <c r="P58" i="56"/>
  <c r="P55" i="56"/>
  <c r="P78" i="56"/>
  <c r="P94" i="56" s="1"/>
  <c r="X94" i="56" s="1"/>
  <c r="X86"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M167" i="58"/>
  <c r="N75" i="58"/>
  <c r="N167" i="58" s="1"/>
  <c r="N180" i="56"/>
  <c r="O57" i="57"/>
  <c r="F57" i="57" s="1"/>
  <c r="D250" i="57"/>
  <c r="J257" i="57" s="1"/>
  <c r="E149" i="57"/>
  <c r="E151" i="57"/>
  <c r="E188" i="57" s="1"/>
  <c r="W188" i="57" s="1"/>
  <c r="E150" i="57"/>
  <c r="E187" i="57" s="1"/>
  <c r="W187" i="57" s="1"/>
  <c r="L35" i="44"/>
  <c r="S10" i="58"/>
  <c r="K25" i="44"/>
  <c r="K26" i="44" s="1"/>
  <c r="O38" i="55"/>
  <c r="P12" i="55"/>
  <c r="D249" i="57"/>
  <c r="J256" i="57" s="1"/>
  <c r="P14" i="55"/>
  <c r="L30" i="55"/>
  <c r="M30" i="55" s="1"/>
  <c r="N30" i="55" s="1"/>
  <c r="O30" i="55" s="1"/>
  <c r="D248" i="57"/>
  <c r="J255" i="57" s="1"/>
  <c r="E129" i="57"/>
  <c r="E155" i="57" s="1"/>
  <c r="E128" i="57"/>
  <c r="E156" i="57" s="1"/>
  <c r="E193" i="57" s="1"/>
  <c r="W193" i="57" s="1"/>
  <c r="E59" i="57"/>
  <c r="E60" i="57" s="1"/>
  <c r="P11" i="55"/>
  <c r="E127" i="57"/>
  <c r="E154" i="57" s="1"/>
  <c r="P10" i="55"/>
  <c r="J228" i="57"/>
  <c r="L17" i="29"/>
  <c r="M17" i="29" s="1"/>
  <c r="L26" i="55"/>
  <c r="M26" i="55" s="1"/>
  <c r="N26" i="55" s="1"/>
  <c r="O26" i="55" s="1"/>
  <c r="L29" i="55"/>
  <c r="M29" i="55" s="1"/>
  <c r="N29" i="55" s="1"/>
  <c r="O29" i="55" s="1"/>
  <c r="P29" i="55" s="1"/>
  <c r="P22" i="55"/>
  <c r="J230" i="57"/>
  <c r="H51" i="56"/>
  <c r="H59" i="56"/>
  <c r="H56" i="56"/>
  <c r="H55" i="56"/>
  <c r="H58" i="56"/>
  <c r="H57" i="56"/>
  <c r="H54" i="56"/>
  <c r="H53" i="56"/>
  <c r="H52" i="56"/>
  <c r="O110" i="57"/>
  <c r="F110" i="57" s="1"/>
  <c r="O23" i="32"/>
  <c r="O35" i="32" s="1"/>
  <c r="O38" i="32" s="1"/>
  <c r="X78" i="56"/>
  <c r="P20" i="55"/>
  <c r="P21" i="55"/>
  <c r="P37" i="55" s="1"/>
  <c r="P16" i="55"/>
  <c r="P32" i="55" s="1"/>
  <c r="P15" i="55"/>
  <c r="P17" i="55"/>
  <c r="P33" i="55" s="1"/>
  <c r="P18" i="55"/>
  <c r="P34" i="55" s="1"/>
  <c r="P35" i="55"/>
  <c r="O22" i="32"/>
  <c r="O24" i="32"/>
  <c r="O36" i="32"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I21" i="57" s="1"/>
  <c r="R32" i="57" s="1"/>
  <c r="R22" i="32"/>
  <c r="R24" i="32"/>
  <c r="R23" i="32"/>
  <c r="N36" i="29"/>
  <c r="R51" i="29" s="1"/>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P84" i="56" l="1"/>
  <c r="P100" i="56" s="1"/>
  <c r="X100" i="56" s="1"/>
  <c r="X57" i="56"/>
  <c r="Q59" i="56"/>
  <c r="S60" i="56"/>
  <c r="Y60" i="56"/>
  <c r="Q56" i="56"/>
  <c r="Q51" i="56"/>
  <c r="Q54" i="56"/>
  <c r="Q57" i="56"/>
  <c r="Q58" i="56"/>
  <c r="Q52" i="56"/>
  <c r="Q53" i="56"/>
  <c r="Q55" i="56"/>
  <c r="AA32" i="57"/>
  <c r="AA56" i="57" s="1"/>
  <c r="I32" i="57"/>
  <c r="X55" i="56"/>
  <c r="X82" i="56" s="1"/>
  <c r="P82" i="56"/>
  <c r="P98" i="56" s="1"/>
  <c r="X98" i="56" s="1"/>
  <c r="T60" i="56"/>
  <c r="U60" i="56" s="1"/>
  <c r="V60" i="56" s="1"/>
  <c r="Z60" i="56"/>
  <c r="P85" i="56"/>
  <c r="P101" i="56" s="1"/>
  <c r="X101" i="56" s="1"/>
  <c r="X58" i="56"/>
  <c r="X85" i="56" s="1"/>
  <c r="Y43" i="56"/>
  <c r="Q76" i="56"/>
  <c r="Q92" i="56" s="1"/>
  <c r="Y92" i="56" s="1"/>
  <c r="S76" i="56"/>
  <c r="S92" i="56" s="1"/>
  <c r="AA92" i="56" s="1"/>
  <c r="AA43" i="56"/>
  <c r="AA76" i="56" s="1"/>
  <c r="S48" i="56"/>
  <c r="Y48" i="56"/>
  <c r="P79" i="56"/>
  <c r="P95" i="56" s="1"/>
  <c r="X95" i="56" s="1"/>
  <c r="H49" i="57"/>
  <c r="R49" i="57" s="1"/>
  <c r="R50" i="57" s="1"/>
  <c r="Z59" i="57"/>
  <c r="I49" i="57"/>
  <c r="S49" i="57" s="1"/>
  <c r="Z61" i="57"/>
  <c r="Y111" i="57"/>
  <c r="G111" i="57" s="1"/>
  <c r="X110" i="57"/>
  <c r="P81" i="56"/>
  <c r="P97" i="56" s="1"/>
  <c r="X97" i="56" s="1"/>
  <c r="Q110" i="57"/>
  <c r="Z110" i="57" s="1"/>
  <c r="H110" i="57" s="1"/>
  <c r="Z50" i="57"/>
  <c r="H50" i="57" s="1"/>
  <c r="R87" i="57"/>
  <c r="I87" i="57" s="1"/>
  <c r="I90" i="57" s="1"/>
  <c r="R56" i="57"/>
  <c r="I56" i="57" s="1"/>
  <c r="R109" i="57"/>
  <c r="Q51"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G215" i="57"/>
  <c r="L215" i="57"/>
  <c r="G102" i="47" s="1"/>
  <c r="M201" i="57"/>
  <c r="BG216" i="57"/>
  <c r="BH202" i="57"/>
  <c r="L216" i="57"/>
  <c r="G101" i="47" s="1"/>
  <c r="M202" i="57"/>
  <c r="E112" i="57"/>
  <c r="E186" i="57"/>
  <c r="W186" i="57" s="1"/>
  <c r="P30" i="55"/>
  <c r="M35" i="44"/>
  <c r="U6" i="35"/>
  <c r="T10" i="58"/>
  <c r="L25" i="44"/>
  <c r="L26" i="44" s="1"/>
  <c r="S22" i="32"/>
  <c r="S24" i="32"/>
  <c r="S36" i="32" s="1"/>
  <c r="S23" i="32"/>
  <c r="S35" i="32" s="1"/>
  <c r="S38" i="32" s="1"/>
  <c r="S45" i="32"/>
  <c r="E153" i="57"/>
  <c r="E165" i="57" s="1"/>
  <c r="E168" i="57"/>
  <c r="J235" i="57" s="1"/>
  <c r="D252" i="57"/>
  <c r="J259" i="57" s="1"/>
  <c r="O25" i="32"/>
  <c r="O18" i="32" s="1"/>
  <c r="P38" i="55"/>
  <c r="D251" i="57"/>
  <c r="J258" i="57" s="1"/>
  <c r="P26" i="55"/>
  <c r="O34" i="32"/>
  <c r="O37" i="32" s="1"/>
  <c r="E191" i="57"/>
  <c r="W191" i="57" s="1"/>
  <c r="E166" i="57"/>
  <c r="E192" i="57"/>
  <c r="W192" i="57" s="1"/>
  <c r="E167" i="57"/>
  <c r="BH207" i="57"/>
  <c r="BI207" i="57" s="1"/>
  <c r="BG221" i="57"/>
  <c r="BH221" i="57" s="1"/>
  <c r="D253" i="57"/>
  <c r="J260" i="57" s="1"/>
  <c r="P31" i="55"/>
  <c r="O173" i="56"/>
  <c r="P173" i="56" s="1"/>
  <c r="H86" i="56"/>
  <c r="AP78" i="56" s="1"/>
  <c r="AP80" i="56" s="1"/>
  <c r="AP81" i="56" s="1"/>
  <c r="H102" i="56"/>
  <c r="M131" i="47"/>
  <c r="L181" i="56"/>
  <c r="M130" i="47"/>
  <c r="M127" i="47"/>
  <c r="G21" i="57"/>
  <c r="M134" i="47"/>
  <c r="O174" i="56"/>
  <c r="P174" i="56" s="1"/>
  <c r="P36" i="55"/>
  <c r="O175" i="56"/>
  <c r="P175" i="56" s="1"/>
  <c r="O176" i="56"/>
  <c r="P176" i="56" s="1"/>
  <c r="O179" i="56"/>
  <c r="P179" i="56" s="1"/>
  <c r="O180" i="56"/>
  <c r="P180" i="56" s="1"/>
  <c r="O177" i="56"/>
  <c r="P177" i="56" s="1"/>
  <c r="O121" i="56"/>
  <c r="M128" i="47"/>
  <c r="O178" i="56"/>
  <c r="P178" i="56" s="1"/>
  <c r="N49" i="29"/>
  <c r="L49" i="29"/>
  <c r="I85" i="47" s="1"/>
  <c r="H85" i="47"/>
  <c r="N50" i="29"/>
  <c r="L50" i="29"/>
  <c r="I86" i="47" s="1"/>
  <c r="H86" i="47"/>
  <c r="N23" i="29"/>
  <c r="N22" i="29"/>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Q79" i="56" l="1"/>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AA49" i="57"/>
  <c r="AC49" i="57" s="1"/>
  <c r="AC57" i="57" s="1"/>
  <c r="AA57" i="57"/>
  <c r="AA58" i="57" s="1"/>
  <c r="AA59" i="57" s="1"/>
  <c r="P58" i="57"/>
  <c r="G58" i="57" s="1"/>
  <c r="G57" i="57"/>
  <c r="Z60" i="57"/>
  <c r="AB49" i="57"/>
  <c r="AB57" i="57" s="1"/>
  <c r="Q111" i="57"/>
  <c r="AA87" i="57"/>
  <c r="R110" i="57"/>
  <c r="R111" i="57" s="1"/>
  <c r="AA50" i="57"/>
  <c r="I50" i="57" s="1"/>
  <c r="Z51" i="57"/>
  <c r="H51" i="57" s="1"/>
  <c r="R152" i="58"/>
  <c r="S50" i="57"/>
  <c r="R51" i="57"/>
  <c r="R49" i="29"/>
  <c r="S57" i="57"/>
  <c r="Q57" i="57"/>
  <c r="H57" i="57" s="1"/>
  <c r="P61" i="57"/>
  <c r="K86" i="56"/>
  <c r="K102" i="56"/>
  <c r="I86" i="56"/>
  <c r="I102" i="56"/>
  <c r="N142" i="56"/>
  <c r="I97" i="47" s="1"/>
  <c r="P121" i="56"/>
  <c r="O142" i="56" s="1"/>
  <c r="AJ77" i="56"/>
  <c r="AJ80" i="56" s="1"/>
  <c r="AJ81" i="56" s="1"/>
  <c r="R153" i="58"/>
  <c r="R154" i="58"/>
  <c r="R159" i="58"/>
  <c r="R158" i="58"/>
  <c r="R157" i="58"/>
  <c r="R156" i="58"/>
  <c r="S25" i="32"/>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E190" i="57"/>
  <c r="AC32" i="57"/>
  <c r="BI202" i="57"/>
  <c r="BH215" i="57"/>
  <c r="J84" i="47"/>
  <c r="J86" i="47"/>
  <c r="J85" i="47"/>
  <c r="BG214" i="57"/>
  <c r="BH200" i="57"/>
  <c r="L214" i="57"/>
  <c r="G100" i="47" s="1"/>
  <c r="M200" i="57"/>
  <c r="BH216" i="57"/>
  <c r="BI201" i="57"/>
  <c r="U21" i="32"/>
  <c r="N35" i="44"/>
  <c r="V6" i="35"/>
  <c r="U10" i="58"/>
  <c r="M25" i="44"/>
  <c r="M26" i="44" s="1"/>
  <c r="O17" i="32"/>
  <c r="O19" i="32"/>
  <c r="J233" i="57"/>
  <c r="J232" i="57"/>
  <c r="E169" i="57"/>
  <c r="E176" i="57" s="1"/>
  <c r="BG219" i="57"/>
  <c r="BH219" i="57" s="1"/>
  <c r="BH205" i="57"/>
  <c r="BI205" i="57" s="1"/>
  <c r="J234" i="57"/>
  <c r="BG220" i="57"/>
  <c r="BH220" i="57" s="1"/>
  <c r="BH206" i="57"/>
  <c r="BI206" i="57" s="1"/>
  <c r="M129" i="47"/>
  <c r="M133" i="47"/>
  <c r="N127" i="47"/>
  <c r="I108" i="47"/>
  <c r="O49" i="29"/>
  <c r="K85" i="47"/>
  <c r="O50" i="29"/>
  <c r="K86" i="47"/>
  <c r="N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S80" i="56" l="1"/>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AA61" i="57"/>
  <c r="J57" i="57"/>
  <c r="P59" i="57"/>
  <c r="J49" i="57"/>
  <c r="T49" i="57" s="1"/>
  <c r="K49" i="57" s="1"/>
  <c r="U49" i="57" s="1"/>
  <c r="J50" i="57"/>
  <c r="AA60" i="57"/>
  <c r="AD32" i="57"/>
  <c r="BG218" i="57"/>
  <c r="BH218" i="57" s="1"/>
  <c r="W190" i="57"/>
  <c r="Z111" i="57"/>
  <c r="H111" i="57" s="1"/>
  <c r="AA110" i="57"/>
  <c r="I110" i="57" s="1"/>
  <c r="AA111" i="57"/>
  <c r="I111" i="57" s="1"/>
  <c r="AA51" i="57"/>
  <c r="I51" i="57" s="1"/>
  <c r="S110" i="57"/>
  <c r="AB50" i="57"/>
  <c r="S51" i="57"/>
  <c r="Q58" i="57"/>
  <c r="Q121" i="56"/>
  <c r="P142" i="56" s="1"/>
  <c r="K97" i="47" s="1"/>
  <c r="M181" i="56"/>
  <c r="J97" i="47"/>
  <c r="N181"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220" i="58" s="1"/>
  <c r="P187" i="58"/>
  <c r="P221" i="58" s="1"/>
  <c r="P259" i="58" s="1"/>
  <c r="M120" i="47" s="1"/>
  <c r="P194" i="58"/>
  <c r="P193" i="58"/>
  <c r="M158" i="58"/>
  <c r="M240" i="58" s="1"/>
  <c r="M255" i="58" s="1"/>
  <c r="J116" i="47" s="1"/>
  <c r="N99" i="58"/>
  <c r="N158" i="58" s="1"/>
  <c r="N240" i="58" s="1"/>
  <c r="N255" i="58" s="1"/>
  <c r="K116" i="47" s="1"/>
  <c r="AF74" i="58"/>
  <c r="BI200" i="57"/>
  <c r="BH214" i="57"/>
  <c r="O35" i="44"/>
  <c r="V10" i="58"/>
  <c r="V23" i="58" s="1"/>
  <c r="N25" i="44"/>
  <c r="N26" i="44" s="1"/>
  <c r="U22" i="32"/>
  <c r="U34" i="32" s="1"/>
  <c r="U37" i="32" s="1"/>
  <c r="U24" i="32"/>
  <c r="U36" i="32" s="1"/>
  <c r="U23" i="32"/>
  <c r="U35" i="32" s="1"/>
  <c r="U38" i="32" s="1"/>
  <c r="U45" i="32"/>
  <c r="E177" i="57"/>
  <c r="E178" i="57"/>
  <c r="E173" i="57"/>
  <c r="E175" i="57"/>
  <c r="E174" i="57"/>
  <c r="E172" i="57"/>
  <c r="E179" i="57"/>
  <c r="R121" i="56"/>
  <c r="Q142" i="56" s="1"/>
  <c r="O127" i="47"/>
  <c r="P49" i="29"/>
  <c r="L85" i="47"/>
  <c r="P50" i="29"/>
  <c r="L86" i="47"/>
  <c r="L108" i="47"/>
  <c r="W21" i="32"/>
  <c r="W6" i="35"/>
  <c r="V21" i="32"/>
  <c r="X73" i="32"/>
  <c r="X80" i="32" s="1"/>
  <c r="Y94" i="32"/>
  <c r="R48" i="29"/>
  <c r="S48" i="29" s="1"/>
  <c r="N48" i="29"/>
  <c r="M108" i="47"/>
  <c r="Q51" i="29"/>
  <c r="O108" i="47" s="1"/>
  <c r="Q19" i="32"/>
  <c r="O23" i="35"/>
  <c r="K8" i="47"/>
  <c r="O26" i="35"/>
  <c r="K7" i="47"/>
  <c r="K9" i="47"/>
  <c r="O24" i="35"/>
  <c r="P25" i="35"/>
  <c r="L6" i="47"/>
  <c r="O22" i="35"/>
  <c r="K5" i="47"/>
  <c r="Q17" i="32"/>
  <c r="AE83" i="47"/>
  <c r="AI47" i="29"/>
  <c r="W83" i="47"/>
  <c r="AA47" i="29"/>
  <c r="S89" i="56" l="1"/>
  <c r="T57" i="57"/>
  <c r="K57" i="57" s="1"/>
  <c r="T50" i="57"/>
  <c r="T51" i="57" s="1"/>
  <c r="Q59" i="57"/>
  <c r="H58" i="57"/>
  <c r="P60" i="57"/>
  <c r="G59" i="57"/>
  <c r="G60" i="57" s="1"/>
  <c r="T110" i="57"/>
  <c r="AB110" i="57"/>
  <c r="J110" i="57" s="1"/>
  <c r="AB51" i="57"/>
  <c r="J51" i="57" s="1"/>
  <c r="Q61" i="57"/>
  <c r="U50" i="57"/>
  <c r="O181" i="56"/>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V45" i="32"/>
  <c r="X83" i="47"/>
  <c r="Y83" i="47"/>
  <c r="U25" i="32"/>
  <c r="U18" i="32" s="1"/>
  <c r="O25" i="44"/>
  <c r="O26" i="44" s="1"/>
  <c r="P35" i="44"/>
  <c r="W10" i="58"/>
  <c r="W23" i="58" s="1"/>
  <c r="V22" i="32"/>
  <c r="V24" i="32"/>
  <c r="V23" i="32"/>
  <c r="V35" i="32" s="1"/>
  <c r="V38" i="32" s="1"/>
  <c r="Q49" i="29"/>
  <c r="M85" i="47"/>
  <c r="Q50" i="29"/>
  <c r="O86" i="47" s="1"/>
  <c r="M86" i="47"/>
  <c r="K84" i="47"/>
  <c r="O48" i="29"/>
  <c r="Z94" i="32"/>
  <c r="Y73" i="32"/>
  <c r="Y80" i="32" s="1"/>
  <c r="P26" i="35"/>
  <c r="L7" i="47"/>
  <c r="Q25" i="35"/>
  <c r="M6" i="47"/>
  <c r="P24" i="35"/>
  <c r="L9" i="47"/>
  <c r="L8" i="47"/>
  <c r="P23" i="35"/>
  <c r="P22" i="35"/>
  <c r="L5" i="47"/>
  <c r="AF83" i="47"/>
  <c r="AJ47" i="29"/>
  <c r="Q60" i="57" l="1"/>
  <c r="H59" i="57"/>
  <c r="H60" i="57" s="1"/>
  <c r="U110" i="57"/>
  <c r="U51" i="57"/>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50" i="58"/>
  <c r="T193" i="58" s="1"/>
  <c r="AE97" i="58"/>
  <c r="U17" i="32"/>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51" i="58" s="1"/>
  <c r="U46" i="58"/>
  <c r="W31" i="58"/>
  <c r="W34" i="58" s="1"/>
  <c r="W35" i="58" s="1"/>
  <c r="AH72" i="58"/>
  <c r="Y73" i="58"/>
  <c r="U19" i="32"/>
  <c r="N85" i="47"/>
  <c r="O85" i="47"/>
  <c r="P25" i="44"/>
  <c r="P26" i="44" s="1"/>
  <c r="W22" i="32"/>
  <c r="W34" i="32" s="1"/>
  <c r="W37" i="32" s="1"/>
  <c r="W24" i="32"/>
  <c r="W36" i="32" s="1"/>
  <c r="W23" i="32"/>
  <c r="W35" i="32" s="1"/>
  <c r="W38" i="32" s="1"/>
  <c r="Q35" i="44"/>
  <c r="X10" i="58"/>
  <c r="X23" i="58" s="1"/>
  <c r="X6" i="35"/>
  <c r="W45" i="32"/>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U49" i="58" l="1"/>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8" i="58"/>
  <c r="U237" i="58" s="1"/>
  <c r="U252" i="58" s="1"/>
  <c r="R115" i="47" s="1"/>
  <c r="U177" i="58"/>
  <c r="U236" i="58" s="1"/>
  <c r="U251" i="58" s="1"/>
  <c r="R113" i="47" s="1"/>
  <c r="U175" i="58"/>
  <c r="U234" i="58" s="1"/>
  <c r="U249" i="58" s="1"/>
  <c r="R111"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87"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152" i="58"/>
  <c r="W93" i="58"/>
  <c r="T215" i="58"/>
  <c r="T227" i="58" s="1"/>
  <c r="T265" i="58" s="1"/>
  <c r="Q125" i="47" s="1"/>
  <c r="T211" i="58"/>
  <c r="T223" i="58" s="1"/>
  <c r="T261" i="58" s="1"/>
  <c r="Q122" i="47" s="1"/>
  <c r="T214" i="58"/>
  <c r="T226" i="58" s="1"/>
  <c r="T264" i="58" s="1"/>
  <c r="Q119" i="47" s="1"/>
  <c r="T208" i="58"/>
  <c r="T216" i="58"/>
  <c r="T228" i="58" s="1"/>
  <c r="T266" i="58" s="1"/>
  <c r="Q123" i="47" s="1"/>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V17" i="32"/>
  <c r="V19" i="32"/>
  <c r="AA73" i="32"/>
  <c r="AA80" i="32" s="1"/>
  <c r="AB94" i="32"/>
  <c r="M84" i="47"/>
  <c r="Q48" i="29"/>
  <c r="S25" i="35"/>
  <c r="O6" i="47"/>
  <c r="R24" i="35"/>
  <c r="N9" i="47"/>
  <c r="N7" i="47"/>
  <c r="R26" i="35"/>
  <c r="N8" i="47"/>
  <c r="R23" i="35"/>
  <c r="N5" i="47"/>
  <c r="R22" i="35"/>
  <c r="U181" i="58" l="1"/>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11" i="58"/>
  <c r="U223" i="58" s="1"/>
  <c r="U261" i="58" s="1"/>
  <c r="R122" i="47" s="1"/>
  <c r="U215" i="58"/>
  <c r="U214" i="58"/>
  <c r="W153" i="58"/>
  <c r="X94" i="58"/>
  <c r="X98" i="58"/>
  <c r="W157" i="58"/>
  <c r="AK75" i="58"/>
  <c r="V174" i="58"/>
  <c r="V233" i="58" s="1"/>
  <c r="V248" i="58" s="1"/>
  <c r="S109"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U220"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V180" i="58" l="1"/>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58" i="58"/>
  <c r="Y99" i="58"/>
  <c r="Y159" i="58"/>
  <c r="Z100" i="58"/>
  <c r="Z24" i="58"/>
  <c r="X155" i="58"/>
  <c r="Y96" i="58"/>
  <c r="X49" i="58"/>
  <c r="V226" i="58"/>
  <c r="V264" i="58" s="1"/>
  <c r="S119" i="47" s="1"/>
  <c r="AI99"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Y45" i="58"/>
  <c r="Y43" i="58"/>
  <c r="Y49" i="58" s="1"/>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Y51" i="58" l="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Z50" i="58" s="1"/>
  <c r="X193" i="58"/>
  <c r="X194" i="58"/>
  <c r="X187" i="58"/>
  <c r="X221" i="58" s="1"/>
  <c r="X259" i="58" s="1"/>
  <c r="U120" i="47" s="1"/>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Y193" i="58"/>
  <c r="Y188" i="58"/>
  <c r="Y194" i="58"/>
  <c r="Y191" i="58"/>
  <c r="AJ94" i="58"/>
  <c r="W223" i="58"/>
  <c r="W261" i="58" s="1"/>
  <c r="T122" i="47" s="1"/>
  <c r="AM75" i="58"/>
  <c r="AN75" i="58" s="1"/>
  <c r="AO75" i="58" s="1"/>
  <c r="AP75" i="58" s="1"/>
  <c r="AQ75" i="58" s="1"/>
  <c r="AR75" i="58" s="1"/>
  <c r="AS75" i="58" s="1"/>
  <c r="AT75" i="58" s="1"/>
  <c r="AU75" i="58" s="1"/>
  <c r="Y178" i="58"/>
  <c r="Y174" i="58"/>
  <c r="Y180" i="58"/>
  <c r="Y175" i="58"/>
  <c r="Y179" i="58"/>
  <c r="Y176" i="58"/>
  <c r="Y182" i="58"/>
  <c r="Y241" i="58" s="1"/>
  <c r="Y256" i="58" s="1"/>
  <c r="V114" i="47" s="1"/>
  <c r="Y177" i="58"/>
  <c r="Y236" i="58" s="1"/>
  <c r="Y251" i="58" s="1"/>
  <c r="V113" i="47" s="1"/>
  <c r="Y181" i="58"/>
  <c r="Z154" i="58"/>
  <c r="AA95" i="58"/>
  <c r="AM73" i="58"/>
  <c r="AN73" i="58" s="1"/>
  <c r="AO73" i="58" s="1"/>
  <c r="AP73" i="58" s="1"/>
  <c r="AQ73" i="58" s="1"/>
  <c r="AR73" i="58" s="1"/>
  <c r="AS73" i="58" s="1"/>
  <c r="AT73" i="58" s="1"/>
  <c r="AU73" i="58" s="1"/>
  <c r="AA31" i="58"/>
  <c r="AA34" i="58" s="1"/>
  <c r="AA35" i="58" s="1"/>
  <c r="AA36" i="58" s="1"/>
  <c r="Y204" i="58"/>
  <c r="Y203" i="58"/>
  <c r="Y200" i="58"/>
  <c r="Y197" i="58"/>
  <c r="Y201" i="58"/>
  <c r="Y198" i="58"/>
  <c r="Y205" i="58"/>
  <c r="Y202" i="58"/>
  <c r="Y199" i="58"/>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Z43" i="58" l="1"/>
  <c r="Z4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Y210" i="58"/>
  <c r="Y222" i="58" s="1"/>
  <c r="Y260" i="58" s="1"/>
  <c r="V121" i="47" s="1"/>
  <c r="Y212" i="58"/>
  <c r="Y224" i="58" s="1"/>
  <c r="Y262" i="58" s="1"/>
  <c r="V124" i="47" s="1"/>
  <c r="Y211" i="58"/>
  <c r="Y209" i="58"/>
  <c r="Y215" i="58"/>
  <c r="Y214" i="58"/>
  <c r="Y226" i="58" s="1"/>
  <c r="Y264" i="58" s="1"/>
  <c r="V119" i="47" s="1"/>
  <c r="Y213" i="58"/>
  <c r="Y225" i="58" s="1"/>
  <c r="Y263" i="58" s="1"/>
  <c r="V126" i="47" s="1"/>
  <c r="Y208" i="58"/>
  <c r="Y220" i="58" s="1"/>
  <c r="Y53" i="58"/>
  <c r="Z46" i="58"/>
  <c r="Z52" i="58" s="1"/>
  <c r="Z212" i="58" s="1"/>
  <c r="W245" i="58"/>
  <c r="AA41" i="58"/>
  <c r="AA45" i="58" s="1"/>
  <c r="AA51" i="58" s="1"/>
  <c r="Y238" i="58"/>
  <c r="Y253" i="58" s="1"/>
  <c r="V117" i="47" s="1"/>
  <c r="Y240" i="58"/>
  <c r="Y255" i="58" s="1"/>
  <c r="V116" i="47" s="1"/>
  <c r="AB24" i="58"/>
  <c r="W258" i="58"/>
  <c r="T118" i="47" s="1"/>
  <c r="AA154" i="58"/>
  <c r="AA159" i="58"/>
  <c r="Y227" i="58"/>
  <c r="Y265" i="58" s="1"/>
  <c r="V125" i="47" s="1"/>
  <c r="Y237" i="58"/>
  <c r="Y252" i="58" s="1"/>
  <c r="V115" i="47" s="1"/>
  <c r="Z152" i="58"/>
  <c r="AA93" i="58"/>
  <c r="AA152" i="58" s="1"/>
  <c r="Y233" i="58"/>
  <c r="Y248" i="58" s="1"/>
  <c r="V109" i="47" s="1"/>
  <c r="AK92" i="58"/>
  <c r="Z198" i="58"/>
  <c r="Z204" i="58"/>
  <c r="Z200" i="58"/>
  <c r="Z202" i="58"/>
  <c r="Z203" i="58"/>
  <c r="Z201" i="58"/>
  <c r="Z199" i="58"/>
  <c r="Z197" i="58"/>
  <c r="Z205" i="58"/>
  <c r="Y221" i="58"/>
  <c r="Y259" i="58" s="1"/>
  <c r="V120" i="47" s="1"/>
  <c r="AK93" i="58"/>
  <c r="AM78" i="58"/>
  <c r="AN78" i="58" s="1"/>
  <c r="AO78" i="58" s="1"/>
  <c r="AP78" i="58" s="1"/>
  <c r="AQ78" i="58" s="1"/>
  <c r="AR78" i="58" s="1"/>
  <c r="AS78" i="58" s="1"/>
  <c r="AT78" i="58" s="1"/>
  <c r="AU78" i="58" s="1"/>
  <c r="Z153" i="58"/>
  <c r="AA94" i="58"/>
  <c r="AA153" i="58" s="1"/>
  <c r="Z193" i="58"/>
  <c r="Z192" i="58"/>
  <c r="Z191" i="58"/>
  <c r="Z194" i="58"/>
  <c r="Z189" i="58"/>
  <c r="Z190" i="58"/>
  <c r="Z188" i="58"/>
  <c r="Z186"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A43" i="58"/>
  <c r="AA49" i="58"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58" i="58"/>
  <c r="U118" i="47" s="1"/>
  <c r="Y239" i="58"/>
  <c r="Y254" i="58" s="1"/>
  <c r="V110" i="47" s="1"/>
  <c r="V35" i="44"/>
  <c r="AC10" i="58"/>
  <c r="AC23" i="58" s="1"/>
  <c r="U25" i="44"/>
  <c r="U26" i="44" s="1"/>
  <c r="P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Y223" i="58" l="1"/>
  <c r="Y261" i="58" s="1"/>
  <c r="V122" i="47" s="1"/>
  <c r="X245" i="58"/>
  <c r="AC24" i="58"/>
  <c r="Z213" i="58"/>
  <c r="Z225" i="58" s="1"/>
  <c r="Z263" i="58" s="1"/>
  <c r="W126" i="47" s="1"/>
  <c r="Z211" i="58"/>
  <c r="Z223" i="58" s="1"/>
  <c r="Z261" i="58" s="1"/>
  <c r="W122" i="47" s="1"/>
  <c r="Z210" i="58"/>
  <c r="Z53" i="58"/>
  <c r="Z209" i="58"/>
  <c r="Z221" i="58" s="1"/>
  <c r="Z259" i="58" s="1"/>
  <c r="W120" i="47" s="1"/>
  <c r="Z215" i="58"/>
  <c r="Z227" i="58" s="1"/>
  <c r="Z265" i="58" s="1"/>
  <c r="W125" i="47" s="1"/>
  <c r="Z214" i="58"/>
  <c r="Z226" i="58" s="1"/>
  <c r="Z264" i="58" s="1"/>
  <c r="W119" i="47" s="1"/>
  <c r="Z216" i="58"/>
  <c r="Z228" i="58" s="1"/>
  <c r="Z266" i="58" s="1"/>
  <c r="W123" i="47" s="1"/>
  <c r="AA46" i="58"/>
  <c r="AA52" i="58" s="1"/>
  <c r="AA214" i="58" s="1"/>
  <c r="Z208" i="58"/>
  <c r="Z220" i="58" s="1"/>
  <c r="Z258" i="58" s="1"/>
  <c r="W118" i="47" s="1"/>
  <c r="AA44" i="58"/>
  <c r="AA50" i="58" s="1"/>
  <c r="AA189" i="58" s="1"/>
  <c r="Z234" i="58"/>
  <c r="Z249" i="58" s="1"/>
  <c r="W111" i="47" s="1"/>
  <c r="AB35" i="58"/>
  <c r="AB156" i="58"/>
  <c r="AB158" i="58"/>
  <c r="AB153" i="58"/>
  <c r="AB152" i="58"/>
  <c r="AB154" i="58"/>
  <c r="AB159" i="58"/>
  <c r="AB151" i="58"/>
  <c r="AB155" i="58"/>
  <c r="AB157" i="58"/>
  <c r="Z224" i="58"/>
  <c r="Z262" i="58" s="1"/>
  <c r="W124" i="47" s="1"/>
  <c r="Z235" i="58"/>
  <c r="Z250" i="58" s="1"/>
  <c r="W112" i="47" s="1"/>
  <c r="Z238" i="58"/>
  <c r="Z253" i="58" s="1"/>
  <c r="W117" i="47" s="1"/>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Z222" i="58"/>
  <c r="Z260" i="58" s="1"/>
  <c r="W121"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K21" i="57" s="1"/>
  <c r="AB22" i="32"/>
  <c r="AB24" i="32"/>
  <c r="AB23" i="32"/>
  <c r="T22" i="32"/>
  <c r="T23" i="32"/>
  <c r="T35" i="32" s="1"/>
  <c r="T24" i="32"/>
  <c r="AC23" i="32"/>
  <c r="AC35" i="32" s="1"/>
  <c r="AC38" i="32" s="1"/>
  <c r="AC22" i="32"/>
  <c r="Z24" i="32"/>
  <c r="Z22" i="32"/>
  <c r="Z23" i="32"/>
  <c r="Z35" i="32" s="1"/>
  <c r="Z38" i="32" s="1"/>
  <c r="P5" i="29"/>
  <c r="P18" i="29" s="1"/>
  <c r="P28" i="29"/>
  <c r="P36" i="29" s="1"/>
  <c r="AF73" i="32"/>
  <c r="AF80" i="32" s="1"/>
  <c r="AG94" i="32"/>
  <c r="W26" i="35"/>
  <c r="S7" i="47"/>
  <c r="W24" i="35"/>
  <c r="S9" i="47"/>
  <c r="X25" i="35"/>
  <c r="T6" i="47"/>
  <c r="S5" i="47"/>
  <c r="W22" i="35"/>
  <c r="W23" i="35"/>
  <c r="S8" i="47"/>
  <c r="AA209" i="58" l="1"/>
  <c r="AA212" i="58"/>
  <c r="J21" i="57"/>
  <c r="S32" i="57" s="1"/>
  <c r="AA216" i="58"/>
  <c r="AA208" i="58"/>
  <c r="AA210" i="58"/>
  <c r="AA213" i="58"/>
  <c r="AA211" i="58"/>
  <c r="AA223" i="58" s="1"/>
  <c r="AA261" i="58" s="1"/>
  <c r="X122" i="47" s="1"/>
  <c r="AA215" i="58"/>
  <c r="AA192" i="58"/>
  <c r="AA226" i="58" s="1"/>
  <c r="AA264" i="58" s="1"/>
  <c r="X119" i="47" s="1"/>
  <c r="AA190" i="58"/>
  <c r="AA224" i="58" s="1"/>
  <c r="AA262" i="58" s="1"/>
  <c r="X124" i="47" s="1"/>
  <c r="AA188" i="58"/>
  <c r="AA222" i="58" s="1"/>
  <c r="AA260" i="58" s="1"/>
  <c r="X121" i="47" s="1"/>
  <c r="AA193" i="58"/>
  <c r="AA53" i="58"/>
  <c r="AA191" i="58"/>
  <c r="AA194" i="58"/>
  <c r="AA228" i="58" s="1"/>
  <c r="AA266" i="58" s="1"/>
  <c r="X123" i="47" s="1"/>
  <c r="AA187" i="58"/>
  <c r="AA186" i="58"/>
  <c r="AA220" i="58" s="1"/>
  <c r="AA258" i="58" s="1"/>
  <c r="X118" i="47" s="1"/>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P24" i="29"/>
  <c r="P17" i="29"/>
  <c r="P23" i="29" s="1"/>
  <c r="P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B32" i="57" l="1"/>
  <c r="AB56" i="57" s="1"/>
  <c r="AB58" i="57" s="1"/>
  <c r="J32" i="57"/>
  <c r="AB59" i="57"/>
  <c r="AB61"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P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B109" i="57" l="1"/>
  <c r="J109" i="57"/>
  <c r="S58" i="57"/>
  <c r="J58" i="57" s="1"/>
  <c r="J56" i="57"/>
  <c r="AB60" i="57"/>
  <c r="AB87" i="57"/>
  <c r="S111" i="57"/>
  <c r="S59" i="57"/>
  <c r="S60" i="57" s="1"/>
  <c r="S61"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1" i="32"/>
  <c r="AB48" i="29"/>
  <c r="P84" i="47"/>
  <c r="AJ94" i="32"/>
  <c r="AI73" i="32"/>
  <c r="AI80" i="32" s="1"/>
  <c r="Q108" i="47"/>
  <c r="U51" i="29"/>
  <c r="Z23" i="35"/>
  <c r="V8" i="47"/>
  <c r="V5" i="47"/>
  <c r="Z22" i="35"/>
  <c r="V7" i="47"/>
  <c r="Z26" i="35"/>
  <c r="Z24" i="35"/>
  <c r="V9" i="47"/>
  <c r="W6" i="47"/>
  <c r="AA25" i="35"/>
  <c r="J59" i="57" l="1"/>
  <c r="J60" i="57" s="1"/>
  <c r="AG24" i="58"/>
  <c r="AB111" i="57"/>
  <c r="J111" i="57" s="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221" i="58" s="1"/>
  <c r="AE259" i="58" s="1"/>
  <c r="AB120" i="47" s="1"/>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7" i="58" l="1"/>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21" i="32"/>
  <c r="AL21" i="32"/>
  <c r="AM6" i="35"/>
  <c r="R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K15" i="57" l="1"/>
  <c r="K13" i="57"/>
  <c r="K14" i="57"/>
  <c r="AJ19" i="32"/>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M7" i="56"/>
  <c r="M8" i="56"/>
  <c r="U8" i="56" s="1"/>
  <c r="AC8" i="56" s="1"/>
  <c r="M9" i="56"/>
  <c r="U9" i="56" s="1"/>
  <c r="AC9" i="56" s="1"/>
  <c r="J7" i="56"/>
  <c r="J8" i="56"/>
  <c r="J9" i="56"/>
  <c r="R9" i="56" s="1"/>
  <c r="AN36" i="32"/>
  <c r="I24" i="32"/>
  <c r="I36" i="32" s="1"/>
  <c r="AO24" i="32"/>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7" i="58" l="1"/>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R8" i="56"/>
  <c r="J104" i="56"/>
  <c r="T88" i="56" s="1"/>
  <c r="AB88" i="56" s="1"/>
  <c r="R37" i="55"/>
  <c r="N134" i="47"/>
  <c r="R7" i="56"/>
  <c r="J60" i="56"/>
  <c r="L60" i="56" s="1"/>
  <c r="J43" i="56"/>
  <c r="R43" i="56" s="1"/>
  <c r="J48" i="56"/>
  <c r="Q27" i="55"/>
  <c r="M16" i="57"/>
  <c r="AP20" i="55"/>
  <c r="Q36" i="55"/>
  <c r="AP18" i="55"/>
  <c r="AO18" i="55"/>
  <c r="AL23" i="32"/>
  <c r="R32" i="55"/>
  <c r="N131" i="47"/>
  <c r="V7" i="56"/>
  <c r="AO16" i="55"/>
  <c r="AP16" i="55"/>
  <c r="AO35" i="32"/>
  <c r="AO38" i="32" s="1"/>
  <c r="AP23" i="32"/>
  <c r="S28" i="55"/>
  <c r="H24" i="32"/>
  <c r="H36" i="32" s="1"/>
  <c r="AL36" i="32"/>
  <c r="Q31" i="55"/>
  <c r="I46" i="32"/>
  <c r="H46" i="32" s="1"/>
  <c r="I66" i="32"/>
  <c r="I68" i="32"/>
  <c r="I69" i="32"/>
  <c r="I67" i="32"/>
  <c r="I64" i="32"/>
  <c r="I65" i="32"/>
  <c r="I50" i="32"/>
  <c r="I63" i="32"/>
  <c r="U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N17" i="32"/>
  <c r="AO12" i="55"/>
  <c r="AP12" i="55"/>
  <c r="AM36" i="32"/>
  <c r="L21" i="57"/>
  <c r="U32" i="57" s="1"/>
  <c r="L32" i="57" s="1"/>
  <c r="H63" i="32"/>
  <c r="H64" i="32"/>
  <c r="H68" i="32"/>
  <c r="H69" i="32"/>
  <c r="H65" i="32"/>
  <c r="H66" i="32"/>
  <c r="H67" i="32"/>
  <c r="H50" i="32"/>
  <c r="R33" i="55"/>
  <c r="N130" i="4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O34" i="32"/>
  <c r="AO37" i="32" s="1"/>
  <c r="AO25" i="32"/>
  <c r="AO17" i="32" s="1"/>
  <c r="AP22" i="32"/>
  <c r="AP11" i="55"/>
  <c r="Q18" i="29"/>
  <c r="Q17" i="29"/>
  <c r="Q16" i="29"/>
  <c r="AK19" i="32"/>
  <c r="R34" i="55"/>
  <c r="N128" i="4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43" i="56" l="1"/>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109"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S123" i="56"/>
  <c r="R144" i="56" s="1"/>
  <c r="M99" i="47" s="1"/>
  <c r="AO29" i="55"/>
  <c r="AP29" i="55" s="1"/>
  <c r="AO38" i="55"/>
  <c r="AP38" i="55" s="1"/>
  <c r="AM17" i="32"/>
  <c r="AO26" i="55"/>
  <c r="AP26" i="55" s="1"/>
  <c r="AL68" i="32"/>
  <c r="AM68" i="32" s="1"/>
  <c r="AC68" i="32"/>
  <c r="AD68" i="32" s="1"/>
  <c r="AE68" i="32" s="1"/>
  <c r="AF68" i="32" s="1"/>
  <c r="AG68" i="32" s="1"/>
  <c r="AH68" i="32" s="1"/>
  <c r="AI68" i="32" s="1"/>
  <c r="AJ68" i="32" s="1"/>
  <c r="AK68" i="32" s="1"/>
  <c r="AB7" i="56"/>
  <c r="AD93" i="57"/>
  <c r="AD75" i="57"/>
  <c r="AL64" i="32"/>
  <c r="AM64" i="32" s="1"/>
  <c r="AC64" i="32"/>
  <c r="AD64" i="32" s="1"/>
  <c r="AE64" i="32" s="1"/>
  <c r="AF64" i="32" s="1"/>
  <c r="AG64" i="32" s="1"/>
  <c r="AH64" i="32" s="1"/>
  <c r="AI64" i="32" s="1"/>
  <c r="AJ64" i="32" s="1"/>
  <c r="AK64" i="32" s="1"/>
  <c r="AP34" i="32"/>
  <c r="AP37" i="32" s="1"/>
  <c r="AP25" i="32"/>
  <c r="AP19" i="32" s="1"/>
  <c r="AC75" i="57"/>
  <c r="AC93" i="57"/>
  <c r="AL63" i="32"/>
  <c r="AM63" i="32" s="1"/>
  <c r="AC63" i="32"/>
  <c r="AD63" i="32" s="1"/>
  <c r="AE63" i="32" s="1"/>
  <c r="AF63" i="32" s="1"/>
  <c r="AG63" i="32" s="1"/>
  <c r="AH63" i="32" s="1"/>
  <c r="AI63" i="32" s="1"/>
  <c r="AJ63" i="32" s="1"/>
  <c r="AK63" i="32" s="1"/>
  <c r="AO19" i="32"/>
  <c r="AO18" i="32"/>
  <c r="AM19" i="32"/>
  <c r="S34" i="55"/>
  <c r="O128" i="47"/>
  <c r="Q22" i="29"/>
  <c r="R16" i="29"/>
  <c r="R22" i="29" s="1"/>
  <c r="Q23" i="29"/>
  <c r="R17" i="29"/>
  <c r="R23" i="29" s="1"/>
  <c r="AL67" i="32"/>
  <c r="AM67" i="32" s="1"/>
  <c r="AC67" i="32"/>
  <c r="AD67" i="32" s="1"/>
  <c r="AE67" i="32" s="1"/>
  <c r="AF67" i="32" s="1"/>
  <c r="AG67" i="32" s="1"/>
  <c r="AH67" i="32" s="1"/>
  <c r="AI67" i="32" s="1"/>
  <c r="AJ67" i="32" s="1"/>
  <c r="AK67" i="32" s="1"/>
  <c r="Q24" i="29"/>
  <c r="R18" i="29"/>
  <c r="R24" i="29" s="1"/>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AN65" i="32"/>
  <c r="AO65" i="32" s="1"/>
  <c r="AP65" i="32" s="1"/>
  <c r="Z7" i="56"/>
  <c r="AN64" i="32"/>
  <c r="AO64" i="32" s="1"/>
  <c r="AP64" i="32" s="1"/>
  <c r="AP35" i="32"/>
  <c r="AP38" i="32" s="1"/>
  <c r="AN67" i="32"/>
  <c r="AO67" i="32" s="1"/>
  <c r="AP67" i="32" s="1"/>
  <c r="AD7" i="56"/>
  <c r="AN69" i="32"/>
  <c r="AO69" i="32" s="1"/>
  <c r="AP69" i="32" s="1"/>
  <c r="AC7" i="56"/>
  <c r="AN68" i="32"/>
  <c r="AO68" i="32" s="1"/>
  <c r="AP68" i="32" s="1"/>
  <c r="R31" i="55"/>
  <c r="N129" i="47"/>
  <c r="AN66" i="32"/>
  <c r="AO66" i="32" s="1"/>
  <c r="AP66" i="32" s="1"/>
  <c r="S33" i="55"/>
  <c r="O130" i="47"/>
  <c r="AL34" i="32"/>
  <c r="AL37" i="32" s="1"/>
  <c r="H22" i="32"/>
  <c r="AL25" i="32"/>
  <c r="AL19" i="32" s="1"/>
  <c r="S32" i="55"/>
  <c r="O131" i="47"/>
  <c r="AE93" i="57"/>
  <c r="AE75" i="57"/>
  <c r="L48" i="56"/>
  <c r="S37" i="55"/>
  <c r="O134" i="47"/>
  <c r="J88" i="56"/>
  <c r="L104" i="56"/>
  <c r="V88" i="56" s="1"/>
  <c r="AD88" i="56" s="1"/>
  <c r="AN63" i="32"/>
  <c r="AO63" i="32" s="1"/>
  <c r="AP63" i="32" s="1"/>
  <c r="T28" i="55"/>
  <c r="P127" i="47"/>
  <c r="AL35" i="32"/>
  <c r="AL38" i="32" s="1"/>
  <c r="H23" i="32"/>
  <c r="H35" i="32" s="1"/>
  <c r="H38" i="32" s="1"/>
  <c r="R27" i="55"/>
  <c r="N135" i="47"/>
  <c r="J92" i="56"/>
  <c r="J76" i="56" s="1"/>
  <c r="L43" i="56"/>
  <c r="AC171" i="56" s="1"/>
  <c r="AL65" i="32"/>
  <c r="AM65" i="32" s="1"/>
  <c r="AC65" i="32"/>
  <c r="AD65" i="32" s="1"/>
  <c r="AE65" i="32" s="1"/>
  <c r="AF65" i="32" s="1"/>
  <c r="AG65" i="32" s="1"/>
  <c r="AH65" i="32" s="1"/>
  <c r="AI65" i="32" s="1"/>
  <c r="AJ65" i="32" s="1"/>
  <c r="AK65" i="32"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U43" i="56" l="1"/>
  <c r="T76" i="56"/>
  <c r="T92" i="56" s="1"/>
  <c r="T111" i="57"/>
  <c r="U111" i="57"/>
  <c r="V87" i="57"/>
  <c r="V56" i="57"/>
  <c r="T58"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T123" i="56"/>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S111" i="56"/>
  <c r="R132" i="56" s="1"/>
  <c r="M87" i="47" s="1"/>
  <c r="Q183" i="56"/>
  <c r="J100" i="56"/>
  <c r="J84" i="56" s="1"/>
  <c r="AC179" i="56"/>
  <c r="L98" i="56"/>
  <c r="L82" i="56" s="1"/>
  <c r="M48" i="56"/>
  <c r="AL17" i="32"/>
  <c r="J94" i="56"/>
  <c r="J78" i="56" s="1"/>
  <c r="AC173" i="56"/>
  <c r="L94" i="56"/>
  <c r="L78" i="56" s="1"/>
  <c r="H34" i="32"/>
  <c r="H37" i="32" s="1"/>
  <c r="H25" i="32"/>
  <c r="H31" i="32" s="1"/>
  <c r="S31" i="55"/>
  <c r="O129" i="47"/>
  <c r="R59" i="56"/>
  <c r="R57" i="56"/>
  <c r="R56" i="56"/>
  <c r="R51" i="56"/>
  <c r="R53" i="56"/>
  <c r="R55" i="56"/>
  <c r="R52" i="56"/>
  <c r="R54" i="56"/>
  <c r="R58" i="56"/>
  <c r="AC175" i="56"/>
  <c r="J96" i="56"/>
  <c r="J80" i="56" s="1"/>
  <c r="L95" i="56"/>
  <c r="L79" i="56" s="1"/>
  <c r="J98" i="56"/>
  <c r="J82" i="56" s="1"/>
  <c r="AC177" i="56"/>
  <c r="S36" i="55"/>
  <c r="O133" i="47"/>
  <c r="J95" i="56"/>
  <c r="J79" i="56" s="1"/>
  <c r="AC174" i="56"/>
  <c r="M51" i="56"/>
  <c r="AM173" i="56" s="1"/>
  <c r="M57" i="56"/>
  <c r="AM179" i="56" s="1"/>
  <c r="M52" i="56"/>
  <c r="AM174" i="56" s="1"/>
  <c r="M55" i="56"/>
  <c r="AM177" i="56" s="1"/>
  <c r="M58" i="56"/>
  <c r="AM180" i="56" s="1"/>
  <c r="M53" i="56"/>
  <c r="AM175" i="56" s="1"/>
  <c r="M56" i="56"/>
  <c r="AM178" i="56" s="1"/>
  <c r="M54" i="56"/>
  <c r="AM176" i="56" s="1"/>
  <c r="M59" i="56"/>
  <c r="N60" i="56"/>
  <c r="U28" i="55"/>
  <c r="Q127" i="47"/>
  <c r="P130" i="47"/>
  <c r="T33" i="55"/>
  <c r="AC176" i="56"/>
  <c r="J97" i="56"/>
  <c r="J81" i="56" s="1"/>
  <c r="L102" i="56"/>
  <c r="L86" i="56"/>
  <c r="AR78" i="56" s="1"/>
  <c r="T32" i="55"/>
  <c r="P131" i="47"/>
  <c r="R57" i="57"/>
  <c r="I57" i="57" s="1"/>
  <c r="J102" i="56"/>
  <c r="J86" i="56"/>
  <c r="AQ78" i="56" s="1"/>
  <c r="L88" i="56"/>
  <c r="M104" i="56"/>
  <c r="L96" i="56"/>
  <c r="L80" i="56" s="1"/>
  <c r="T34" i="55"/>
  <c r="P128" i="47"/>
  <c r="AP17" i="32"/>
  <c r="L92" i="56"/>
  <c r="L76" i="56" s="1"/>
  <c r="M43" i="56"/>
  <c r="AM171" i="56" s="1"/>
  <c r="L100" i="56"/>
  <c r="L84" i="56" s="1"/>
  <c r="L101" i="56"/>
  <c r="L85" i="56" s="1"/>
  <c r="O135" i="47"/>
  <c r="S27" i="55"/>
  <c r="AC180" i="56"/>
  <c r="J101" i="56"/>
  <c r="J85" i="56" s="1"/>
  <c r="L97" i="56"/>
  <c r="L81" i="56" s="1"/>
  <c r="J99" i="56"/>
  <c r="J83" i="56" s="1"/>
  <c r="AC178" i="56"/>
  <c r="L99" i="56"/>
  <c r="L83" i="56" s="1"/>
  <c r="T37" i="55"/>
  <c r="P134" i="47"/>
  <c r="AJ25" i="35"/>
  <c r="AF6" i="47"/>
  <c r="AE8" i="47"/>
  <c r="AI23" i="35"/>
  <c r="AE5" i="47"/>
  <c r="AI22" i="35"/>
  <c r="AI24" i="35"/>
  <c r="AE9" i="47"/>
  <c r="AE7" i="47"/>
  <c r="AI26" i="35"/>
  <c r="R82" i="56" l="1"/>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K50" i="57" s="1"/>
  <c r="T59" i="57"/>
  <c r="T60" i="57" s="1"/>
  <c r="T61" i="57"/>
  <c r="R58" i="57"/>
  <c r="S144" i="56"/>
  <c r="R183"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L205" i="58"/>
  <c r="AK226" i="58"/>
  <c r="AK264" i="58" s="1"/>
  <c r="AH119" i="47" s="1"/>
  <c r="AK222" i="58"/>
  <c r="AK260" i="58" s="1"/>
  <c r="AH121" i="47" s="1"/>
  <c r="AP23" i="58"/>
  <c r="AK228" i="58"/>
  <c r="AK266" i="58" s="1"/>
  <c r="AH123" i="47" s="1"/>
  <c r="AO31" i="58"/>
  <c r="AO34" i="58" s="1"/>
  <c r="AQ77" i="56"/>
  <c r="AR77" i="56"/>
  <c r="AD178" i="56"/>
  <c r="AE178" i="56" s="1"/>
  <c r="AF178" i="56" s="1"/>
  <c r="AG178" i="56" s="1"/>
  <c r="AH178" i="56" s="1"/>
  <c r="AI178" i="56" s="1"/>
  <c r="AJ178" i="56" s="1"/>
  <c r="AK178" i="56" s="1"/>
  <c r="AL178" i="56"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T111" i="56"/>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D171" i="56"/>
  <c r="AE171" i="56" s="1"/>
  <c r="AF171" i="56" s="1"/>
  <c r="AG171" i="56" s="1"/>
  <c r="AH171" i="56" s="1"/>
  <c r="AI171" i="56" s="1"/>
  <c r="AJ171" i="56" s="1"/>
  <c r="AK171" i="56" s="1"/>
  <c r="AL171" i="56" s="1"/>
  <c r="AD177" i="56"/>
  <c r="AE177" i="56" s="1"/>
  <c r="AF177" i="56" s="1"/>
  <c r="AG177" i="56" s="1"/>
  <c r="AH177" i="56" s="1"/>
  <c r="AI177" i="56" s="1"/>
  <c r="AJ177" i="56" s="1"/>
  <c r="AK177" i="56" s="1"/>
  <c r="AL177" i="56" s="1"/>
  <c r="S118" i="56"/>
  <c r="R139" i="56" s="1"/>
  <c r="M94" i="47" s="1"/>
  <c r="S115" i="56"/>
  <c r="R136" i="56" s="1"/>
  <c r="M91" i="47" s="1"/>
  <c r="S116" i="56"/>
  <c r="R137" i="56" s="1"/>
  <c r="M92" i="47" s="1"/>
  <c r="S114" i="56"/>
  <c r="R135" i="56" s="1"/>
  <c r="M90" i="47" s="1"/>
  <c r="S113" i="56"/>
  <c r="R134" i="56" s="1"/>
  <c r="M89" i="47" s="1"/>
  <c r="S120" i="56"/>
  <c r="R141" i="56" s="1"/>
  <c r="M96" i="47" s="1"/>
  <c r="S119" i="56"/>
  <c r="R140" i="56" s="1"/>
  <c r="M95" i="47" s="1"/>
  <c r="S121" i="56"/>
  <c r="R142" i="56" s="1"/>
  <c r="M97" i="47" s="1"/>
  <c r="S117" i="56"/>
  <c r="R138" i="56" s="1"/>
  <c r="M93" i="47" s="1"/>
  <c r="M98" i="56"/>
  <c r="R127" i="47"/>
  <c r="V28" i="55"/>
  <c r="M95" i="56"/>
  <c r="M100" i="56"/>
  <c r="M94" i="56"/>
  <c r="T31" i="55"/>
  <c r="P129" i="47"/>
  <c r="N48" i="56"/>
  <c r="N51" i="56"/>
  <c r="AN173" i="56" s="1"/>
  <c r="N59" i="56"/>
  <c r="N52" i="56"/>
  <c r="AN174" i="56" s="1"/>
  <c r="N53" i="56"/>
  <c r="N56" i="56"/>
  <c r="AN178" i="56" s="1"/>
  <c r="N58" i="56"/>
  <c r="AN180" i="56" s="1"/>
  <c r="AO180" i="56" s="1"/>
  <c r="AP180" i="56" s="1"/>
  <c r="AQ180" i="56" s="1"/>
  <c r="N54" i="56"/>
  <c r="N57" i="56"/>
  <c r="AN179" i="56" s="1"/>
  <c r="AO179" i="56" s="1"/>
  <c r="AP179" i="56" s="1"/>
  <c r="AQ179"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V92" i="56" l="1"/>
  <c r="T86" i="56"/>
  <c r="AL78" i="56" s="1"/>
  <c r="R59" i="57"/>
  <c r="I58" i="57"/>
  <c r="AM43" i="58"/>
  <c r="AD49" i="57"/>
  <c r="L49" i="57" s="1"/>
  <c r="R61" i="57"/>
  <c r="AM46" i="58"/>
  <c r="AM52" i="58" s="1"/>
  <c r="AM44" i="58"/>
  <c r="AM50" i="58" s="1"/>
  <c r="AM191" i="58" s="1"/>
  <c r="U57" i="57"/>
  <c r="N99" i="47"/>
  <c r="S132" i="56"/>
  <c r="N87" i="47" s="1"/>
  <c r="U111" i="56"/>
  <c r="T144"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M181" i="58"/>
  <c r="AM240" i="58" s="1"/>
  <c r="AK245" i="58"/>
  <c r="AK258" i="58"/>
  <c r="AH118" i="47" s="1"/>
  <c r="AQ23" i="58"/>
  <c r="AP31" i="58"/>
  <c r="AP34" i="58" s="1"/>
  <c r="AK77" i="56"/>
  <c r="AK80" i="56" s="1"/>
  <c r="AK81" i="56" s="1"/>
  <c r="AN176" i="56"/>
  <c r="AO176" i="56" s="1"/>
  <c r="AP176" i="56" s="1"/>
  <c r="AQ176" i="56" s="1"/>
  <c r="M78" i="56"/>
  <c r="M83" i="56"/>
  <c r="M84" i="56"/>
  <c r="M80" i="56"/>
  <c r="M82" i="56"/>
  <c r="M85" i="56"/>
  <c r="M79" i="56"/>
  <c r="M81" i="56"/>
  <c r="M76" i="56"/>
  <c r="AO178" i="56"/>
  <c r="AP178" i="56" s="1"/>
  <c r="AQ178" i="56" s="1"/>
  <c r="AN175" i="56"/>
  <c r="AO175" i="56" s="1"/>
  <c r="AP175" i="56" s="1"/>
  <c r="AQ175" i="56" s="1"/>
  <c r="AO174" i="56"/>
  <c r="AP174" i="56" s="1"/>
  <c r="AQ174" i="56" s="1"/>
  <c r="T120" i="56"/>
  <c r="T117" i="56"/>
  <c r="AN171" i="56"/>
  <c r="AO171" i="56" s="1"/>
  <c r="AP171" i="56" s="1"/>
  <c r="AQ171" i="56" s="1"/>
  <c r="T119" i="56"/>
  <c r="AN177" i="56"/>
  <c r="AO177" i="56" s="1"/>
  <c r="AP177" i="56" s="1"/>
  <c r="AQ177" i="56" s="1"/>
  <c r="T118" i="56"/>
  <c r="AE48" i="29"/>
  <c r="AB84" i="47" s="1"/>
  <c r="AE50" i="29"/>
  <c r="AB86" i="47" s="1"/>
  <c r="AO173" i="56"/>
  <c r="AP173" i="56" s="1"/>
  <c r="AQ173" i="56" s="1"/>
  <c r="T121" i="56"/>
  <c r="AC108" i="47"/>
  <c r="AG51" i="29"/>
  <c r="AA85" i="47"/>
  <c r="AE49" i="29"/>
  <c r="T116" i="56"/>
  <c r="T115" i="56"/>
  <c r="T113" i="56"/>
  <c r="Q181"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D50" i="57"/>
  <c r="L50" i="57" s="1"/>
  <c r="AD57" i="57"/>
  <c r="AC51" i="57"/>
  <c r="K51" i="57" s="1"/>
  <c r="AC110" i="57"/>
  <c r="K110" i="57" s="1"/>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AM194" i="58" l="1"/>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28" i="58" s="1"/>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S142" i="56"/>
  <c r="N97" i="47" s="1"/>
  <c r="U121" i="56"/>
  <c r="S134" i="56"/>
  <c r="N89" i="47" s="1"/>
  <c r="U113" i="56"/>
  <c r="S141" i="56"/>
  <c r="N96" i="47" s="1"/>
  <c r="U120" i="56"/>
  <c r="S136" i="56"/>
  <c r="N91" i="47" s="1"/>
  <c r="U115" i="56"/>
  <c r="S138" i="56"/>
  <c r="N93" i="47" s="1"/>
  <c r="U117" i="56"/>
  <c r="U144" i="56"/>
  <c r="W123" i="56"/>
  <c r="S137" i="56"/>
  <c r="N92" i="47" s="1"/>
  <c r="U116" i="56"/>
  <c r="S183" i="56"/>
  <c r="O99" i="47"/>
  <c r="S139" i="56"/>
  <c r="N94" i="47" s="1"/>
  <c r="U118" i="56"/>
  <c r="S135" i="56"/>
  <c r="N90" i="47" s="1"/>
  <c r="U114" i="56"/>
  <c r="S140" i="56"/>
  <c r="N95" i="47" s="1"/>
  <c r="U119" i="56"/>
  <c r="T132" i="56"/>
  <c r="O87" i="47" s="1"/>
  <c r="V111" i="56"/>
  <c r="AL221" i="58"/>
  <c r="AL259" i="58" s="1"/>
  <c r="AI120" i="47" s="1"/>
  <c r="AM177" i="58"/>
  <c r="AM236" i="58" s="1"/>
  <c r="AM204" i="58"/>
  <c r="AM203" i="58"/>
  <c r="AM200" i="58"/>
  <c r="AM198" i="58"/>
  <c r="AM199" i="58"/>
  <c r="AM222" i="58" s="1"/>
  <c r="AM201" i="58"/>
  <c r="AM53" i="58"/>
  <c r="AM197" i="58"/>
  <c r="AM220" i="58" s="1"/>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M223"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4" i="58" l="1"/>
  <c r="V86" i="56"/>
  <c r="AN78" i="56" s="1"/>
  <c r="AD92" i="56"/>
  <c r="M49" i="57"/>
  <c r="V50" i="57"/>
  <c r="V110" i="57" s="1"/>
  <c r="V57" i="57"/>
  <c r="AE57" i="57"/>
  <c r="AE50" i="57"/>
  <c r="AM227" i="58"/>
  <c r="AM221" i="58"/>
  <c r="AM245" i="58" s="1"/>
  <c r="AM226" i="58"/>
  <c r="U61" i="57"/>
  <c r="R181" i="56"/>
  <c r="T139" i="56"/>
  <c r="O94" i="47" s="1"/>
  <c r="V118" i="56"/>
  <c r="T137" i="56"/>
  <c r="O92" i="47" s="1"/>
  <c r="V116" i="56"/>
  <c r="U132" i="56"/>
  <c r="P87" i="47" s="1"/>
  <c r="W111" i="56"/>
  <c r="V144" i="56"/>
  <c r="X123" i="56"/>
  <c r="T141" i="56"/>
  <c r="O96" i="47" s="1"/>
  <c r="V120" i="56"/>
  <c r="T183" i="56"/>
  <c r="P99" i="47"/>
  <c r="T140" i="56"/>
  <c r="O95" i="47" s="1"/>
  <c r="V119" i="56"/>
  <c r="T138" i="56"/>
  <c r="O93" i="47" s="1"/>
  <c r="V117" i="56"/>
  <c r="T134" i="56"/>
  <c r="O89" i="47" s="1"/>
  <c r="V113" i="56"/>
  <c r="T135" i="56"/>
  <c r="O90" i="47" s="1"/>
  <c r="V114" i="56"/>
  <c r="T142" i="56"/>
  <c r="V121" i="56"/>
  <c r="T136"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57" i="57" l="1"/>
  <c r="V58" i="57"/>
  <c r="V59" i="57" s="1"/>
  <c r="V60" i="57" s="1"/>
  <c r="V162" i="57"/>
  <c r="V51" i="57"/>
  <c r="M50" i="57"/>
  <c r="AE110" i="57"/>
  <c r="M110" i="57" s="1"/>
  <c r="AE51" i="57"/>
  <c r="M51" i="57" s="1"/>
  <c r="V111" i="57"/>
  <c r="Q99" i="47"/>
  <c r="U183" i="56"/>
  <c r="U134" i="56"/>
  <c r="P89" i="47" s="1"/>
  <c r="W113" i="56"/>
  <c r="V132" i="56"/>
  <c r="Q87" i="47" s="1"/>
  <c r="X111" i="56"/>
  <c r="U138" i="56"/>
  <c r="P93" i="47" s="1"/>
  <c r="W117" i="56"/>
  <c r="U137" i="56"/>
  <c r="P92" i="47" s="1"/>
  <c r="W116" i="56"/>
  <c r="U140" i="56"/>
  <c r="P95" i="47" s="1"/>
  <c r="W119" i="56"/>
  <c r="U135" i="56"/>
  <c r="P90" i="47" s="1"/>
  <c r="W114" i="56"/>
  <c r="U136" i="56"/>
  <c r="P91" i="47" s="1"/>
  <c r="W115" i="56"/>
  <c r="U139" i="56"/>
  <c r="P94" i="47" s="1"/>
  <c r="W118" i="56"/>
  <c r="W144" i="56"/>
  <c r="Y123" i="56"/>
  <c r="U142" i="56"/>
  <c r="W121" i="56"/>
  <c r="U141" i="56"/>
  <c r="P96" i="47" s="1"/>
  <c r="W120" i="56"/>
  <c r="S181"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V142" i="56"/>
  <c r="X121" i="56"/>
  <c r="V140" i="56"/>
  <c r="Q95" i="47" s="1"/>
  <c r="X119" i="56"/>
  <c r="T181" i="56"/>
  <c r="P97" i="47"/>
  <c r="X144" i="56"/>
  <c r="Z123" i="56"/>
  <c r="V137" i="56"/>
  <c r="Q92" i="47" s="1"/>
  <c r="X116" i="56"/>
  <c r="R99" i="47"/>
  <c r="V183" i="56"/>
  <c r="V139" i="56"/>
  <c r="Q94" i="47" s="1"/>
  <c r="X118" i="56"/>
  <c r="V138" i="56"/>
  <c r="Q93" i="47" s="1"/>
  <c r="X117" i="56"/>
  <c r="V136" i="56"/>
  <c r="Q91" i="47" s="1"/>
  <c r="X115" i="56"/>
  <c r="W132" i="56"/>
  <c r="R87" i="47" s="1"/>
  <c r="Y111" i="56"/>
  <c r="V135" i="56"/>
  <c r="Q90" i="47" s="1"/>
  <c r="X114" i="56"/>
  <c r="X113" i="56"/>
  <c r="V134" i="56"/>
  <c r="Q89" i="47" s="1"/>
  <c r="V141"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W137" i="56"/>
  <c r="R92" i="47" s="1"/>
  <c r="X132" i="56"/>
  <c r="S87" i="47" s="1"/>
  <c r="Z111" i="56"/>
  <c r="Y144" i="56"/>
  <c r="AA123" i="56"/>
  <c r="S99" i="47"/>
  <c r="W183" i="56"/>
  <c r="Y120" i="56"/>
  <c r="W141" i="56"/>
  <c r="R96" i="47" s="1"/>
  <c r="W136" i="56"/>
  <c r="R91" i="47" s="1"/>
  <c r="Y115" i="56"/>
  <c r="W138" i="56"/>
  <c r="R93" i="47" s="1"/>
  <c r="Y117" i="56"/>
  <c r="Y119" i="56"/>
  <c r="W140" i="56"/>
  <c r="R95" i="47" s="1"/>
  <c r="W135" i="56"/>
  <c r="R90" i="47" s="1"/>
  <c r="Y114" i="56"/>
  <c r="W139" i="56"/>
  <c r="R94" i="47" s="1"/>
  <c r="Y118" i="56"/>
  <c r="W142" i="56"/>
  <c r="Y121" i="56"/>
  <c r="W134" i="56"/>
  <c r="R89" i="47" s="1"/>
  <c r="Y113" i="56"/>
  <c r="Q97" i="47"/>
  <c r="U181"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3" i="56"/>
  <c r="Y132" i="56"/>
  <c r="T87" i="47" s="1"/>
  <c r="AA111" i="56"/>
  <c r="AB123" i="56"/>
  <c r="Z144" i="56"/>
  <c r="X140" i="56"/>
  <c r="S95" i="47" s="1"/>
  <c r="Z119" i="56"/>
  <c r="X138" i="56"/>
  <c r="S93" i="47" s="1"/>
  <c r="Z117" i="56"/>
  <c r="X134" i="56"/>
  <c r="S89" i="47" s="1"/>
  <c r="Z113" i="56"/>
  <c r="X136" i="56"/>
  <c r="S91" i="47" s="1"/>
  <c r="Z115" i="56"/>
  <c r="X142" i="56"/>
  <c r="Z121" i="56"/>
  <c r="R97" i="47"/>
  <c r="V181" i="56"/>
  <c r="Z120" i="56"/>
  <c r="X141" i="56"/>
  <c r="S96" i="47" s="1"/>
  <c r="X137" i="56"/>
  <c r="S92" i="47" s="1"/>
  <c r="Z116" i="56"/>
  <c r="Z118" i="56"/>
  <c r="X139" i="56"/>
  <c r="S94" i="47" s="1"/>
  <c r="Z114" i="56"/>
  <c r="X135"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Y138" i="56" l="1"/>
  <c r="T93" i="47" s="1"/>
  <c r="AA117" i="56"/>
  <c r="AA120" i="56"/>
  <c r="Y141" i="56"/>
  <c r="T96" i="47" s="1"/>
  <c r="Y140" i="56"/>
  <c r="T95" i="47" s="1"/>
  <c r="AA119" i="56"/>
  <c r="Y142" i="56"/>
  <c r="AA121" i="56"/>
  <c r="Y135" i="56"/>
  <c r="T90" i="47" s="1"/>
  <c r="AA114" i="56"/>
  <c r="W181" i="56"/>
  <c r="S97" i="47"/>
  <c r="U99" i="47"/>
  <c r="Y183" i="56"/>
  <c r="AA115" i="56"/>
  <c r="Y136" i="56"/>
  <c r="T91" i="47" s="1"/>
  <c r="AA144" i="56"/>
  <c r="AC123" i="56"/>
  <c r="Z132" i="56"/>
  <c r="U87" i="47" s="1"/>
  <c r="AB111" i="56"/>
  <c r="AA113" i="56"/>
  <c r="Y134" i="56"/>
  <c r="T89" i="47" s="1"/>
  <c r="AA118" i="56"/>
  <c r="Y139" i="56"/>
  <c r="T94" i="47" s="1"/>
  <c r="Y137"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Z135" i="56" l="1"/>
  <c r="U90" i="47" s="1"/>
  <c r="AB114" i="56"/>
  <c r="AB144" i="56"/>
  <c r="AD123" i="56"/>
  <c r="AB121" i="56"/>
  <c r="Z142" i="56"/>
  <c r="V99" i="47"/>
  <c r="Z183" i="56"/>
  <c r="T97" i="47"/>
  <c r="X181" i="56"/>
  <c r="AB116" i="56"/>
  <c r="Z137" i="56"/>
  <c r="U92" i="47" s="1"/>
  <c r="AB118" i="56"/>
  <c r="Z139" i="56"/>
  <c r="U94" i="47" s="1"/>
  <c r="Z140" i="56"/>
  <c r="U95" i="47" s="1"/>
  <c r="AB119" i="56"/>
  <c r="Z136" i="56"/>
  <c r="U91" i="47" s="1"/>
  <c r="AB115" i="56"/>
  <c r="AB113" i="56"/>
  <c r="Z134" i="56"/>
  <c r="U89" i="47" s="1"/>
  <c r="Z141" i="56"/>
  <c r="U96" i="47" s="1"/>
  <c r="AB120" i="56"/>
  <c r="Z138" i="56"/>
  <c r="U93" i="47" s="1"/>
  <c r="AB117" i="56"/>
  <c r="AA132"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AA137" i="56"/>
  <c r="V92" i="47" s="1"/>
  <c r="AB132" i="56"/>
  <c r="W87" i="47" s="1"/>
  <c r="AD111" i="56"/>
  <c r="AA134" i="56"/>
  <c r="V89" i="47" s="1"/>
  <c r="AC113" i="56"/>
  <c r="AA138" i="56"/>
  <c r="V93" i="47" s="1"/>
  <c r="AC117" i="56"/>
  <c r="AC115" i="56"/>
  <c r="AA136" i="56"/>
  <c r="V91" i="47" s="1"/>
  <c r="U97" i="47"/>
  <c r="Y181" i="56"/>
  <c r="AA142" i="56"/>
  <c r="AC121" i="56"/>
  <c r="AA141" i="56"/>
  <c r="V96" i="47" s="1"/>
  <c r="AC120" i="56"/>
  <c r="AA140" i="56"/>
  <c r="V95" i="47" s="1"/>
  <c r="AC119" i="56"/>
  <c r="AC144" i="56"/>
  <c r="AE123" i="56"/>
  <c r="W99" i="47"/>
  <c r="AA183" i="56"/>
  <c r="AA135" i="56"/>
  <c r="V90" i="47" s="1"/>
  <c r="AC114" i="56"/>
  <c r="AA139"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AB136" i="56"/>
  <c r="W91" i="47" s="1"/>
  <c r="AD144" i="56"/>
  <c r="AF123" i="56"/>
  <c r="AD117" i="56"/>
  <c r="AB138" i="56"/>
  <c r="W93" i="47" s="1"/>
  <c r="AD118" i="56"/>
  <c r="AB139" i="56"/>
  <c r="W94" i="47" s="1"/>
  <c r="AB140" i="56"/>
  <c r="W95" i="47" s="1"/>
  <c r="AD119" i="56"/>
  <c r="AB134" i="56"/>
  <c r="W89" i="47" s="1"/>
  <c r="AD113" i="56"/>
  <c r="AB141" i="56"/>
  <c r="W96" i="47" s="1"/>
  <c r="AD120" i="56"/>
  <c r="AC132" i="56"/>
  <c r="X87" i="47" s="1"/>
  <c r="AE111" i="56"/>
  <c r="AD114" i="56"/>
  <c r="AB135" i="56"/>
  <c r="W90" i="47" s="1"/>
  <c r="AB142" i="56"/>
  <c r="AD121" i="56"/>
  <c r="V97" i="47"/>
  <c r="Z181" i="56"/>
  <c r="AB137" i="56"/>
  <c r="W92" i="47" s="1"/>
  <c r="AD116" i="56"/>
  <c r="X99" i="47"/>
  <c r="AB183"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C140" i="56" l="1"/>
  <c r="X95" i="47" s="1"/>
  <c r="AE119" i="56"/>
  <c r="AC142" i="56"/>
  <c r="AE121" i="56"/>
  <c r="W97" i="47"/>
  <c r="AA181" i="56"/>
  <c r="AC139" i="56"/>
  <c r="X94" i="47" s="1"/>
  <c r="AE118" i="56"/>
  <c r="AC137" i="56"/>
  <c r="X92" i="47" s="1"/>
  <c r="AE116" i="56"/>
  <c r="AC135" i="56"/>
  <c r="X90" i="47" s="1"/>
  <c r="AE114" i="56"/>
  <c r="AC138" i="56"/>
  <c r="X93" i="47" s="1"/>
  <c r="AE117" i="56"/>
  <c r="AD132" i="56"/>
  <c r="Y87" i="47" s="1"/>
  <c r="AF111" i="56"/>
  <c r="AE144" i="56"/>
  <c r="AG123" i="56"/>
  <c r="AC134" i="56"/>
  <c r="X89" i="47" s="1"/>
  <c r="AE113" i="56"/>
  <c r="AC183" i="56"/>
  <c r="Y99" i="47"/>
  <c r="AC141" i="56"/>
  <c r="X96" i="47" s="1"/>
  <c r="AE120" i="56"/>
  <c r="AC136"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D139" i="56" l="1"/>
  <c r="Y94" i="47" s="1"/>
  <c r="AF118" i="56"/>
  <c r="AD134" i="56"/>
  <c r="Y89" i="47" s="1"/>
  <c r="AF113" i="56"/>
  <c r="AD136" i="56"/>
  <c r="Y91" i="47" s="1"/>
  <c r="AF115" i="56"/>
  <c r="AE132" i="56"/>
  <c r="Z87" i="47" s="1"/>
  <c r="AG111" i="56"/>
  <c r="AD141" i="56"/>
  <c r="Y96" i="47" s="1"/>
  <c r="AF120" i="56"/>
  <c r="AD138" i="56"/>
  <c r="Y93" i="47" s="1"/>
  <c r="AF117" i="56"/>
  <c r="AD142" i="56"/>
  <c r="AF121" i="56"/>
  <c r="AD183" i="56"/>
  <c r="Z99" i="47"/>
  <c r="X97" i="47"/>
  <c r="AB181" i="56"/>
  <c r="AD137" i="56"/>
  <c r="Y92" i="47" s="1"/>
  <c r="AF116" i="56"/>
  <c r="AF144" i="56"/>
  <c r="AH123" i="56"/>
  <c r="AD135" i="56"/>
  <c r="Y90" i="47" s="1"/>
  <c r="AF114" i="56"/>
  <c r="AD140"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E141" i="56" l="1"/>
  <c r="Z96" i="47" s="1"/>
  <c r="AG120" i="56"/>
  <c r="AE140" i="56"/>
  <c r="Z95" i="47" s="1"/>
  <c r="AG119" i="56"/>
  <c r="AE142" i="56"/>
  <c r="AG121" i="56"/>
  <c r="AF132" i="56"/>
  <c r="AA87" i="47" s="1"/>
  <c r="AH111" i="56"/>
  <c r="Y97" i="47"/>
  <c r="AC181" i="56"/>
  <c r="AE135" i="56"/>
  <c r="Z90" i="47" s="1"/>
  <c r="AG114" i="56"/>
  <c r="AE138" i="56"/>
  <c r="Z93" i="47" s="1"/>
  <c r="AG117" i="56"/>
  <c r="AE136" i="56"/>
  <c r="Z91" i="47" s="1"/>
  <c r="AG115" i="56"/>
  <c r="AG144" i="56"/>
  <c r="AI123" i="56"/>
  <c r="AE134" i="56"/>
  <c r="Z89" i="47" s="1"/>
  <c r="AG113" i="56"/>
  <c r="AE183" i="56"/>
  <c r="AA99" i="47"/>
  <c r="AE137" i="56"/>
  <c r="Z92" i="47" s="1"/>
  <c r="AG116" i="56"/>
  <c r="AE139"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G132" i="56"/>
  <c r="AB87" i="47" s="1"/>
  <c r="AF142" i="56"/>
  <c r="AH121" i="56"/>
  <c r="Z97" i="47"/>
  <c r="AD181" i="56"/>
  <c r="AF139" i="56"/>
  <c r="AA94" i="47" s="1"/>
  <c r="AH118" i="56"/>
  <c r="AH115" i="56"/>
  <c r="AF136" i="56"/>
  <c r="AA91" i="47" s="1"/>
  <c r="AF140" i="56"/>
  <c r="AA95" i="47" s="1"/>
  <c r="AH119" i="56"/>
  <c r="AH144" i="56"/>
  <c r="AJ123" i="56"/>
  <c r="AF137" i="56"/>
  <c r="AA92" i="47" s="1"/>
  <c r="AH116" i="56"/>
  <c r="AF138" i="56"/>
  <c r="AA93" i="47" s="1"/>
  <c r="AH117" i="56"/>
  <c r="AH120" i="56"/>
  <c r="AF141" i="56"/>
  <c r="AA96" i="47" s="1"/>
  <c r="AF135" i="56"/>
  <c r="AA90" i="47" s="1"/>
  <c r="AH114" i="56"/>
  <c r="AF134" i="56"/>
  <c r="AA89" i="47" s="1"/>
  <c r="AH113" i="56"/>
  <c r="AB99" i="47"/>
  <c r="AF183" i="56"/>
  <c r="AI31" i="55"/>
  <c r="AE129" i="47"/>
  <c r="AF134" i="47"/>
  <c r="AJ37" i="55"/>
  <c r="AJ34" i="55"/>
  <c r="AF128" i="47"/>
  <c r="AE135" i="47"/>
  <c r="AI27" i="55"/>
  <c r="AF131" i="47"/>
  <c r="AJ32" i="55"/>
  <c r="AK28" i="55"/>
  <c r="AG127" i="47"/>
  <c r="AE133" i="47"/>
  <c r="AI36" i="55"/>
  <c r="AF130" i="47"/>
  <c r="AJ33" i="55"/>
  <c r="AG139" i="56" l="1"/>
  <c r="AB94" i="47" s="1"/>
  <c r="AI118" i="56"/>
  <c r="AK123" i="56"/>
  <c r="AI144" i="56"/>
  <c r="AC99" i="47"/>
  <c r="AG183" i="56"/>
  <c r="AG138" i="56"/>
  <c r="AB93" i="47" s="1"/>
  <c r="AI117" i="56"/>
  <c r="AG134" i="56"/>
  <c r="AB89" i="47" s="1"/>
  <c r="AI113" i="56"/>
  <c r="AG140" i="56"/>
  <c r="AB95" i="47" s="1"/>
  <c r="AI119" i="56"/>
  <c r="AG142" i="56"/>
  <c r="AI121" i="56"/>
  <c r="AA97" i="47"/>
  <c r="AE181" i="56"/>
  <c r="AG137" i="56"/>
  <c r="AB92" i="47" s="1"/>
  <c r="AI116" i="56"/>
  <c r="AI115" i="56"/>
  <c r="AG136" i="56"/>
  <c r="AB91" i="47" s="1"/>
  <c r="AG135" i="56"/>
  <c r="AB90" i="47" s="1"/>
  <c r="AI114" i="56"/>
  <c r="AG141" i="56"/>
  <c r="AB96" i="47" s="1"/>
  <c r="AI120" i="56"/>
  <c r="AJ111" i="56"/>
  <c r="AH132" i="56"/>
  <c r="AC87" i="47" s="1"/>
  <c r="AK32" i="55"/>
  <c r="AG131" i="47"/>
  <c r="AF135" i="47"/>
  <c r="AJ27" i="55"/>
  <c r="AK37" i="55"/>
  <c r="AG134" i="47"/>
  <c r="AJ36" i="55"/>
  <c r="AF133" i="47"/>
  <c r="AL28" i="55"/>
  <c r="AH127" i="47"/>
  <c r="AJ31" i="55"/>
  <c r="AF129" i="47"/>
  <c r="AK33" i="55"/>
  <c r="AG130" i="47"/>
  <c r="AG128" i="47"/>
  <c r="AK34" i="55"/>
  <c r="AH137" i="56" l="1"/>
  <c r="AC92" i="47" s="1"/>
  <c r="AJ116" i="56"/>
  <c r="AH138" i="56"/>
  <c r="AC93" i="47" s="1"/>
  <c r="AJ117" i="56"/>
  <c r="AJ120" i="56"/>
  <c r="AH141" i="56"/>
  <c r="AC96" i="47" s="1"/>
  <c r="AI132" i="56"/>
  <c r="AD87" i="47" s="1"/>
  <c r="AK111" i="56"/>
  <c r="AD99" i="47"/>
  <c r="AH183" i="56"/>
  <c r="AJ115" i="56"/>
  <c r="AH136" i="56"/>
  <c r="AC91" i="47" s="1"/>
  <c r="AJ114" i="56"/>
  <c r="AH135" i="56"/>
  <c r="AC90" i="47" s="1"/>
  <c r="AJ144" i="56"/>
  <c r="AL123" i="56"/>
  <c r="AJ119" i="56"/>
  <c r="AH140" i="56"/>
  <c r="AC95" i="47" s="1"/>
  <c r="AJ113" i="56"/>
  <c r="AH134" i="56"/>
  <c r="AC89" i="47" s="1"/>
  <c r="AH142" i="56"/>
  <c r="AJ121" i="56"/>
  <c r="AH139" i="56"/>
  <c r="AC94" i="47" s="1"/>
  <c r="AJ118" i="56"/>
  <c r="AB97" i="47"/>
  <c r="AF181" i="56"/>
  <c r="AG135" i="47"/>
  <c r="AK27" i="55"/>
  <c r="AM28" i="55"/>
  <c r="AI127" i="47"/>
  <c r="AK36" i="55"/>
  <c r="AG133" i="47"/>
  <c r="AL32" i="55"/>
  <c r="AH131" i="47"/>
  <c r="AL33" i="55"/>
  <c r="AH130" i="47"/>
  <c r="AK31" i="55"/>
  <c r="AG129" i="47"/>
  <c r="AL37" i="55"/>
  <c r="AH134" i="47"/>
  <c r="AH128" i="47"/>
  <c r="AL34" i="55"/>
  <c r="AM123" i="56" l="1"/>
  <c r="AK144" i="56"/>
  <c r="AE99" i="47"/>
  <c r="AI183" i="56"/>
  <c r="AK114" i="56"/>
  <c r="AI135" i="56"/>
  <c r="AD90" i="47" s="1"/>
  <c r="AI141" i="56"/>
  <c r="AD96" i="47" s="1"/>
  <c r="AK120" i="56"/>
  <c r="AK121" i="56"/>
  <c r="AI142" i="56"/>
  <c r="AI138" i="56"/>
  <c r="AD93" i="47" s="1"/>
  <c r="AK117" i="56"/>
  <c r="AI139" i="56"/>
  <c r="AD94" i="47" s="1"/>
  <c r="AK118" i="56"/>
  <c r="AC97" i="47"/>
  <c r="AG181" i="56"/>
  <c r="AL111" i="56"/>
  <c r="AJ132" i="56"/>
  <c r="AE87" i="47" s="1"/>
  <c r="AK116" i="56"/>
  <c r="AI137" i="56"/>
  <c r="AD92" i="47" s="1"/>
  <c r="AI134" i="56"/>
  <c r="AD89" i="47" s="1"/>
  <c r="AK113" i="56"/>
  <c r="AI140" i="56"/>
  <c r="AD95" i="47" s="1"/>
  <c r="AK119" i="56"/>
  <c r="AI136" i="56"/>
  <c r="AD91" i="47" s="1"/>
  <c r="AK115" i="56"/>
  <c r="AM32" i="55"/>
  <c r="AI131" i="47"/>
  <c r="AL31" i="55"/>
  <c r="AH129" i="47"/>
  <c r="AL36" i="55"/>
  <c r="AH133" i="47"/>
  <c r="AH135" i="47"/>
  <c r="AL27" i="55"/>
  <c r="AI134" i="47"/>
  <c r="AM37" i="55"/>
  <c r="AI130" i="47"/>
  <c r="AM33" i="55"/>
  <c r="AN28" i="55"/>
  <c r="AJ127" i="47"/>
  <c r="AM34" i="55"/>
  <c r="AI128" i="47"/>
  <c r="AM111" i="56" l="1"/>
  <c r="AK132" i="56"/>
  <c r="AF87" i="47" s="1"/>
  <c r="AL114" i="56"/>
  <c r="AJ135" i="56"/>
  <c r="AE90" i="47" s="1"/>
  <c r="AJ136" i="56"/>
  <c r="AE91" i="47" s="1"/>
  <c r="AL115" i="56"/>
  <c r="AJ141" i="56"/>
  <c r="AE96" i="47" s="1"/>
  <c r="AL120" i="56"/>
  <c r="AJ139" i="56"/>
  <c r="AE94" i="47" s="1"/>
  <c r="AL118" i="56"/>
  <c r="AJ137" i="56"/>
  <c r="AE92" i="47" s="1"/>
  <c r="AL116" i="56"/>
  <c r="AJ140" i="56"/>
  <c r="AE95" i="47" s="1"/>
  <c r="AL119" i="56"/>
  <c r="AL117" i="56"/>
  <c r="AJ138" i="56"/>
  <c r="AE93" i="47" s="1"/>
  <c r="AJ134" i="56"/>
  <c r="AE89" i="47" s="1"/>
  <c r="AL113" i="56"/>
  <c r="AD97" i="47"/>
  <c r="AH181" i="56"/>
  <c r="AF99" i="47"/>
  <c r="AJ183" i="56"/>
  <c r="AL121" i="56"/>
  <c r="AJ142" i="56"/>
  <c r="AN123" i="56"/>
  <c r="AL144" i="56"/>
  <c r="AI129" i="47"/>
  <c r="AM31" i="55"/>
  <c r="AN32" i="55"/>
  <c r="AJ131" i="47"/>
  <c r="AO28" i="55"/>
  <c r="AK127" i="47"/>
  <c r="AN37" i="55"/>
  <c r="AJ134" i="47"/>
  <c r="AI135" i="47"/>
  <c r="AM27" i="55"/>
  <c r="AN34" i="55"/>
  <c r="AJ128" i="47"/>
  <c r="AN33" i="55"/>
  <c r="AJ130" i="47"/>
  <c r="AM36" i="55"/>
  <c r="AI133" i="47"/>
  <c r="AM117" i="56" l="1"/>
  <c r="AK138" i="56"/>
  <c r="AF93" i="47" s="1"/>
  <c r="AG99" i="47"/>
  <c r="AK183" i="56"/>
  <c r="AM119" i="56"/>
  <c r="AK140" i="56"/>
  <c r="AF95" i="47" s="1"/>
  <c r="AM113" i="56"/>
  <c r="AK134" i="56"/>
  <c r="AF89" i="47" s="1"/>
  <c r="AM144" i="56"/>
  <c r="AO123" i="56"/>
  <c r="AM120" i="56"/>
  <c r="AK141" i="56"/>
  <c r="AF96" i="47" s="1"/>
  <c r="AE97" i="47"/>
  <c r="AI181" i="56"/>
  <c r="AM116" i="56"/>
  <c r="AK137" i="56"/>
  <c r="AF92" i="47" s="1"/>
  <c r="AM115" i="56"/>
  <c r="AK136" i="56"/>
  <c r="AF91" i="47" s="1"/>
  <c r="AM114" i="56"/>
  <c r="AK135" i="56"/>
  <c r="AF90" i="47" s="1"/>
  <c r="AM121" i="56"/>
  <c r="AK142" i="56"/>
  <c r="AK139" i="56"/>
  <c r="AF94" i="47" s="1"/>
  <c r="AM118" i="56"/>
  <c r="AL132" i="56"/>
  <c r="AG87" i="47" s="1"/>
  <c r="AN111" i="56"/>
  <c r="AJ129" i="47"/>
  <c r="AN31" i="55"/>
  <c r="AK128" i="47"/>
  <c r="AO34" i="55"/>
  <c r="AP28" i="55"/>
  <c r="AM127" i="47" s="1"/>
  <c r="AL127" i="47"/>
  <c r="AJ135" i="47"/>
  <c r="AN27" i="55"/>
  <c r="AO32" i="55"/>
  <c r="AK131" i="47"/>
  <c r="AJ133" i="47"/>
  <c r="AN36" i="55"/>
  <c r="AO33" i="55"/>
  <c r="AK130" i="47"/>
  <c r="AO37" i="55"/>
  <c r="AK134" i="47"/>
  <c r="AH99" i="47" l="1"/>
  <c r="AL183" i="56"/>
  <c r="AN144" i="56"/>
  <c r="AP123" i="56"/>
  <c r="AQ123" i="56" s="1"/>
  <c r="AR123" i="56" s="1"/>
  <c r="AS123" i="56" s="1"/>
  <c r="AT123" i="56" s="1"/>
  <c r="AL134" i="56"/>
  <c r="AG89" i="47" s="1"/>
  <c r="AN113" i="56"/>
  <c r="AL137" i="56"/>
  <c r="AG92" i="47" s="1"/>
  <c r="AN116" i="56"/>
  <c r="AL140" i="56"/>
  <c r="AG95" i="47" s="1"/>
  <c r="AN119" i="56"/>
  <c r="AN115" i="56"/>
  <c r="AL136" i="56"/>
  <c r="AG91" i="47" s="1"/>
  <c r="AL139" i="56"/>
  <c r="AG94" i="47" s="1"/>
  <c r="AN118" i="56"/>
  <c r="AF97" i="47"/>
  <c r="AJ181" i="56"/>
  <c r="AL142" i="56"/>
  <c r="AN121" i="56"/>
  <c r="AL141" i="56"/>
  <c r="AG96" i="47" s="1"/>
  <c r="AN120" i="56"/>
  <c r="AM132" i="56"/>
  <c r="AH87" i="47" s="1"/>
  <c r="AO111" i="56"/>
  <c r="AL135" i="56"/>
  <c r="AG90" i="47" s="1"/>
  <c r="AN114" i="56"/>
  <c r="AN117" i="56"/>
  <c r="AL138" i="56"/>
  <c r="AG93" i="47" s="1"/>
  <c r="AO27" i="55"/>
  <c r="AK135" i="47"/>
  <c r="AO36" i="55"/>
  <c r="AK133" i="47"/>
  <c r="AP37" i="55"/>
  <c r="AM134" i="47" s="1"/>
  <c r="AL134" i="47"/>
  <c r="AK129" i="47"/>
  <c r="AO31" i="55"/>
  <c r="AP33" i="55"/>
  <c r="AM130" i="47" s="1"/>
  <c r="AL130" i="47"/>
  <c r="AP32" i="55"/>
  <c r="AM131" i="47" s="1"/>
  <c r="AL131" i="47"/>
  <c r="AP34" i="55"/>
  <c r="AM128" i="47" s="1"/>
  <c r="AL128" i="47"/>
  <c r="AM137" i="56" l="1"/>
  <c r="AH92" i="47" s="1"/>
  <c r="AO116" i="56"/>
  <c r="AM142" i="56"/>
  <c r="AO121" i="56"/>
  <c r="AM138" i="56"/>
  <c r="AH93" i="47" s="1"/>
  <c r="AO117" i="56"/>
  <c r="AM135" i="56"/>
  <c r="AH90" i="47" s="1"/>
  <c r="AO114" i="56"/>
  <c r="AM139" i="56"/>
  <c r="AH94" i="47" s="1"/>
  <c r="AO118" i="56"/>
  <c r="AM134" i="56"/>
  <c r="AH89" i="47" s="1"/>
  <c r="AO113" i="56"/>
  <c r="AO144" i="56"/>
  <c r="AU123" i="56"/>
  <c r="AV123" i="56" s="1"/>
  <c r="AW123" i="56" s="1"/>
  <c r="AX123" i="56" s="1"/>
  <c r="AY123" i="56" s="1"/>
  <c r="AG97" i="47"/>
  <c r="AK181" i="56"/>
  <c r="AM136" i="56"/>
  <c r="AH91" i="47" s="1"/>
  <c r="AO115" i="56"/>
  <c r="AM183" i="56"/>
  <c r="AI99" i="47"/>
  <c r="AN132" i="56"/>
  <c r="AI87" i="47" s="1"/>
  <c r="AP111" i="56"/>
  <c r="AQ111" i="56" s="1"/>
  <c r="AR111" i="56" s="1"/>
  <c r="AS111" i="56" s="1"/>
  <c r="AT111" i="56" s="1"/>
  <c r="AM140" i="56"/>
  <c r="AH95" i="47" s="1"/>
  <c r="AO119" i="56"/>
  <c r="AM141" i="56"/>
  <c r="AH96" i="47" s="1"/>
  <c r="AO120" i="56"/>
  <c r="AP31" i="55"/>
  <c r="AM129" i="47" s="1"/>
  <c r="AL129" i="47"/>
  <c r="AP27" i="55"/>
  <c r="AM135" i="47" s="1"/>
  <c r="AL135" i="47"/>
  <c r="AL133" i="47"/>
  <c r="AP36" i="55"/>
  <c r="AM133" i="47" s="1"/>
  <c r="AN142" i="56" l="1"/>
  <c r="AP121" i="56"/>
  <c r="AQ121" i="56" s="1"/>
  <c r="AR121" i="56" s="1"/>
  <c r="AS121" i="56" s="1"/>
  <c r="AT121" i="56" s="1"/>
  <c r="AH97" i="47"/>
  <c r="AL181" i="56"/>
  <c r="AZ123" i="56"/>
  <c r="AP144" i="56"/>
  <c r="AN138" i="56"/>
  <c r="AI93" i="47" s="1"/>
  <c r="AP117" i="56"/>
  <c r="AQ117" i="56" s="1"/>
  <c r="AR117" i="56" s="1"/>
  <c r="AS117" i="56" s="1"/>
  <c r="AT117" i="56" s="1"/>
  <c r="AN183" i="56"/>
  <c r="AJ99" i="47"/>
  <c r="AN140" i="56"/>
  <c r="AI95" i="47" s="1"/>
  <c r="AP119" i="56"/>
  <c r="AQ119" i="56" s="1"/>
  <c r="AR119" i="56" s="1"/>
  <c r="AS119" i="56" s="1"/>
  <c r="AT119" i="56" s="1"/>
  <c r="AN134" i="56"/>
  <c r="AI89" i="47" s="1"/>
  <c r="AP113" i="56"/>
  <c r="AQ113" i="56" s="1"/>
  <c r="AR113" i="56" s="1"/>
  <c r="AS113" i="56" s="1"/>
  <c r="AT113" i="56" s="1"/>
  <c r="AN135" i="56"/>
  <c r="AI90" i="47" s="1"/>
  <c r="AP114" i="56"/>
  <c r="AQ114" i="56" s="1"/>
  <c r="AR114" i="56" s="1"/>
  <c r="AS114" i="56" s="1"/>
  <c r="AT114" i="56" s="1"/>
  <c r="AN136" i="56"/>
  <c r="AI91" i="47" s="1"/>
  <c r="AP115" i="56"/>
  <c r="AQ115" i="56" s="1"/>
  <c r="AR115" i="56" s="1"/>
  <c r="AS115" i="56" s="1"/>
  <c r="AT115" i="56" s="1"/>
  <c r="AO132" i="56"/>
  <c r="AJ87" i="47" s="1"/>
  <c r="AU111" i="56"/>
  <c r="AV111" i="56" s="1"/>
  <c r="AW111" i="56" s="1"/>
  <c r="AX111" i="56" s="1"/>
  <c r="AY111" i="56" s="1"/>
  <c r="AN139" i="56"/>
  <c r="AI94" i="47" s="1"/>
  <c r="AP118" i="56"/>
  <c r="AQ118" i="56" s="1"/>
  <c r="AR118" i="56" s="1"/>
  <c r="AS118" i="56" s="1"/>
  <c r="AT118" i="56" s="1"/>
  <c r="AN137" i="56"/>
  <c r="AI92" i="47" s="1"/>
  <c r="AP116" i="56"/>
  <c r="AQ116" i="56" s="1"/>
  <c r="AR116" i="56" s="1"/>
  <c r="AS116" i="56" s="1"/>
  <c r="AT116" i="56" s="1"/>
  <c r="AN141" i="56"/>
  <c r="AI96" i="47" s="1"/>
  <c r="AP120" i="56"/>
  <c r="AQ120" i="56" s="1"/>
  <c r="AR120" i="56" s="1"/>
  <c r="AS120" i="56" s="1"/>
  <c r="AT120" i="56" s="1"/>
  <c r="AO138" i="56" l="1"/>
  <c r="AJ93" i="47" s="1"/>
  <c r="AU117" i="56"/>
  <c r="AV117" i="56" s="1"/>
  <c r="AW117" i="56" s="1"/>
  <c r="AX117" i="56" s="1"/>
  <c r="AY117" i="56" s="1"/>
  <c r="AO134" i="56"/>
  <c r="AJ89" i="47" s="1"/>
  <c r="AU113" i="56"/>
  <c r="AV113" i="56" s="1"/>
  <c r="AW113" i="56" s="1"/>
  <c r="AX113" i="56" s="1"/>
  <c r="AY113" i="56" s="1"/>
  <c r="AO183" i="56"/>
  <c r="AK99" i="47"/>
  <c r="AQ144" i="56"/>
  <c r="BA123" i="56"/>
  <c r="AR144" i="56" s="1"/>
  <c r="AO135" i="56"/>
  <c r="AJ90" i="47" s="1"/>
  <c r="AU114" i="56"/>
  <c r="AV114" i="56" s="1"/>
  <c r="AW114" i="56" s="1"/>
  <c r="AX114" i="56" s="1"/>
  <c r="AY114" i="56" s="1"/>
  <c r="AO141" i="56"/>
  <c r="AJ96" i="47" s="1"/>
  <c r="AU120" i="56"/>
  <c r="AV120" i="56" s="1"/>
  <c r="AW120" i="56" s="1"/>
  <c r="AX120" i="56" s="1"/>
  <c r="AY120" i="56" s="1"/>
  <c r="AO140" i="56"/>
  <c r="AJ95" i="47" s="1"/>
  <c r="AU119" i="56"/>
  <c r="AV119" i="56" s="1"/>
  <c r="AW119" i="56" s="1"/>
  <c r="AX119" i="56" s="1"/>
  <c r="AY119" i="56" s="1"/>
  <c r="AO137" i="56"/>
  <c r="AJ92" i="47" s="1"/>
  <c r="AU116" i="56"/>
  <c r="AV116" i="56" s="1"/>
  <c r="AW116" i="56" s="1"/>
  <c r="AX116" i="56" s="1"/>
  <c r="AY116" i="56" s="1"/>
  <c r="AO142" i="56"/>
  <c r="AU121" i="56"/>
  <c r="AV121" i="56" s="1"/>
  <c r="AW121" i="56" s="1"/>
  <c r="AX121" i="56" s="1"/>
  <c r="AY121" i="56" s="1"/>
  <c r="AO139" i="56"/>
  <c r="AJ94" i="47" s="1"/>
  <c r="AU118" i="56"/>
  <c r="AV118" i="56" s="1"/>
  <c r="AW118" i="56" s="1"/>
  <c r="AX118" i="56" s="1"/>
  <c r="AY118" i="56" s="1"/>
  <c r="AI97" i="47"/>
  <c r="AM181" i="56"/>
  <c r="AO136" i="56"/>
  <c r="AJ91" i="47" s="1"/>
  <c r="AU115" i="56"/>
  <c r="AV115" i="56" s="1"/>
  <c r="AW115" i="56" s="1"/>
  <c r="AX115" i="56" s="1"/>
  <c r="AY115" i="56" s="1"/>
  <c r="AZ111" i="56"/>
  <c r="AP132" i="56"/>
  <c r="AK87" i="47" s="1"/>
  <c r="AL99" i="47" l="1"/>
  <c r="AP183" i="56"/>
  <c r="AZ118" i="56"/>
  <c r="AP139" i="56"/>
  <c r="AK94" i="47" s="1"/>
  <c r="AP142" i="56"/>
  <c r="AZ121" i="56"/>
  <c r="AM99" i="47"/>
  <c r="AQ183" i="56"/>
  <c r="AJ97" i="47"/>
  <c r="AN181" i="56"/>
  <c r="AP137" i="56"/>
  <c r="AK92" i="47" s="1"/>
  <c r="AZ116" i="56"/>
  <c r="AZ113" i="56"/>
  <c r="AP134" i="56"/>
  <c r="AK89" i="47" s="1"/>
  <c r="AQ132" i="56"/>
  <c r="AL87" i="47" s="1"/>
  <c r="BA111" i="56"/>
  <c r="AR132" i="56" s="1"/>
  <c r="AM87" i="47" s="1"/>
  <c r="AP140" i="56"/>
  <c r="AK95" i="47" s="1"/>
  <c r="AZ119" i="56"/>
  <c r="AP138" i="56"/>
  <c r="AK93" i="47" s="1"/>
  <c r="AZ117" i="56"/>
  <c r="AZ115" i="56"/>
  <c r="AP136" i="56"/>
  <c r="AK91" i="47" s="1"/>
  <c r="AZ120" i="56"/>
  <c r="AP141" i="56"/>
  <c r="AK96" i="47" s="1"/>
  <c r="AZ114" i="56"/>
  <c r="AP135" i="56"/>
  <c r="AK90" i="47" s="1"/>
  <c r="AQ140" i="56" l="1"/>
  <c r="AL95" i="47" s="1"/>
  <c r="BA119" i="56"/>
  <c r="AR140" i="56" s="1"/>
  <c r="AM95" i="47" s="1"/>
  <c r="AQ142" i="56"/>
  <c r="BA121" i="56"/>
  <c r="AR142" i="56" s="1"/>
  <c r="BA114" i="56"/>
  <c r="AR135" i="56" s="1"/>
  <c r="AM90" i="47" s="1"/>
  <c r="AQ135" i="56"/>
  <c r="AL90" i="47" s="1"/>
  <c r="BA120" i="56"/>
  <c r="AR141" i="56" s="1"/>
  <c r="AM96" i="47" s="1"/>
  <c r="AQ141" i="56"/>
  <c r="AL96" i="47" s="1"/>
  <c r="AK97" i="47"/>
  <c r="AO181" i="56"/>
  <c r="AQ139" i="56"/>
  <c r="AL94" i="47" s="1"/>
  <c r="BA118" i="56"/>
  <c r="AR139" i="56" s="1"/>
  <c r="AM94" i="47" s="1"/>
  <c r="BA116" i="56"/>
  <c r="AR137" i="56" s="1"/>
  <c r="AM92" i="47" s="1"/>
  <c r="AQ137" i="56"/>
  <c r="AL92" i="47" s="1"/>
  <c r="AQ136" i="56"/>
  <c r="AL91" i="47" s="1"/>
  <c r="BA115" i="56"/>
  <c r="AR136" i="56" s="1"/>
  <c r="AM91" i="47" s="1"/>
  <c r="AQ138" i="56"/>
  <c r="AL93" i="47" s="1"/>
  <c r="BA117" i="56"/>
  <c r="AR138" i="56" s="1"/>
  <c r="AM93" i="47" s="1"/>
  <c r="BA113" i="56"/>
  <c r="AR134" i="56" s="1"/>
  <c r="AM89" i="47" s="1"/>
  <c r="AQ134" i="56"/>
  <c r="AL89" i="47" s="1"/>
  <c r="AN48" i="29"/>
  <c r="AO48" i="29" s="1"/>
  <c r="AN49" i="29"/>
  <c r="AK85" i="47" s="1"/>
  <c r="AN50" i="29"/>
  <c r="AM50" i="29" s="1"/>
  <c r="AJ86" i="47" s="1"/>
  <c r="AN51" i="29"/>
  <c r="AK108" i="47" s="1"/>
  <c r="AN47" i="29"/>
  <c r="AK83" i="47" s="1"/>
  <c r="AM97" i="47" l="1"/>
  <c r="AQ181" i="56"/>
  <c r="AL97" i="47"/>
  <c r="AP181"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T137" i="57" l="1"/>
  <c r="U137" i="57" l="1"/>
  <c r="V137" i="57" l="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59"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56" i="57" l="1"/>
  <c r="O257" i="57"/>
  <c r="O258" i="57"/>
  <c r="O260" i="57"/>
  <c r="O255" i="57"/>
  <c r="O107" i="57"/>
  <c r="X107" i="57" s="1"/>
  <c r="O54" i="57"/>
  <c r="O162" i="57" s="1"/>
  <c r="F162" i="57" s="1"/>
  <c r="X162" i="57" l="1"/>
  <c r="X54" i="57"/>
  <c r="X58" i="57" s="1"/>
  <c r="X59" i="57" s="1"/>
  <c r="X60" i="57" s="1"/>
  <c r="O111" i="57"/>
  <c r="F111" i="57" s="1"/>
  <c r="F107" i="57"/>
  <c r="F54" i="57"/>
  <c r="F45" i="57" s="1"/>
  <c r="O58" i="57"/>
  <c r="F58" i="57" s="1"/>
  <c r="O161" i="57"/>
  <c r="O59" i="57"/>
  <c r="F59" i="57" s="1"/>
  <c r="F60" i="57" s="1"/>
  <c r="O61" i="57"/>
  <c r="F61" i="57" s="1"/>
  <c r="AC30" i="57"/>
  <c r="K30" i="57" s="1"/>
  <c r="O163" i="57"/>
  <c r="F163" i="57" s="1"/>
  <c r="AC54" i="57" l="1"/>
  <c r="F161" i="57"/>
  <c r="X161" i="57"/>
  <c r="X183" i="57" s="1"/>
  <c r="O150" i="57"/>
  <c r="F150" i="57" s="1"/>
  <c r="X111" i="57"/>
  <c r="M230" i="57"/>
  <c r="X163" i="57"/>
  <c r="X61" i="57"/>
  <c r="O151" i="57"/>
  <c r="F151" i="57" s="1"/>
  <c r="O149" i="57"/>
  <c r="M229" i="57"/>
  <c r="K229" i="57"/>
  <c r="L229" i="57" s="1"/>
  <c r="O60" i="57"/>
  <c r="G45" i="57"/>
  <c r="K228" i="57"/>
  <c r="L228" i="57" s="1"/>
  <c r="M228" i="57"/>
  <c r="AC58" i="57" l="1"/>
  <c r="K54" i="57"/>
  <c r="K230" i="57"/>
  <c r="L230" i="57" s="1"/>
  <c r="F149" i="57"/>
  <c r="F112" i="57" s="1"/>
  <c r="X149" i="57"/>
  <c r="X151" i="57"/>
  <c r="F187" i="57"/>
  <c r="X150" i="57"/>
  <c r="G61" i="57"/>
  <c r="H45" i="57"/>
  <c r="K45" i="57"/>
  <c r="E250" i="57"/>
  <c r="F188" i="57"/>
  <c r="E249" i="57"/>
  <c r="E248" i="57"/>
  <c r="AC107" i="57"/>
  <c r="K107" i="57" s="1"/>
  <c r="AD30" i="57"/>
  <c r="L30" i="57" s="1"/>
  <c r="K58" i="57" l="1"/>
  <c r="AC59" i="57"/>
  <c r="AC61" i="57"/>
  <c r="AC111" i="57"/>
  <c r="K111" i="57" s="1"/>
  <c r="K257" i="57"/>
  <c r="L257" i="57" s="1"/>
  <c r="M257" i="57"/>
  <c r="N257" i="57" s="1"/>
  <c r="M255" i="57"/>
  <c r="N255" i="57" s="1"/>
  <c r="K255" i="57"/>
  <c r="L255" i="57" s="1"/>
  <c r="AD54" i="57"/>
  <c r="AE30" i="57"/>
  <c r="M30" i="57" s="1"/>
  <c r="AD107" i="57"/>
  <c r="L107" i="57" s="1"/>
  <c r="M256" i="57"/>
  <c r="N256" i="57" s="1"/>
  <c r="K256" i="57"/>
  <c r="L256" i="57" s="1"/>
  <c r="P201" i="57"/>
  <c r="O215" i="57"/>
  <c r="J102" i="47" s="1"/>
  <c r="N201" i="57"/>
  <c r="O201" i="57" s="1"/>
  <c r="M215" i="57"/>
  <c r="H102" i="47" s="1"/>
  <c r="M216" i="57"/>
  <c r="H101" i="47" s="1"/>
  <c r="P202" i="57"/>
  <c r="N202" i="57"/>
  <c r="O202" i="57" s="1"/>
  <c r="O216" i="57"/>
  <c r="J101" i="47" s="1"/>
  <c r="F186" i="57"/>
  <c r="AD58" i="57" l="1"/>
  <c r="L58" i="57" s="1"/>
  <c r="L54" i="57"/>
  <c r="AC60" i="57"/>
  <c r="K59" i="57"/>
  <c r="K60" i="57" s="1"/>
  <c r="I45" i="57"/>
  <c r="L45" i="57"/>
  <c r="AD111" i="57"/>
  <c r="L111" i="57" s="1"/>
  <c r="N215" i="57"/>
  <c r="I102" i="47" s="1"/>
  <c r="N200" i="57"/>
  <c r="O200" i="57" s="1"/>
  <c r="P200" i="57"/>
  <c r="O214" i="57"/>
  <c r="J100" i="47" s="1"/>
  <c r="M214" i="57"/>
  <c r="K61" i="57"/>
  <c r="H61" i="57"/>
  <c r="H250" i="57"/>
  <c r="H249" i="57"/>
  <c r="H248" i="57"/>
  <c r="N216" i="57"/>
  <c r="I101" i="47" s="1"/>
  <c r="AE107" i="57"/>
  <c r="M107" i="57" s="1"/>
  <c r="AE54" i="57"/>
  <c r="AD61" i="57"/>
  <c r="L61" i="57" s="1"/>
  <c r="AD59" i="57"/>
  <c r="AD60" i="57" l="1"/>
  <c r="L59" i="57"/>
  <c r="L60" i="57" s="1"/>
  <c r="AE58" i="57"/>
  <c r="M58" i="57" s="1"/>
  <c r="M54" i="57"/>
  <c r="M45" i="57" s="1"/>
  <c r="I248" i="57"/>
  <c r="AE111" i="57"/>
  <c r="M111" i="57" s="1"/>
  <c r="K248" i="57" s="1"/>
  <c r="J45" i="57"/>
  <c r="H100" i="47"/>
  <c r="N214" i="57"/>
  <c r="I100" i="47" s="1"/>
  <c r="AB256" i="57"/>
  <c r="I61" i="57"/>
  <c r="AB257" i="57"/>
  <c r="G250" i="57"/>
  <c r="G249" i="57"/>
  <c r="G248" i="57"/>
  <c r="AB255" i="57"/>
  <c r="AC255" i="57" s="1"/>
  <c r="AD255" i="57" s="1"/>
  <c r="AE255" i="57" s="1"/>
  <c r="AF255" i="57" s="1"/>
  <c r="AG255" i="57" s="1"/>
  <c r="AH255" i="57" s="1"/>
  <c r="AI255" i="57" s="1"/>
  <c r="AJ255" i="57" s="1"/>
  <c r="AK255" i="57" s="1"/>
  <c r="AE61" i="57"/>
  <c r="AE59" i="57"/>
  <c r="AL255" i="57"/>
  <c r="I250" i="57"/>
  <c r="I249" i="57"/>
  <c r="AE60" i="57" l="1"/>
  <c r="M59" i="57"/>
  <c r="M60" i="57" s="1"/>
  <c r="J248" i="57"/>
  <c r="AM255" i="57" s="1"/>
  <c r="AN255" i="57" s="1"/>
  <c r="AO255" i="57" s="1"/>
  <c r="AP255" i="57" s="1"/>
  <c r="AQ255" i="57" s="1"/>
  <c r="AR255" i="57" s="1"/>
  <c r="AS255" i="57" s="1"/>
  <c r="AT255" i="57" s="1"/>
  <c r="AU255" i="57" s="1"/>
  <c r="AC257" i="57"/>
  <c r="AD257" i="57" s="1"/>
  <c r="AE257" i="57" s="1"/>
  <c r="AF257" i="57" s="1"/>
  <c r="AG257" i="57" s="1"/>
  <c r="AH257" i="57" s="1"/>
  <c r="AI257" i="57" s="1"/>
  <c r="AJ257" i="57" s="1"/>
  <c r="AK257" i="57" s="1"/>
  <c r="AL257" i="57"/>
  <c r="J61" i="57"/>
  <c r="M61" i="57"/>
  <c r="P256" i="57"/>
  <c r="Q256" i="57" s="1"/>
  <c r="R256" i="57"/>
  <c r="S256" i="57" s="1"/>
  <c r="T256" i="57" s="1"/>
  <c r="U256" i="57" s="1"/>
  <c r="V256" i="57" s="1"/>
  <c r="W256" i="57" s="1"/>
  <c r="X256" i="57" s="1"/>
  <c r="Y256" i="57" s="1"/>
  <c r="Z256" i="57" s="1"/>
  <c r="AA256" i="57" s="1"/>
  <c r="R257" i="57"/>
  <c r="S257" i="57" s="1"/>
  <c r="T257" i="57" s="1"/>
  <c r="U257" i="57" s="1"/>
  <c r="V257" i="57" s="1"/>
  <c r="W257" i="57" s="1"/>
  <c r="X257" i="57" s="1"/>
  <c r="Y257" i="57" s="1"/>
  <c r="Z257" i="57" s="1"/>
  <c r="AA257" i="57" s="1"/>
  <c r="P257" i="57"/>
  <c r="Q257" i="57" s="1"/>
  <c r="P255" i="57"/>
  <c r="Q255" i="57" s="1"/>
  <c r="R255" i="57"/>
  <c r="S255" i="57" s="1"/>
  <c r="T255" i="57" s="1"/>
  <c r="U255" i="57" s="1"/>
  <c r="V255" i="57" s="1"/>
  <c r="W255" i="57" s="1"/>
  <c r="X255" i="57" s="1"/>
  <c r="Y255" i="57" s="1"/>
  <c r="Z255" i="57" s="1"/>
  <c r="AA255" i="57" s="1"/>
  <c r="AC256" i="57"/>
  <c r="AD256" i="57" s="1"/>
  <c r="AE256" i="57" s="1"/>
  <c r="AF256" i="57" s="1"/>
  <c r="AG256" i="57" s="1"/>
  <c r="AH256" i="57" s="1"/>
  <c r="AI256" i="57" s="1"/>
  <c r="AJ256" i="57" s="1"/>
  <c r="AK256" i="57" s="1"/>
  <c r="AL256" i="57"/>
  <c r="K250" i="57"/>
  <c r="J250" i="57"/>
  <c r="K249" i="57"/>
  <c r="J249" i="57"/>
  <c r="AV255" i="57" l="1"/>
  <c r="AW255" i="57" s="1"/>
  <c r="AX255" i="57" s="1"/>
  <c r="AY255" i="57" s="1"/>
  <c r="AZ255" i="57"/>
  <c r="BA255" i="57" s="1"/>
  <c r="BB255" i="57" s="1"/>
  <c r="BC255" i="57" s="1"/>
  <c r="BD255" i="57" s="1"/>
  <c r="AZ256" i="57"/>
  <c r="BA256" i="57" s="1"/>
  <c r="BB256" i="57" s="1"/>
  <c r="BC256" i="57" s="1"/>
  <c r="BD256" i="57" s="1"/>
  <c r="AM256" i="57"/>
  <c r="AN256" i="57" s="1"/>
  <c r="AO256" i="57" s="1"/>
  <c r="AP256" i="57" s="1"/>
  <c r="AQ256" i="57" s="1"/>
  <c r="AR256" i="57" s="1"/>
  <c r="AS256" i="57" s="1"/>
  <c r="AT256" i="57" s="1"/>
  <c r="AU256" i="57" s="1"/>
  <c r="AV256" i="57"/>
  <c r="AW256" i="57" s="1"/>
  <c r="AX256" i="57" s="1"/>
  <c r="AY256" i="57" s="1"/>
  <c r="AZ257" i="57"/>
  <c r="BA257" i="57" s="1"/>
  <c r="BB257" i="57" s="1"/>
  <c r="BC257" i="57" s="1"/>
  <c r="BD257" i="57" s="1"/>
  <c r="AM257" i="57"/>
  <c r="AN257" i="57" s="1"/>
  <c r="AO257" i="57" s="1"/>
  <c r="AP257" i="57" s="1"/>
  <c r="AQ257" i="57" s="1"/>
  <c r="AR257" i="57" s="1"/>
  <c r="AS257" i="57" s="1"/>
  <c r="AT257" i="57" s="1"/>
  <c r="AU257" i="57" s="1"/>
  <c r="AV257" i="57"/>
  <c r="AW257" i="57" s="1"/>
  <c r="AX257" i="57" s="1"/>
  <c r="AY257"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AC73" i="57"/>
  <c r="R119" i="57"/>
  <c r="AA119" i="57" s="1"/>
  <c r="R123" i="57"/>
  <c r="AA123" i="57" s="1"/>
  <c r="R120" i="57"/>
  <c r="AA120" i="57" s="1"/>
  <c r="R124" i="57"/>
  <c r="AA124" i="57" s="1"/>
  <c r="R116" i="57"/>
  <c r="AA116" i="57" s="1"/>
  <c r="Q166" i="57" l="1"/>
  <c r="Z166" i="57" s="1"/>
  <c r="Z156" i="57"/>
  <c r="H156" i="57" s="1"/>
  <c r="H193" i="57" s="1"/>
  <c r="Q168" i="57"/>
  <c r="AD73" i="57"/>
  <c r="R128" i="57"/>
  <c r="S73" i="57"/>
  <c r="H166" i="57" l="1"/>
  <c r="R233" i="57" s="1"/>
  <c r="AB73" i="57"/>
  <c r="J73" i="57"/>
  <c r="R156" i="57"/>
  <c r="AA128" i="57"/>
  <c r="Z168" i="57"/>
  <c r="AE73" i="57"/>
  <c r="S119" i="57"/>
  <c r="AB119" i="57" s="1"/>
  <c r="S123" i="57"/>
  <c r="AB123" i="57" s="1"/>
  <c r="S120" i="57"/>
  <c r="AB120" i="57" s="1"/>
  <c r="S124" i="57"/>
  <c r="AB124" i="57" s="1"/>
  <c r="S116" i="57"/>
  <c r="AB116" i="57" s="1"/>
  <c r="H168" i="57" l="1"/>
  <c r="R235" i="57" s="1"/>
  <c r="R168" i="57"/>
  <c r="AA156" i="57"/>
  <c r="I156" i="57" s="1"/>
  <c r="I193" i="57" s="1"/>
  <c r="S128" i="57"/>
  <c r="T73" i="57"/>
  <c r="K73" i="57" s="1"/>
  <c r="U73" i="57" l="1"/>
  <c r="L73" i="57" s="1"/>
  <c r="S156" i="57"/>
  <c r="AB128" i="57"/>
  <c r="T221"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35" i="57"/>
  <c r="P235" i="57" s="1"/>
  <c r="Q235" i="57" s="1"/>
  <c r="G193" i="57"/>
  <c r="O233" i="57"/>
  <c r="P233" i="57" s="1"/>
  <c r="Q233" i="57" s="1"/>
  <c r="T166" i="57"/>
  <c r="T168" i="57"/>
  <c r="V116" i="57"/>
  <c r="V128" i="57" s="1"/>
  <c r="V156" i="57" s="1"/>
  <c r="V80" i="57"/>
  <c r="G191" i="57"/>
  <c r="O80" i="57"/>
  <c r="X80" i="57" s="1"/>
  <c r="U115" i="57"/>
  <c r="U127" i="57" s="1"/>
  <c r="U154" i="57" s="1"/>
  <c r="R207" i="57"/>
  <c r="S207" i="57" s="1"/>
  <c r="T207"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Q221" i="57"/>
  <c r="L105" i="47" s="1"/>
  <c r="AB235" i="57"/>
  <c r="S235" i="57"/>
  <c r="T235" i="57" s="1"/>
  <c r="U235" i="57" s="1"/>
  <c r="V235" i="57" s="1"/>
  <c r="W235" i="57" s="1"/>
  <c r="X235" i="57" s="1"/>
  <c r="Y235" i="57" s="1"/>
  <c r="Z235" i="57" s="1"/>
  <c r="AA235" i="57" s="1"/>
  <c r="T165" i="57"/>
  <c r="R205" i="57"/>
  <c r="S205" i="57" s="1"/>
  <c r="T205" i="57" s="1"/>
  <c r="Q219"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R219" i="57"/>
  <c r="M103" i="47" s="1"/>
  <c r="R221" i="57"/>
  <c r="M105" i="47" s="1"/>
  <c r="F191" i="57"/>
  <c r="U165" i="57"/>
  <c r="V167" i="57"/>
  <c r="G152" i="57" l="1"/>
  <c r="G189" i="57" s="1"/>
  <c r="P167" i="57"/>
  <c r="Y167" i="57" s="1"/>
  <c r="G167" i="57" s="1"/>
  <c r="P164" i="57"/>
  <c r="Y164" i="57" s="1"/>
  <c r="Y165" i="57"/>
  <c r="X166" i="57"/>
  <c r="U167" i="57"/>
  <c r="X168" i="57"/>
  <c r="X193" i="57"/>
  <c r="Y193" i="57" s="1"/>
  <c r="Z193" i="57" s="1"/>
  <c r="AA193" i="57" s="1"/>
  <c r="M221" i="57"/>
  <c r="O221" i="57"/>
  <c r="N207" i="57"/>
  <c r="O207" i="57" s="1"/>
  <c r="P207" i="57"/>
  <c r="Q207" i="57" s="1"/>
  <c r="O193" i="57"/>
  <c r="P193" i="57" s="1"/>
  <c r="Q193" i="57" s="1"/>
  <c r="R193" i="57" s="1"/>
  <c r="U164" i="57"/>
  <c r="O152" i="57"/>
  <c r="F152" i="57" s="1"/>
  <c r="O155" i="57"/>
  <c r="F155" i="57" s="1"/>
  <c r="O153" i="57"/>
  <c r="F153" i="57" s="1"/>
  <c r="Q218" i="57"/>
  <c r="L106" i="47" s="1"/>
  <c r="R204" i="57"/>
  <c r="S219" i="57"/>
  <c r="N103" i="47" s="1"/>
  <c r="S221" i="57"/>
  <c r="N105" i="47" s="1"/>
  <c r="K233" i="57"/>
  <c r="L233" i="57" s="1"/>
  <c r="M233" i="57"/>
  <c r="N233" i="57" s="1"/>
  <c r="O219" i="57"/>
  <c r="J103" i="47" s="1"/>
  <c r="M219" i="57"/>
  <c r="H103" i="47" s="1"/>
  <c r="P205" i="57"/>
  <c r="Q205" i="57" s="1"/>
  <c r="N205" i="57"/>
  <c r="O205" i="57" s="1"/>
  <c r="R203" i="57" l="1"/>
  <c r="Q217" i="57"/>
  <c r="L104" i="47" s="1"/>
  <c r="G165" i="57"/>
  <c r="O232" i="57" s="1"/>
  <c r="G164" i="57"/>
  <c r="O231" i="57" s="1"/>
  <c r="H105" i="47"/>
  <c r="N221" i="57"/>
  <c r="I105" i="47" s="1"/>
  <c r="X153" i="57"/>
  <c r="O165" i="57"/>
  <c r="F165" i="57" s="1"/>
  <c r="F190" i="57"/>
  <c r="J105" i="47"/>
  <c r="P221" i="57"/>
  <c r="K105" i="47" s="1"/>
  <c r="X152" i="57"/>
  <c r="O164" i="57"/>
  <c r="F164" i="57" s="1"/>
  <c r="F189" i="57"/>
  <c r="K235" i="57"/>
  <c r="L235" i="57" s="1"/>
  <c r="M235" i="57"/>
  <c r="N235" i="57" s="1"/>
  <c r="X155" i="57"/>
  <c r="O167" i="57"/>
  <c r="F167" i="57" s="1"/>
  <c r="P219" i="57"/>
  <c r="K103" i="47" s="1"/>
  <c r="N219" i="57"/>
  <c r="I103" i="47" s="1"/>
  <c r="X164" i="57" l="1"/>
  <c r="O169" i="57"/>
  <c r="O218" i="57"/>
  <c r="P204" i="57"/>
  <c r="N204" i="57"/>
  <c r="O204" i="57" s="1"/>
  <c r="M218" i="57"/>
  <c r="Q204" i="57"/>
  <c r="X165" i="57"/>
  <c r="N203" i="57"/>
  <c r="O203" i="57" s="1"/>
  <c r="P203" i="57"/>
  <c r="Q203" i="57" s="1"/>
  <c r="M217" i="57"/>
  <c r="H104" i="47" s="1"/>
  <c r="O217" i="57"/>
  <c r="J104" i="47" s="1"/>
  <c r="X167" i="57"/>
  <c r="O178" i="57"/>
  <c r="X178" i="57" s="1"/>
  <c r="P217" i="57" l="1"/>
  <c r="K104" i="47" s="1"/>
  <c r="H106" i="47"/>
  <c r="N218" i="57"/>
  <c r="I106" i="47" s="1"/>
  <c r="J106" i="47"/>
  <c r="P218" i="57"/>
  <c r="K106" i="47" s="1"/>
  <c r="O176" i="57"/>
  <c r="X176" i="57" s="1"/>
  <c r="O173" i="57"/>
  <c r="X173" i="57" s="1"/>
  <c r="O174" i="57"/>
  <c r="X174" i="57" s="1"/>
  <c r="O177" i="57"/>
  <c r="X177" i="57" s="1"/>
  <c r="O179" i="57"/>
  <c r="X179" i="57" s="1"/>
  <c r="O172" i="57"/>
  <c r="M232" i="57"/>
  <c r="N232" i="57" s="1"/>
  <c r="K232" i="57"/>
  <c r="L232" i="57" s="1"/>
  <c r="O175" i="57"/>
  <c r="X175" i="57" s="1"/>
  <c r="F169" i="57"/>
  <c r="F172" i="57" s="1"/>
  <c r="M231" i="57"/>
  <c r="N231" i="57" s="1"/>
  <c r="K231" i="57"/>
  <c r="L231" i="57" s="1"/>
  <c r="N217" i="57"/>
  <c r="I104" i="47" s="1"/>
  <c r="X172" i="57" l="1"/>
  <c r="O181" i="57"/>
  <c r="O182" i="57" l="1"/>
  <c r="X182" i="57" s="1"/>
  <c r="X181" i="57"/>
  <c r="Q80" i="57" l="1"/>
  <c r="Z80" i="57" s="1"/>
  <c r="R78" i="57"/>
  <c r="AA78" i="57" l="1"/>
  <c r="S78" i="57"/>
  <c r="AB78" i="57" s="1"/>
  <c r="Q117" i="57"/>
  <c r="S115" i="57"/>
  <c r="R115" i="57"/>
  <c r="R80" i="57"/>
  <c r="R127" i="57" l="1"/>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2" i="57" s="1"/>
  <c r="H192" i="57"/>
  <c r="S129" i="57"/>
  <c r="AB117" i="57"/>
  <c r="AB129" i="57" s="1"/>
  <c r="R155" i="57"/>
  <c r="R153" i="57"/>
  <c r="R152" i="57"/>
  <c r="S204" i="57"/>
  <c r="T204" i="57" s="1"/>
  <c r="R218" i="57"/>
  <c r="M106" i="47" s="1"/>
  <c r="S203" i="57" l="1"/>
  <c r="T203" i="57" s="1"/>
  <c r="R217" i="57"/>
  <c r="M104" i="47" s="1"/>
  <c r="H167" i="57"/>
  <c r="R234" i="57" s="1"/>
  <c r="P231" i="57"/>
  <c r="Q231" i="57" s="1"/>
  <c r="R231" i="57"/>
  <c r="T219" i="57"/>
  <c r="O103" i="47" s="1"/>
  <c r="X191" i="57"/>
  <c r="Y191" i="57" s="1"/>
  <c r="Z191" i="57" s="1"/>
  <c r="AA191" i="57" s="1"/>
  <c r="O191" i="57"/>
  <c r="P191" i="57" s="1"/>
  <c r="Q191" i="57" s="1"/>
  <c r="R191" i="57" s="1"/>
  <c r="AB166" i="57"/>
  <c r="J166" i="57" s="1"/>
  <c r="P232" i="57"/>
  <c r="Q232" i="57" s="1"/>
  <c r="AA166" i="57"/>
  <c r="I166" i="57" s="1"/>
  <c r="AB233" i="57" s="1"/>
  <c r="S153" i="57"/>
  <c r="S152" i="57"/>
  <c r="S155" i="57"/>
  <c r="AA152" i="57"/>
  <c r="I152" i="57" s="1"/>
  <c r="I189" i="57" s="1"/>
  <c r="R164" i="57"/>
  <c r="AA153" i="57"/>
  <c r="R165" i="57"/>
  <c r="AA155" i="57"/>
  <c r="I155" i="57" s="1"/>
  <c r="I192" i="57" s="1"/>
  <c r="R167" i="57"/>
  <c r="S217" i="57"/>
  <c r="N104" i="47" s="1"/>
  <c r="S218" i="57"/>
  <c r="N106" i="47" s="1"/>
  <c r="U205" i="57"/>
  <c r="I153" i="57" l="1"/>
  <c r="I190" i="57" s="1"/>
  <c r="AB153" i="57"/>
  <c r="J153" i="57" s="1"/>
  <c r="S165" i="57"/>
  <c r="S233" i="57"/>
  <c r="T233" i="57" s="1"/>
  <c r="U233" i="57" s="1"/>
  <c r="V233" i="57" s="1"/>
  <c r="W233" i="57" s="1"/>
  <c r="X233" i="57" s="1"/>
  <c r="Y233" i="57" s="1"/>
  <c r="Z233" i="57" s="1"/>
  <c r="AA233" i="57" s="1"/>
  <c r="AB152" i="57"/>
  <c r="J152" i="57" s="1"/>
  <c r="S164" i="57"/>
  <c r="AB155" i="57"/>
  <c r="J155" i="57" s="1"/>
  <c r="S167" i="57"/>
  <c r="AA167" i="57"/>
  <c r="I167" i="57" s="1"/>
  <c r="T220" i="57"/>
  <c r="O107" i="47" s="1"/>
  <c r="AA165" i="57"/>
  <c r="I165" i="57" s="1"/>
  <c r="O189" i="57"/>
  <c r="P189" i="57" s="1"/>
  <c r="Q189" i="57" s="1"/>
  <c r="R189" i="57" s="1"/>
  <c r="X189" i="57"/>
  <c r="Y189" i="57" s="1"/>
  <c r="Z189" i="57" s="1"/>
  <c r="AA189" i="57" s="1"/>
  <c r="T217" i="57"/>
  <c r="O104" i="47" s="1"/>
  <c r="AA164" i="57"/>
  <c r="I164" i="57" s="1"/>
  <c r="O190" i="57" l="1"/>
  <c r="P190" i="57" s="1"/>
  <c r="Q190" i="57" s="1"/>
  <c r="R190" i="57" s="1"/>
  <c r="X190" i="57"/>
  <c r="Y190" i="57" s="1"/>
  <c r="Z190" i="57" s="1"/>
  <c r="AA190" i="57" s="1"/>
  <c r="T218" i="57"/>
  <c r="O106" i="47" s="1"/>
  <c r="AB164" i="57"/>
  <c r="J164" i="57" s="1"/>
  <c r="AB165" i="57"/>
  <c r="J165" i="57" s="1"/>
  <c r="AB167" i="57"/>
  <c r="J167" i="57" s="1"/>
  <c r="V153" i="57" l="1"/>
  <c r="V152" i="57"/>
  <c r="V154" i="57"/>
  <c r="V166" i="57" l="1"/>
  <c r="V165" i="57"/>
  <c r="V164" i="57"/>
  <c r="S232" i="57" l="1"/>
  <c r="T232" i="57" s="1"/>
  <c r="U232" i="57" s="1"/>
  <c r="V232" i="57" s="1"/>
  <c r="W232" i="57" s="1"/>
  <c r="X232" i="57" s="1"/>
  <c r="Y232" i="57" s="1"/>
  <c r="Z232" i="57" s="1"/>
  <c r="AA232" i="57" s="1"/>
  <c r="AB232" i="57"/>
  <c r="O234" i="57"/>
  <c r="P234" i="57" s="1"/>
  <c r="Q234" i="57" s="1"/>
  <c r="S231" i="57"/>
  <c r="T231" i="57" s="1"/>
  <c r="U231" i="57" s="1"/>
  <c r="V231" i="57" s="1"/>
  <c r="W231" i="57" s="1"/>
  <c r="X231" i="57" s="1"/>
  <c r="Y231" i="57" s="1"/>
  <c r="Z231" i="57" s="1"/>
  <c r="AA231" i="57" s="1"/>
  <c r="AB231" i="57"/>
  <c r="S234" i="57"/>
  <c r="T234" i="57" s="1"/>
  <c r="U234" i="57" s="1"/>
  <c r="V234" i="57" s="1"/>
  <c r="W234" i="57" s="1"/>
  <c r="X234" i="57" s="1"/>
  <c r="Y234" i="57" s="1"/>
  <c r="Z234" i="57" s="1"/>
  <c r="AA234" i="57" s="1"/>
  <c r="AB234" i="57"/>
  <c r="F192" i="57"/>
  <c r="G192" i="57"/>
  <c r="U203" i="57"/>
  <c r="O192" i="57" l="1"/>
  <c r="P192" i="57" s="1"/>
  <c r="Q192" i="57" s="1"/>
  <c r="R192" i="57" s="1"/>
  <c r="X192" i="57"/>
  <c r="Y192" i="57" s="1"/>
  <c r="Z192" i="57" s="1"/>
  <c r="AA192" i="57" s="1"/>
  <c r="N206" i="57"/>
  <c r="O206" i="57" s="1"/>
  <c r="M220" i="57"/>
  <c r="H107" i="47" s="1"/>
  <c r="O220" i="57"/>
  <c r="J107" i="47" s="1"/>
  <c r="P206" i="57"/>
  <c r="Q206" i="57" s="1"/>
  <c r="AC138" i="57"/>
  <c r="X169" i="57"/>
  <c r="U204" i="57"/>
  <c r="U206" i="57"/>
  <c r="R206" i="57"/>
  <c r="S206" i="57" s="1"/>
  <c r="T206" i="57" s="1"/>
  <c r="Q220" i="57"/>
  <c r="L107" i="47" s="1"/>
  <c r="M234" i="57"/>
  <c r="N234" i="57" s="1"/>
  <c r="K234" i="57"/>
  <c r="L234" i="57" s="1"/>
  <c r="F178" i="57"/>
  <c r="P220" i="57" l="1"/>
  <c r="K107" i="47" s="1"/>
  <c r="R220" i="57"/>
  <c r="M107" i="47" s="1"/>
  <c r="AC137" i="57"/>
  <c r="AD138" i="57"/>
  <c r="F174" i="57"/>
  <c r="F175" i="57"/>
  <c r="F176" i="57"/>
  <c r="F179" i="57"/>
  <c r="F173" i="57"/>
  <c r="F177" i="57"/>
  <c r="N220" i="57"/>
  <c r="I107" i="47" s="1"/>
  <c r="S220"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K161" i="57"/>
  <c r="AC151" i="57"/>
  <c r="K151" i="57" s="1"/>
  <c r="K188" i="57" s="1"/>
  <c r="K163" i="57"/>
  <c r="Z150" i="57"/>
  <c r="Y162" i="57"/>
  <c r="G162" i="57" s="1"/>
  <c r="R149" i="57"/>
  <c r="AA149" i="57" s="1"/>
  <c r="AA132" i="57"/>
  <c r="AA151" i="57"/>
  <c r="AA150" i="57"/>
  <c r="AB230" i="57"/>
  <c r="U161" i="57"/>
  <c r="AD161" i="57" s="1" a="1"/>
  <c r="AD161" i="57" s="1"/>
  <c r="L161" i="57" s="1"/>
  <c r="AV229" i="57"/>
  <c r="AW229" i="57" s="1"/>
  <c r="AX229" i="57" s="1"/>
  <c r="R161" i="57"/>
  <c r="AA161" i="57" s="1"/>
  <c r="I161" i="57" s="1"/>
  <c r="AE150" i="57"/>
  <c r="T169" i="57"/>
  <c r="T173" i="57" s="1"/>
  <c r="AD150" i="57"/>
  <c r="AE161" i="57" a="1"/>
  <c r="AE161" i="57" s="1"/>
  <c r="AE151" i="57"/>
  <c r="T149" i="57"/>
  <c r="S162" i="57"/>
  <c r="AB162" i="57" s="1"/>
  <c r="J162" i="57" s="1"/>
  <c r="S132" i="57"/>
  <c r="AD163" i="57" a="1"/>
  <c r="AD163" i="57" s="1"/>
  <c r="L163" i="57" s="1"/>
  <c r="P150" i="57"/>
  <c r="P151" i="57"/>
  <c r="S150" i="57"/>
  <c r="P163" i="57"/>
  <c r="Y163" i="57" s="1"/>
  <c r="G163" i="57" s="1"/>
  <c r="S151" i="57"/>
  <c r="V149" i="57"/>
  <c r="P132" i="57"/>
  <c r="Q132" i="57"/>
  <c r="AB132" i="57" l="1"/>
  <c r="J132" i="57"/>
  <c r="Z132" i="57"/>
  <c r="H132" i="57"/>
  <c r="Y132" i="57"/>
  <c r="G132" i="57"/>
  <c r="AD215" i="57"/>
  <c r="Y102" i="47" s="1"/>
  <c r="AE201" i="57"/>
  <c r="M161" i="57"/>
  <c r="AE183" i="57"/>
  <c r="K149" i="57"/>
  <c r="K186" i="57" s="1"/>
  <c r="AD214" i="57" s="1"/>
  <c r="Y100" i="47" s="1"/>
  <c r="AE202" i="57"/>
  <c r="AD216" i="57"/>
  <c r="Y101" i="47" s="1"/>
  <c r="M150" i="57"/>
  <c r="M187" i="57" s="1"/>
  <c r="AP215" i="57" s="1"/>
  <c r="H150" i="57"/>
  <c r="H187" i="57" s="1"/>
  <c r="T201" i="57" s="1"/>
  <c r="L150" i="57"/>
  <c r="L187" i="57" s="1"/>
  <c r="I149" i="57"/>
  <c r="M151" i="57"/>
  <c r="M188" i="57" s="1"/>
  <c r="AP216" i="57" s="1"/>
  <c r="I150" i="57"/>
  <c r="I187" i="57" s="1"/>
  <c r="I151" i="57"/>
  <c r="I188" i="57" s="1"/>
  <c r="U169" i="57"/>
  <c r="U174" i="57" s="1"/>
  <c r="O229" i="57"/>
  <c r="P229" i="57" s="1"/>
  <c r="Q229" i="57" s="1"/>
  <c r="N229"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29" i="57"/>
  <c r="AL230" i="57"/>
  <c r="AM230" i="57" s="1"/>
  <c r="AN230" i="57" s="1"/>
  <c r="AO230" i="57" s="1"/>
  <c r="AP230" i="57" s="1"/>
  <c r="AQ230" i="57" s="1"/>
  <c r="AR230" i="57" s="1"/>
  <c r="AS230" i="57" s="1"/>
  <c r="AT230" i="57" s="1"/>
  <c r="AU230" i="57" s="1"/>
  <c r="AC230" i="57"/>
  <c r="AD230" i="57" s="1"/>
  <c r="AE230" i="57" s="1"/>
  <c r="AF230" i="57" s="1"/>
  <c r="AG230" i="57" s="1"/>
  <c r="AH230" i="57" s="1"/>
  <c r="AI230" i="57" s="1"/>
  <c r="AJ230" i="57" s="1"/>
  <c r="AK230" i="57" s="1"/>
  <c r="V178" i="57"/>
  <c r="V179" i="57"/>
  <c r="V175" i="57"/>
  <c r="V176" i="57"/>
  <c r="V174" i="57"/>
  <c r="V177" i="57"/>
  <c r="AV230" i="57"/>
  <c r="AW230" i="57" s="1"/>
  <c r="AX230" i="57" s="1"/>
  <c r="T175" i="57"/>
  <c r="AG175" i="57" s="1"/>
  <c r="T176" i="57"/>
  <c r="AG176" i="57" s="1"/>
  <c r="T177" i="57"/>
  <c r="AG177" i="57" s="1"/>
  <c r="T179" i="57"/>
  <c r="AG179" i="57" s="1"/>
  <c r="T178" i="57"/>
  <c r="AG178" i="57" s="1"/>
  <c r="Q163" i="57"/>
  <c r="Z163" i="57" s="1"/>
  <c r="H163" i="57" s="1"/>
  <c r="Q151" i="57"/>
  <c r="AD151" i="57"/>
  <c r="AC183" i="57"/>
  <c r="AV228" i="57"/>
  <c r="AW228" i="57" s="1"/>
  <c r="AX228" i="57" s="1"/>
  <c r="AD149" i="57"/>
  <c r="AD183" i="57"/>
  <c r="AE149" i="57"/>
  <c r="S161" i="57"/>
  <c r="AB161" i="57" s="1"/>
  <c r="J161" i="57" s="1"/>
  <c r="S149" i="57"/>
  <c r="R229" i="57"/>
  <c r="S229" i="57" s="1"/>
  <c r="T229" i="57" s="1"/>
  <c r="U229" i="57" s="1"/>
  <c r="V229" i="57" s="1"/>
  <c r="W229" i="57" s="1"/>
  <c r="X229" i="57" s="1"/>
  <c r="Y229" i="57" s="1"/>
  <c r="Z229" i="57" s="1"/>
  <c r="AA229" i="57" s="1"/>
  <c r="T172" i="57"/>
  <c r="K112" i="57" l="1"/>
  <c r="U177" i="57"/>
  <c r="U176" i="57"/>
  <c r="U178" i="57"/>
  <c r="U172" i="57"/>
  <c r="U175" i="57"/>
  <c r="U201" i="57"/>
  <c r="T215" i="57"/>
  <c r="O102" i="47" s="1"/>
  <c r="X187" i="57"/>
  <c r="Y187" i="57" s="1"/>
  <c r="Z187" i="57" s="1"/>
  <c r="AA187" i="57" s="1"/>
  <c r="AB187" i="57" s="1"/>
  <c r="AC187" i="57" s="1"/>
  <c r="I112" i="57"/>
  <c r="U179" i="57"/>
  <c r="X188" i="57"/>
  <c r="Y188" i="57" s="1"/>
  <c r="Z188" i="57" s="1"/>
  <c r="AA188" i="57" s="1"/>
  <c r="AB188" i="57" s="1"/>
  <c r="AC188" i="57" s="1"/>
  <c r="O188" i="57"/>
  <c r="P188" i="57" s="1"/>
  <c r="Q188" i="57" s="1"/>
  <c r="R188" i="57" s="1"/>
  <c r="S188" i="57" s="1"/>
  <c r="T188" i="57" s="1"/>
  <c r="U202" i="57"/>
  <c r="AN215" i="57"/>
  <c r="AO215" i="57" s="1"/>
  <c r="AE215" i="57"/>
  <c r="Z102" i="47" s="1"/>
  <c r="AO201" i="57"/>
  <c r="AP201" i="57" s="1"/>
  <c r="AQ201" i="57" s="1"/>
  <c r="AR201" i="57" s="1"/>
  <c r="AS201" i="57" s="1"/>
  <c r="AF201" i="57"/>
  <c r="AG201" i="57" s="1"/>
  <c r="AH201" i="57" s="1"/>
  <c r="AI201" i="57" s="1"/>
  <c r="AJ201" i="57" s="1"/>
  <c r="AK201" i="57" s="1"/>
  <c r="AL201" i="57" s="1"/>
  <c r="AM201" i="57" s="1"/>
  <c r="AN201" i="57" s="1"/>
  <c r="U215" i="57"/>
  <c r="V215" i="57" s="1"/>
  <c r="V201" i="57"/>
  <c r="W201" i="57" s="1"/>
  <c r="X201" i="57" s="1"/>
  <c r="Y201" i="57" s="1"/>
  <c r="Z201" i="57" s="1"/>
  <c r="AA201" i="57" s="1"/>
  <c r="AB201" i="57" s="1"/>
  <c r="AC201" i="57" s="1"/>
  <c r="AD201" i="57" s="1"/>
  <c r="AD187" i="57"/>
  <c r="AE187" i="57" s="1"/>
  <c r="AF187" i="57" s="1"/>
  <c r="AG187" i="57" s="1"/>
  <c r="AH187" i="57" s="1"/>
  <c r="AI187" i="57" s="1"/>
  <c r="AJ187" i="57" s="1"/>
  <c r="AK187" i="57" s="1"/>
  <c r="AL187" i="57" s="1"/>
  <c r="AM187" i="57" s="1"/>
  <c r="AN187" i="57" s="1"/>
  <c r="AO187" i="57" s="1"/>
  <c r="AP187" i="57" s="1"/>
  <c r="AQ187" i="57" s="1"/>
  <c r="AR187" i="57" s="1"/>
  <c r="I186" i="57"/>
  <c r="L151" i="57"/>
  <c r="L188" i="57" s="1"/>
  <c r="G151" i="57"/>
  <c r="G188" i="57" s="1"/>
  <c r="U173" i="57"/>
  <c r="U181" i="57" s="1"/>
  <c r="U182" i="57" s="1"/>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28" i="57"/>
  <c r="I169" i="57"/>
  <c r="R172" i="57"/>
  <c r="AA172" i="57" s="1"/>
  <c r="R179" i="57"/>
  <c r="AA179" i="57" s="1"/>
  <c r="R178" i="57"/>
  <c r="AA178" i="57" s="1"/>
  <c r="R175" i="57"/>
  <c r="AA175" i="57" s="1"/>
  <c r="R174" i="57"/>
  <c r="AA174" i="57" s="1"/>
  <c r="R177" i="57"/>
  <c r="AA177" i="57" s="1"/>
  <c r="R173" i="57"/>
  <c r="AA173" i="57" s="1"/>
  <c r="R176" i="57"/>
  <c r="AA176" i="57" s="1"/>
  <c r="AC229" i="57"/>
  <c r="AD229" i="57" s="1"/>
  <c r="AE229" i="57" s="1"/>
  <c r="AF229" i="57" s="1"/>
  <c r="AG229" i="57" s="1"/>
  <c r="AH229" i="57" s="1"/>
  <c r="AI229" i="57" s="1"/>
  <c r="AJ229" i="57" s="1"/>
  <c r="AK229" i="57" s="1"/>
  <c r="AL229" i="57"/>
  <c r="AM229" i="57" s="1"/>
  <c r="AN229" i="57" s="1"/>
  <c r="AO229" i="57" s="1"/>
  <c r="AP229" i="57" s="1"/>
  <c r="AQ229" i="57" s="1"/>
  <c r="AR229" i="57" s="1"/>
  <c r="AS229" i="57" s="1"/>
  <c r="AT229" i="57" s="1"/>
  <c r="AU229" i="57" s="1"/>
  <c r="AE200" i="57"/>
  <c r="AG180" i="57"/>
  <c r="AI177" i="57" s="1"/>
  <c r="S169" i="57"/>
  <c r="S172" i="57" s="1"/>
  <c r="AB172" i="57" s="1"/>
  <c r="T216" i="57"/>
  <c r="O101" i="47" s="1"/>
  <c r="AF215" i="57"/>
  <c r="P169" i="57"/>
  <c r="P172" i="57" s="1"/>
  <c r="Y172" i="57" s="1"/>
  <c r="O230" i="57"/>
  <c r="N230" i="57"/>
  <c r="Q169" i="57"/>
  <c r="Q172" i="57" s="1"/>
  <c r="Z172" i="57" s="1"/>
  <c r="AI102" i="47" l="1"/>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P215" i="57"/>
  <c r="K102" i="47" s="1"/>
  <c r="Q215" i="57"/>
  <c r="L102" i="47" s="1"/>
  <c r="R201" i="57"/>
  <c r="S201" i="57" s="1"/>
  <c r="Q201" i="57"/>
  <c r="P216" i="57"/>
  <c r="K101" i="47" s="1"/>
  <c r="Q202" i="57"/>
  <c r="R202" i="57"/>
  <c r="Q216" i="57"/>
  <c r="L101" i="47" s="1"/>
  <c r="AN216" i="57"/>
  <c r="AO216"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E216"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Q214" i="57" s="1"/>
  <c r="L100" i="47" s="1"/>
  <c r="AI175" i="57"/>
  <c r="AM175" i="57" s="1"/>
  <c r="AI178" i="57"/>
  <c r="AM178" i="57" s="1"/>
  <c r="R181" i="57"/>
  <c r="AI179" i="57"/>
  <c r="AJ179" i="57" s="1"/>
  <c r="I174" i="57"/>
  <c r="I176" i="57"/>
  <c r="I175" i="57"/>
  <c r="I177" i="57"/>
  <c r="I172" i="57"/>
  <c r="I179" i="57"/>
  <c r="I173" i="57"/>
  <c r="I178" i="57"/>
  <c r="U216"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G215" i="57"/>
  <c r="AC228" i="57"/>
  <c r="AD228" i="57" s="1"/>
  <c r="AE228" i="57" s="1"/>
  <c r="AF228" i="57" s="1"/>
  <c r="AG228" i="57" s="1"/>
  <c r="AH228" i="57" s="1"/>
  <c r="AI228" i="57" s="1"/>
  <c r="AJ228" i="57" s="1"/>
  <c r="AK228" i="57" s="1"/>
  <c r="AL228" i="57"/>
  <c r="AM228" i="57" s="1"/>
  <c r="AN228" i="57" s="1"/>
  <c r="AO228" i="57" s="1"/>
  <c r="AP228" i="57" s="1"/>
  <c r="AQ228" i="57" s="1"/>
  <c r="AR228" i="57" s="1"/>
  <c r="AS228" i="57" s="1"/>
  <c r="AT228" i="57" s="1"/>
  <c r="AU228" i="57" s="1"/>
  <c r="R228" i="57"/>
  <c r="S228" i="57" s="1"/>
  <c r="T228" i="57" s="1"/>
  <c r="U228" i="57" s="1"/>
  <c r="V228" i="57" s="1"/>
  <c r="W228" i="57" s="1"/>
  <c r="X228" i="57" s="1"/>
  <c r="Y228" i="57" s="1"/>
  <c r="Z228" i="57" s="1"/>
  <c r="AA228" i="57" s="1"/>
  <c r="H169" i="57"/>
  <c r="H172" i="57" s="1"/>
  <c r="T214" i="57"/>
  <c r="O100" i="47" s="1"/>
  <c r="G169" i="57"/>
  <c r="G172" i="57" s="1"/>
  <c r="O228" i="57"/>
  <c r="P228" i="57" s="1"/>
  <c r="Q228" i="57" s="1"/>
  <c r="N228" i="57"/>
  <c r="Q102" i="47"/>
  <c r="W215" i="57"/>
  <c r="P230" i="57"/>
  <c r="Q230" i="57" s="1"/>
  <c r="R230" i="57"/>
  <c r="S230" i="57" s="1"/>
  <c r="T230" i="57" s="1"/>
  <c r="U230" i="57" s="1"/>
  <c r="V230" i="57" s="1"/>
  <c r="W230" i="57" s="1"/>
  <c r="X230" i="57" s="1"/>
  <c r="Y230" i="57" s="1"/>
  <c r="Z230" i="57" s="1"/>
  <c r="AA230"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E214" i="57"/>
  <c r="Z100" i="47" s="1"/>
  <c r="AN214" i="57"/>
  <c r="Q174" i="57"/>
  <c r="S215" i="57"/>
  <c r="N102" i="47" s="1"/>
  <c r="AJ177" i="57"/>
  <c r="AM177" i="57"/>
  <c r="AI166" i="57"/>
  <c r="H112" i="57" l="1"/>
  <c r="AI168" i="57"/>
  <c r="AM179" i="57"/>
  <c r="Q200" i="57"/>
  <c r="AF216" i="57"/>
  <c r="R200" i="57"/>
  <c r="S200" i="57" s="1"/>
  <c r="P214" i="57"/>
  <c r="K100" i="47" s="1"/>
  <c r="AI101" i="47"/>
  <c r="S202" i="57"/>
  <c r="R216" i="57"/>
  <c r="M101" i="47" s="1"/>
  <c r="T202" i="57"/>
  <c r="S216" i="57"/>
  <c r="N101" i="47" s="1"/>
  <c r="R215" i="57"/>
  <c r="M102" i="47" s="1"/>
  <c r="AI176" i="57"/>
  <c r="AM176" i="57" s="1"/>
  <c r="V216" i="57"/>
  <c r="Q101" i="47" s="1"/>
  <c r="AI167" i="57"/>
  <c r="AC167" i="57" s="1" a="1"/>
  <c r="AC167" i="57" s="1"/>
  <c r="AJ178" i="57"/>
  <c r="AJ167" i="57" s="1"/>
  <c r="Q181" i="57"/>
  <c r="Z174" i="57"/>
  <c r="R182" i="57"/>
  <c r="AA182" i="57" s="1"/>
  <c r="AA181" i="57"/>
  <c r="S181" i="57"/>
  <c r="AP214" i="57"/>
  <c r="AO214" i="57" s="1"/>
  <c r="AI164" i="57"/>
  <c r="AJ175" i="57"/>
  <c r="AJ164" i="57" s="1"/>
  <c r="I181" i="57"/>
  <c r="I182" i="57" s="1"/>
  <c r="AF214" i="57"/>
  <c r="AA100" i="47" s="1"/>
  <c r="H174" i="57"/>
  <c r="U214" i="57"/>
  <c r="P100" i="47" s="1"/>
  <c r="P181" i="57"/>
  <c r="AB102" i="47"/>
  <c r="AH215" i="57"/>
  <c r="AN177" i="57"/>
  <c r="AK177" i="57"/>
  <c r="AJ166" i="57"/>
  <c r="AQ179" i="57"/>
  <c r="AQ168" i="57" s="1"/>
  <c r="AM168" i="57"/>
  <c r="AC168" i="57" s="1" a="1"/>
  <c r="AC168" i="57" s="1"/>
  <c r="AI100" i="47"/>
  <c r="G178" i="57"/>
  <c r="G179" i="57"/>
  <c r="G175" i="57"/>
  <c r="G176" i="57"/>
  <c r="G177" i="57"/>
  <c r="G173" i="57"/>
  <c r="G174" i="57"/>
  <c r="R214"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X215" i="57"/>
  <c r="AN178" i="57" l="1"/>
  <c r="AK178" i="57"/>
  <c r="H181" i="57"/>
  <c r="H182" i="57" s="1"/>
  <c r="W216" i="57"/>
  <c r="K168" i="57"/>
  <c r="AV235" i="57" s="1"/>
  <c r="AW235" i="57" s="1"/>
  <c r="AX235" i="57" s="1"/>
  <c r="AC156" i="57"/>
  <c r="K156" i="57" s="1"/>
  <c r="K193" i="57" s="1"/>
  <c r="K166" i="57"/>
  <c r="AV233" i="57" s="1"/>
  <c r="AW233" i="57" s="1"/>
  <c r="AX233" i="57" s="1"/>
  <c r="AC154" i="57"/>
  <c r="K154" i="57" s="1"/>
  <c r="K191" i="57" s="1"/>
  <c r="AC164" i="57" a="1"/>
  <c r="AC164" i="57" s="1"/>
  <c r="K164" i="57" s="1"/>
  <c r="AV231" i="57" s="1"/>
  <c r="AW231" i="57" s="1"/>
  <c r="AX231" i="57" s="1"/>
  <c r="AI165" i="57"/>
  <c r="AC165" i="57" s="1" a="1"/>
  <c r="AC165" i="57" s="1"/>
  <c r="K165" i="57" s="1"/>
  <c r="AV232" i="57" s="1"/>
  <c r="AW232" i="57" s="1"/>
  <c r="AX232" i="57" s="1"/>
  <c r="AA101" i="47"/>
  <c r="AG216" i="57"/>
  <c r="AC155" i="57"/>
  <c r="K167" i="57"/>
  <c r="J193" i="57"/>
  <c r="U221" i="57" s="1"/>
  <c r="P105" i="47" s="1"/>
  <c r="J191" i="57"/>
  <c r="U219" i="57" s="1"/>
  <c r="P103" i="47" s="1"/>
  <c r="AJ176" i="57"/>
  <c r="AN176" i="57" s="1"/>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AL234" i="57"/>
  <c r="AM234" i="57" s="1"/>
  <c r="AN234" i="57" s="1"/>
  <c r="AO234" i="57" s="1"/>
  <c r="AP234" i="57" s="1"/>
  <c r="AQ234" i="57" s="1"/>
  <c r="AR234" i="57" s="1"/>
  <c r="AS234" i="57" s="1"/>
  <c r="AT234" i="57" s="1"/>
  <c r="AU234" i="57" s="1"/>
  <c r="AC234" i="57"/>
  <c r="AD234" i="57" s="1"/>
  <c r="AE234" i="57" s="1"/>
  <c r="AF234" i="57" s="1"/>
  <c r="AG234" i="57" s="1"/>
  <c r="AH234" i="57" s="1"/>
  <c r="AI234" i="57" s="1"/>
  <c r="AJ234" i="57" s="1"/>
  <c r="AK234" i="57" s="1"/>
  <c r="AK175" i="57"/>
  <c r="AO175" i="57" s="1"/>
  <c r="AN175" i="57"/>
  <c r="AN164" i="57" s="1"/>
  <c r="S182" i="57"/>
  <c r="AB182" i="57" s="1"/>
  <c r="AB181" i="57"/>
  <c r="P182" i="57"/>
  <c r="Y182" i="57" s="1"/>
  <c r="Y181" i="57"/>
  <c r="Q182" i="57"/>
  <c r="Z182" i="57" s="1"/>
  <c r="Z181" i="57"/>
  <c r="V214" i="57"/>
  <c r="Q100" i="47" s="1"/>
  <c r="AG214" i="57"/>
  <c r="AH214" i="57" s="1"/>
  <c r="G181" i="57"/>
  <c r="G182" i="57" s="1"/>
  <c r="AR178" i="57"/>
  <c r="AR167" i="57" s="1"/>
  <c r="AN167" i="57"/>
  <c r="AQ176" i="57"/>
  <c r="AQ165" i="57" s="1"/>
  <c r="AM165" i="57"/>
  <c r="M100" i="47"/>
  <c r="S214" i="57"/>
  <c r="N100" i="47" s="1"/>
  <c r="AO177" i="57"/>
  <c r="AK166" i="57"/>
  <c r="R101" i="47"/>
  <c r="X216" i="57"/>
  <c r="AR177" i="57"/>
  <c r="AR166" i="57" s="1"/>
  <c r="AN166" i="57"/>
  <c r="AD166" i="57" s="1" a="1"/>
  <c r="AD166" i="57" s="1"/>
  <c r="AR179" i="57"/>
  <c r="AR168" i="57" s="1"/>
  <c r="AD168" i="57" s="1" a="1"/>
  <c r="AD168" i="57" s="1"/>
  <c r="AN168" i="57"/>
  <c r="AO179" i="57"/>
  <c r="AK168" i="57"/>
  <c r="AC102" i="47"/>
  <c r="AI215" i="57"/>
  <c r="AO178" i="57"/>
  <c r="AK167" i="57"/>
  <c r="S102" i="47"/>
  <c r="Y215" i="57"/>
  <c r="AD167" i="57" l="1"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H216" i="57"/>
  <c r="AE207" i="57"/>
  <c r="AD221" i="57"/>
  <c r="Y105" i="47" s="1"/>
  <c r="S193" i="57"/>
  <c r="T193" i="57" s="1"/>
  <c r="AB193" i="57"/>
  <c r="AC193" i="57" s="1"/>
  <c r="AV234" i="57"/>
  <c r="AW234" i="57" s="1"/>
  <c r="AX234" i="57" s="1"/>
  <c r="L156" i="57"/>
  <c r="L193" i="57" s="1"/>
  <c r="J192" i="57"/>
  <c r="K155" i="57"/>
  <c r="K192" i="57" s="1"/>
  <c r="J189" i="57"/>
  <c r="U217" i="57" s="1"/>
  <c r="P104" i="47" s="1"/>
  <c r="K152" i="57"/>
  <c r="K189" i="57" s="1"/>
  <c r="V219" i="57"/>
  <c r="Q103" i="47" s="1"/>
  <c r="J190" i="57"/>
  <c r="V204" i="57" s="1"/>
  <c r="V205" i="57"/>
  <c r="W205" i="57" s="1"/>
  <c r="X205" i="57" s="1"/>
  <c r="Y205" i="57" s="1"/>
  <c r="Z205" i="57" s="1"/>
  <c r="AA205" i="57" s="1"/>
  <c r="AB205" i="57" s="1"/>
  <c r="AC205" i="57" s="1"/>
  <c r="AD205" i="57" s="1"/>
  <c r="K169" i="57"/>
  <c r="K178" i="57" s="1"/>
  <c r="AE205" i="57"/>
  <c r="AD219" i="57"/>
  <c r="Y103" i="47" s="1"/>
  <c r="S191" i="57"/>
  <c r="T191" i="57" s="1"/>
  <c r="AB191" i="57"/>
  <c r="AC191" i="57" s="1"/>
  <c r="AR175" i="57"/>
  <c r="AR164" i="57" s="1"/>
  <c r="AD164" i="57" s="1" a="1"/>
  <c r="AD164" i="57" s="1"/>
  <c r="V221" i="57"/>
  <c r="Q105" i="47" s="1"/>
  <c r="AK176" i="57"/>
  <c r="AO176" i="57" s="1"/>
  <c r="AK164" i="57"/>
  <c r="AC172" i="57"/>
  <c r="AC174" i="57"/>
  <c r="AL231" i="57"/>
  <c r="AM231" i="57" s="1"/>
  <c r="AN231" i="57" s="1"/>
  <c r="AO231" i="57" s="1"/>
  <c r="AP231" i="57" s="1"/>
  <c r="AQ231" i="57" s="1"/>
  <c r="AR231" i="57" s="1"/>
  <c r="AS231" i="57" s="1"/>
  <c r="AT231" i="57" s="1"/>
  <c r="AU231" i="57" s="1"/>
  <c r="AC231" i="57"/>
  <c r="AD231" i="57" s="1"/>
  <c r="AE231" i="57" s="1"/>
  <c r="AF231" i="57" s="1"/>
  <c r="AG231" i="57" s="1"/>
  <c r="AH231" i="57" s="1"/>
  <c r="AI231" i="57" s="1"/>
  <c r="AJ231" i="57" s="1"/>
  <c r="AK231" i="57" s="1"/>
  <c r="J169" i="57"/>
  <c r="J175" i="57" s="1"/>
  <c r="AL232" i="57"/>
  <c r="AM232" i="57" s="1"/>
  <c r="AN232" i="57" s="1"/>
  <c r="AO232" i="57" s="1"/>
  <c r="AP232" i="57" s="1"/>
  <c r="AQ232" i="57" s="1"/>
  <c r="AR232" i="57" s="1"/>
  <c r="AS232" i="57" s="1"/>
  <c r="AT232" i="57" s="1"/>
  <c r="AU232" i="57" s="1"/>
  <c r="AC232" i="57"/>
  <c r="AD232" i="57" s="1"/>
  <c r="AE232" i="57" s="1"/>
  <c r="AF232" i="57" s="1"/>
  <c r="AG232" i="57" s="1"/>
  <c r="AH232" i="57" s="1"/>
  <c r="AI232" i="57" s="1"/>
  <c r="AJ232" i="57" s="1"/>
  <c r="AK232" i="57" s="1"/>
  <c r="W214" i="57"/>
  <c r="R100" i="47" s="1"/>
  <c r="AB100" i="47"/>
  <c r="AS177" i="57"/>
  <c r="AS166" i="57" s="1"/>
  <c r="AO166" i="57"/>
  <c r="AS179" i="57"/>
  <c r="AS168" i="57" s="1"/>
  <c r="AO168" i="57"/>
  <c r="AE168" i="57" s="1" a="1"/>
  <c r="AE168" i="57" s="1"/>
  <c r="AC100" i="47"/>
  <c r="AI214" i="57"/>
  <c r="T102" i="47"/>
  <c r="Z215" i="57"/>
  <c r="AR176" i="57"/>
  <c r="AR165" i="57" s="1"/>
  <c r="AN165" i="57"/>
  <c r="AS175" i="57"/>
  <c r="AS164" i="57" s="1"/>
  <c r="AO164" i="57"/>
  <c r="AS178" i="57"/>
  <c r="AS167" i="57" s="1"/>
  <c r="AO167" i="57"/>
  <c r="AE167" i="57" s="1" a="1"/>
  <c r="AE167" i="57" s="1"/>
  <c r="AD102" i="47"/>
  <c r="AJ215" i="57"/>
  <c r="S101" i="47"/>
  <c r="Y216" i="57"/>
  <c r="AD155" i="57" l="1"/>
  <c r="L155" i="57" s="1"/>
  <c r="L192" i="57" s="1"/>
  <c r="AE166" i="57" a="1"/>
  <c r="AE166" i="57" s="1"/>
  <c r="M166" i="57" s="1"/>
  <c r="AC179" i="57"/>
  <c r="AC176" i="57"/>
  <c r="U218" i="57"/>
  <c r="P106" i="47" s="1"/>
  <c r="AC177" i="57"/>
  <c r="AC178" i="57"/>
  <c r="L164" i="57"/>
  <c r="AD152" i="57"/>
  <c r="L152" i="57" s="1"/>
  <c r="L189" i="57" s="1"/>
  <c r="AN217"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P220" i="57" s="1"/>
  <c r="AD165" i="57" a="1"/>
  <c r="AD165" i="57" s="1"/>
  <c r="AE164" i="57" a="1"/>
  <c r="AE164" i="57" s="1"/>
  <c r="W219" i="57"/>
  <c r="R103" i="47" s="1"/>
  <c r="AK165" i="57"/>
  <c r="AC101" i="47"/>
  <c r="AI216"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N221" i="57"/>
  <c r="AE221" i="57"/>
  <c r="Z105" i="47" s="1"/>
  <c r="AO206" i="57"/>
  <c r="AN220" i="57"/>
  <c r="AI107" i="47" s="1"/>
  <c r="AO205" i="57"/>
  <c r="U191" i="57"/>
  <c r="AD191" i="57"/>
  <c r="AE219" i="57"/>
  <c r="Z103" i="47" s="1"/>
  <c r="AF205" i="57"/>
  <c r="AG205" i="57" s="1"/>
  <c r="AH205" i="57" s="1"/>
  <c r="AI205" i="57" s="1"/>
  <c r="AJ205" i="57" s="1"/>
  <c r="AK205" i="57" s="1"/>
  <c r="AL205" i="57" s="1"/>
  <c r="AM205" i="57" s="1"/>
  <c r="AN205" i="57" s="1"/>
  <c r="AN219" i="57"/>
  <c r="AI103" i="47" s="1"/>
  <c r="AE206" i="57"/>
  <c r="AF206" i="57" s="1"/>
  <c r="AG206" i="57" s="1"/>
  <c r="AH206" i="57" s="1"/>
  <c r="AI206" i="57" s="1"/>
  <c r="AJ206" i="57" s="1"/>
  <c r="AK206" i="57" s="1"/>
  <c r="AL206" i="57" s="1"/>
  <c r="AM206" i="57" s="1"/>
  <c r="AN206" i="57" s="1"/>
  <c r="AD220" i="57"/>
  <c r="Y107" i="47" s="1"/>
  <c r="AB192" i="57"/>
  <c r="AC192" i="57" s="1"/>
  <c r="AD192" i="57" s="1"/>
  <c r="S192" i="57"/>
  <c r="T192" i="57" s="1"/>
  <c r="U192" i="57" s="1"/>
  <c r="U220"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D218" i="57"/>
  <c r="Y106" i="47" s="1"/>
  <c r="W221" i="57"/>
  <c r="X221" i="57" s="1"/>
  <c r="AE203" i="57"/>
  <c r="S189" i="57"/>
  <c r="T189" i="57" s="1"/>
  <c r="AB189" i="57"/>
  <c r="AC189" i="57" s="1"/>
  <c r="AD189" i="57" s="1"/>
  <c r="AD217" i="57"/>
  <c r="Y104" i="47" s="1"/>
  <c r="V217" i="57"/>
  <c r="V218" i="57"/>
  <c r="Q106" i="47" s="1"/>
  <c r="J176" i="57"/>
  <c r="AI105" i="47"/>
  <c r="X214" i="57"/>
  <c r="S100" i="47" s="1"/>
  <c r="J172" i="57"/>
  <c r="J174" i="57"/>
  <c r="J173" i="57"/>
  <c r="J177" i="57"/>
  <c r="J178" i="57"/>
  <c r="J179" i="57"/>
  <c r="AE102" i="47"/>
  <c r="AK215" i="57"/>
  <c r="AD100" i="47"/>
  <c r="AJ214" i="57"/>
  <c r="U102" i="47"/>
  <c r="AA215" i="57"/>
  <c r="AS176" i="57"/>
  <c r="AS165" i="57" s="1"/>
  <c r="AO165" i="57"/>
  <c r="T101" i="47"/>
  <c r="Z216" i="57"/>
  <c r="U189" i="57" l="1"/>
  <c r="AF203" i="57"/>
  <c r="AG203" i="57" s="1"/>
  <c r="AH203" i="57" s="1"/>
  <c r="AI203" i="57" s="1"/>
  <c r="AJ203" i="57" s="1"/>
  <c r="AK203" i="57" s="1"/>
  <c r="AL203" i="57" s="1"/>
  <c r="AM203" i="57" s="1"/>
  <c r="AN203" i="57" s="1"/>
  <c r="AO203" i="57"/>
  <c r="AE154" i="57"/>
  <c r="M154" i="57" s="1"/>
  <c r="M191" i="57" s="1"/>
  <c r="V191" i="57" s="1"/>
  <c r="AF221" i="57"/>
  <c r="AA105" i="47" s="1"/>
  <c r="AE165" i="57" a="1"/>
  <c r="AE165" i="57" s="1"/>
  <c r="L165" i="57"/>
  <c r="AD169" i="57"/>
  <c r="AD176" i="57" s="1"/>
  <c r="AD153" i="57"/>
  <c r="L153" i="57" s="1"/>
  <c r="L190" i="57" s="1"/>
  <c r="AD190" i="57" s="1"/>
  <c r="M164" i="57"/>
  <c r="AE152" i="57"/>
  <c r="M152" i="57" s="1"/>
  <c r="M189" i="57" s="1"/>
  <c r="X219" i="57"/>
  <c r="S103" i="47" s="1"/>
  <c r="AQ207" i="57"/>
  <c r="AR207" i="57" s="1"/>
  <c r="AS207" i="57" s="1"/>
  <c r="AP207" i="57"/>
  <c r="AP221" i="57"/>
  <c r="AO221" i="57" s="1"/>
  <c r="AE193" i="57"/>
  <c r="AF193" i="57" s="1"/>
  <c r="AG193" i="57" s="1"/>
  <c r="AH193" i="57" s="1"/>
  <c r="AI193" i="57" s="1"/>
  <c r="AJ193" i="57" s="1"/>
  <c r="AK193" i="57" s="1"/>
  <c r="AL193" i="57" s="1"/>
  <c r="AM193" i="57" s="1"/>
  <c r="AN193" i="57" s="1"/>
  <c r="AO193" i="57" s="1"/>
  <c r="AP193" i="57" s="1"/>
  <c r="AQ193" i="57" s="1"/>
  <c r="AR193" i="57" s="1"/>
  <c r="R105" i="47"/>
  <c r="AF219" i="57"/>
  <c r="AA103" i="47" s="1"/>
  <c r="K181" i="57"/>
  <c r="K182" i="57" s="1"/>
  <c r="V192" i="57"/>
  <c r="AD101" i="47"/>
  <c r="AJ216" i="57"/>
  <c r="AO220" i="57"/>
  <c r="AE192" i="57"/>
  <c r="AF192" i="57" s="1"/>
  <c r="AG192" i="57" s="1"/>
  <c r="AH192" i="57" s="1"/>
  <c r="AI192" i="57" s="1"/>
  <c r="AJ192" i="57" s="1"/>
  <c r="AK192" i="57" s="1"/>
  <c r="AL192" i="57" s="1"/>
  <c r="AM192" i="57" s="1"/>
  <c r="AN192" i="57" s="1"/>
  <c r="AO192" i="57" s="1"/>
  <c r="AP192" i="57" s="1"/>
  <c r="AQ192" i="57" s="1"/>
  <c r="AR192" i="57" s="1"/>
  <c r="V193" i="57"/>
  <c r="AE217" i="57"/>
  <c r="AP206" i="57"/>
  <c r="AQ206" i="57" s="1"/>
  <c r="AR206" i="57" s="1"/>
  <c r="AS206" i="57" s="1"/>
  <c r="V220" i="57"/>
  <c r="AE220" i="57"/>
  <c r="Y214" i="57"/>
  <c r="T100" i="47" s="1"/>
  <c r="W218" i="57"/>
  <c r="R106" i="47" s="1"/>
  <c r="Q104" i="47"/>
  <c r="W217" i="57"/>
  <c r="J181" i="57"/>
  <c r="J182" i="57" s="1"/>
  <c r="S105" i="47"/>
  <c r="Y221" i="57"/>
  <c r="U101" i="47"/>
  <c r="AA216" i="57"/>
  <c r="AE100" i="47"/>
  <c r="AK214" i="57"/>
  <c r="AF102" i="47"/>
  <c r="AL215" i="57"/>
  <c r="V102" i="47"/>
  <c r="AB215" i="57"/>
  <c r="AG221" i="57" l="1"/>
  <c r="AO204" i="57"/>
  <c r="AN218" i="57"/>
  <c r="AI106" i="47" s="1"/>
  <c r="AE218" i="57"/>
  <c r="U190" i="57"/>
  <c r="AF204" i="57"/>
  <c r="AG204" i="57" s="1"/>
  <c r="AH204" i="57" s="1"/>
  <c r="AI204" i="57" s="1"/>
  <c r="AJ204" i="57" s="1"/>
  <c r="AK204" i="57" s="1"/>
  <c r="AL204" i="57" s="1"/>
  <c r="AM204" i="57" s="1"/>
  <c r="AN204" i="57" s="1"/>
  <c r="AP219" i="57"/>
  <c r="AO219"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Y219" i="57"/>
  <c r="Z219"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G219" i="57"/>
  <c r="AB103" i="47" s="1"/>
  <c r="AE169" i="57"/>
  <c r="AD174" i="57"/>
  <c r="AD173" i="57"/>
  <c r="AD175" i="57"/>
  <c r="AD172" i="57"/>
  <c r="AD177" i="57"/>
  <c r="AD179" i="57"/>
  <c r="AD178" i="57"/>
  <c r="L169" i="57"/>
  <c r="L176" i="57" s="1"/>
  <c r="Z214" i="57"/>
  <c r="U100" i="47" s="1"/>
  <c r="AK216"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P217" i="57"/>
  <c r="AO217" i="57" s="1"/>
  <c r="Z104" i="47"/>
  <c r="AF217" i="57"/>
  <c r="Z107" i="47"/>
  <c r="AF220" i="57"/>
  <c r="Q107" i="47"/>
  <c r="W220" i="57"/>
  <c r="X218" i="57"/>
  <c r="S106" i="47" s="1"/>
  <c r="R104" i="47"/>
  <c r="X217" i="57"/>
  <c r="T105" i="47"/>
  <c r="Z221" i="57"/>
  <c r="AB105" i="47"/>
  <c r="AH221" i="57"/>
  <c r="W102" i="47"/>
  <c r="AC215" i="57"/>
  <c r="X102" i="47" s="1"/>
  <c r="AG102" i="47"/>
  <c r="AM215" i="57"/>
  <c r="AH102" i="47" s="1"/>
  <c r="V101" i="47"/>
  <c r="AB216" i="57"/>
  <c r="AF100" i="47"/>
  <c r="AL214" i="57"/>
  <c r="AP218" i="57" l="1"/>
  <c r="AO218" i="57" s="1"/>
  <c r="M176" i="57"/>
  <c r="M177" i="57"/>
  <c r="M175" i="57"/>
  <c r="M178" i="57"/>
  <c r="M179" i="57"/>
  <c r="AD181" i="57"/>
  <c r="AD182" i="57" s="1"/>
  <c r="M172" i="57"/>
  <c r="Z106" i="47"/>
  <c r="AF218" i="57"/>
  <c r="AP204" i="57"/>
  <c r="AQ204" i="57" s="1"/>
  <c r="AR204" i="57" s="1"/>
  <c r="AS204" i="57" s="1"/>
  <c r="M173" i="57"/>
  <c r="M181" i="57" s="1"/>
  <c r="M182" i="57" s="1"/>
  <c r="AH219" i="57"/>
  <c r="AI219" i="57" s="1"/>
  <c r="AD103" i="47" s="1"/>
  <c r="V190" i="57"/>
  <c r="AA214" i="57"/>
  <c r="V100" i="47" s="1"/>
  <c r="AA219" i="57"/>
  <c r="AB219" i="57" s="1"/>
  <c r="T103" i="47"/>
  <c r="AE172" i="57"/>
  <c r="AE179" i="57"/>
  <c r="AE177" i="57"/>
  <c r="AE176" i="57"/>
  <c r="AE178" i="57"/>
  <c r="AE174" i="57"/>
  <c r="AE175" i="57"/>
  <c r="AE173" i="57"/>
  <c r="Y218" i="57"/>
  <c r="T106" i="47" s="1"/>
  <c r="L179" i="57"/>
  <c r="L177" i="57"/>
  <c r="L178" i="57"/>
  <c r="L175" i="57"/>
  <c r="L172" i="57"/>
  <c r="L174" i="57"/>
  <c r="L173" i="57"/>
  <c r="AF101" i="47"/>
  <c r="AL216" i="57"/>
  <c r="R107" i="47"/>
  <c r="X220" i="57"/>
  <c r="AA107" i="47"/>
  <c r="AG220" i="57"/>
  <c r="AA104" i="47"/>
  <c r="AG217" i="57"/>
  <c r="S104" i="47"/>
  <c r="Y217" i="57"/>
  <c r="AC105" i="47"/>
  <c r="AI221" i="57"/>
  <c r="U105" i="47"/>
  <c r="AA221" i="57"/>
  <c r="AB214" i="57"/>
  <c r="AG100" i="47"/>
  <c r="AM214" i="57"/>
  <c r="AH100" i="47" s="1"/>
  <c r="W101" i="47"/>
  <c r="AC216" i="57"/>
  <c r="X101" i="47" s="1"/>
  <c r="AJ219" i="57" l="1"/>
  <c r="AA106" i="47"/>
  <c r="AG218" i="57"/>
  <c r="V103" i="47"/>
  <c r="AC103" i="47"/>
  <c r="Z218" i="57"/>
  <c r="U106" i="47" s="1"/>
  <c r="AE181" i="57"/>
  <c r="AE182" i="57" s="1"/>
  <c r="L181" i="57"/>
  <c r="L182" i="57" s="1"/>
  <c r="AG101" i="47"/>
  <c r="AM216" i="57"/>
  <c r="AH101" i="47" s="1"/>
  <c r="AH217" i="57"/>
  <c r="AB104" i="47"/>
  <c r="AB107" i="47"/>
  <c r="AH220" i="57"/>
  <c r="Y220" i="57"/>
  <c r="S107" i="47"/>
  <c r="T104" i="47"/>
  <c r="Z217" i="57"/>
  <c r="AD105" i="47"/>
  <c r="AJ221" i="57"/>
  <c r="AE103" i="47"/>
  <c r="AK219" i="57"/>
  <c r="V105" i="47"/>
  <c r="AB221" i="57"/>
  <c r="W103" i="47"/>
  <c r="AC219" i="57"/>
  <c r="X103" i="47" s="1"/>
  <c r="W100" i="47"/>
  <c r="AC214" i="57"/>
  <c r="X100" i="47" s="1"/>
  <c r="AQ221" i="57"/>
  <c r="AR221" i="57" s="1"/>
  <c r="AM105" i="47" s="1"/>
  <c r="AQ218" i="57"/>
  <c r="AK105" i="47"/>
  <c r="AQ216" i="57"/>
  <c r="AK102" i="47"/>
  <c r="AJ100" i="47"/>
  <c r="AJ105" i="47"/>
  <c r="AQ217" i="57"/>
  <c r="AJ107" i="47"/>
  <c r="AK103" i="47"/>
  <c r="AA218" i="57" l="1"/>
  <c r="AB106" i="47"/>
  <c r="AH218" i="57"/>
  <c r="T107" i="47"/>
  <c r="Z220" i="57"/>
  <c r="AC107" i="47"/>
  <c r="AI220" i="57"/>
  <c r="AC104" i="47"/>
  <c r="AI217" i="57"/>
  <c r="U104" i="47"/>
  <c r="AA217" i="57"/>
  <c r="V106" i="47"/>
  <c r="AB218" i="57"/>
  <c r="AF103" i="47"/>
  <c r="AL219" i="57"/>
  <c r="AE105" i="47"/>
  <c r="AK221" i="57"/>
  <c r="W105" i="47"/>
  <c r="AC221" i="57"/>
  <c r="X105" i="47" s="1"/>
  <c r="AK107" i="47"/>
  <c r="AQ220" i="57"/>
  <c r="AK104" i="47"/>
  <c r="AK101" i="47"/>
  <c r="AL101" i="47"/>
  <c r="AR216" i="57"/>
  <c r="AM101" i="47" s="1"/>
  <c r="AR217" i="57"/>
  <c r="AM104" i="47" s="1"/>
  <c r="AL104" i="47"/>
  <c r="AL106" i="47"/>
  <c r="AR218" i="57"/>
  <c r="AM106" i="47" s="1"/>
  <c r="AQ215" i="57"/>
  <c r="AJ104" i="47"/>
  <c r="AK100" i="47"/>
  <c r="AK106" i="47"/>
  <c r="AL105" i="47"/>
  <c r="AJ101" i="47"/>
  <c r="AJ102" i="47"/>
  <c r="AQ219" i="57"/>
  <c r="AJ106" i="47"/>
  <c r="AJ103" i="47"/>
  <c r="AQ214" i="57"/>
  <c r="AC106" i="47" l="1"/>
  <c r="AI218" i="57"/>
  <c r="AD104" i="47"/>
  <c r="AJ217" i="57"/>
  <c r="AD107" i="47"/>
  <c r="AJ220" i="57"/>
  <c r="AA220" i="57"/>
  <c r="U107" i="47"/>
  <c r="V104" i="47"/>
  <c r="AB217" i="57"/>
  <c r="W106" i="47"/>
  <c r="AC218" i="57"/>
  <c r="X106" i="47" s="1"/>
  <c r="AG103" i="47"/>
  <c r="AM219" i="57"/>
  <c r="AH103" i="47" s="1"/>
  <c r="AF105" i="47"/>
  <c r="AL221" i="57"/>
  <c r="AL107" i="47"/>
  <c r="AR220" i="57"/>
  <c r="AM107" i="47" s="1"/>
  <c r="AL102" i="47"/>
  <c r="AR215" i="57"/>
  <c r="AM102" i="47" s="1"/>
  <c r="AL100" i="47"/>
  <c r="AR214" i="57"/>
  <c r="AM100" i="47" s="1"/>
  <c r="AR219" i="57"/>
  <c r="AM103" i="47" s="1"/>
  <c r="AL103" i="47"/>
  <c r="AD106" i="47" l="1"/>
  <c r="AJ218" i="57"/>
  <c r="V107" i="47"/>
  <c r="AB220" i="57"/>
  <c r="AE107" i="47"/>
  <c r="AK220" i="57"/>
  <c r="AE104" i="47"/>
  <c r="AK217" i="57"/>
  <c r="W104" i="47"/>
  <c r="AC217" i="57"/>
  <c r="X104" i="47" s="1"/>
  <c r="AG105" i="47"/>
  <c r="AM221" i="57"/>
  <c r="AH105" i="47" s="1"/>
  <c r="AK218" i="57" l="1"/>
  <c r="AE106" i="47"/>
  <c r="AF104" i="47"/>
  <c r="AL217" i="57"/>
  <c r="AC220" i="57"/>
  <c r="X107" i="47" s="1"/>
  <c r="W107" i="47"/>
  <c r="AF107" i="47"/>
  <c r="AL220" i="57"/>
  <c r="AF106" i="47" l="1"/>
  <c r="AL218" i="57"/>
  <c r="AM220" i="57"/>
  <c r="AH107" i="47" s="1"/>
  <c r="AG107" i="47"/>
  <c r="AG104" i="47"/>
  <c r="AM217" i="57"/>
  <c r="AH104" i="47" s="1"/>
  <c r="AG106" i="47" l="1"/>
  <c r="AM218"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K128" i="57" s="1"/>
  <c r="H123" i="57"/>
  <c r="M124" i="57"/>
  <c r="I123" i="57"/>
  <c r="J115" i="57"/>
  <c r="F119" i="57"/>
  <c r="J119" i="57"/>
  <c r="F125" i="57"/>
  <c r="G117" i="57"/>
  <c r="G129" i="57" s="1"/>
  <c r="L120" i="57"/>
  <c r="H125" i="57"/>
  <c r="J120" i="57"/>
  <c r="M127" i="57"/>
  <c r="I115" i="57"/>
  <c r="J121" i="57"/>
  <c r="AC67" i="57"/>
  <c r="AC70" i="57"/>
  <c r="L124" i="57"/>
  <c r="F115" i="57"/>
  <c r="F124" i="57"/>
  <c r="H121" i="57"/>
  <c r="J124" i="57"/>
  <c r="F117" i="57"/>
  <c r="L123" i="57"/>
  <c r="F123" i="57"/>
  <c r="J129" i="57" l="1"/>
  <c r="K127" i="57"/>
  <c r="L128" i="57"/>
  <c r="H127" i="57"/>
  <c r="F128" i="57"/>
  <c r="G128" i="57"/>
  <c r="J128" i="57"/>
  <c r="G127" i="57"/>
  <c r="H129" i="57"/>
  <c r="I127" i="57"/>
  <c r="G252" i="57" s="1"/>
  <c r="F127" i="57"/>
  <c r="E252" i="57" s="1"/>
  <c r="M128" i="57"/>
  <c r="J127" i="57"/>
  <c r="AD67" i="57"/>
  <c r="AC82" i="57"/>
  <c r="AC87" i="57"/>
  <c r="AC77" i="57"/>
  <c r="F129" i="57"/>
  <c r="AC68" i="57"/>
  <c r="AD70" i="57"/>
  <c r="AC69" i="57"/>
  <c r="L127" i="57"/>
  <c r="E251" i="57" l="1"/>
  <c r="K258" i="57" s="1"/>
  <c r="L258" i="57" s="1"/>
  <c r="G253" i="57"/>
  <c r="AC80" i="57"/>
  <c r="AC117" i="57" s="1"/>
  <c r="K77" i="57"/>
  <c r="K80" i="57" s="1"/>
  <c r="K117" i="57" s="1"/>
  <c r="AC90" i="57"/>
  <c r="AC125" i="57" s="1"/>
  <c r="K87" i="57"/>
  <c r="K90" i="57" s="1"/>
  <c r="K125" i="57" s="1"/>
  <c r="AC85" i="57"/>
  <c r="AC121" i="57" s="1"/>
  <c r="K82" i="57"/>
  <c r="K85" i="57" s="1"/>
  <c r="K121" i="57" s="1"/>
  <c r="M258" i="57"/>
  <c r="N258" i="57" s="1"/>
  <c r="AD82" i="57"/>
  <c r="AE67" i="57"/>
  <c r="AD87" i="57"/>
  <c r="AD77" i="57"/>
  <c r="AD68" i="57"/>
  <c r="AE70" i="57"/>
  <c r="AD69" i="57"/>
  <c r="AC119" i="57"/>
  <c r="AC123" i="57"/>
  <c r="AC115" i="57"/>
  <c r="E253" i="57"/>
  <c r="M259" i="57"/>
  <c r="N259" i="57" s="1"/>
  <c r="K259" i="57"/>
  <c r="L259" i="57" s="1"/>
  <c r="P260" i="57"/>
  <c r="Q260" i="57" s="1"/>
  <c r="R260" i="57"/>
  <c r="P259" i="57"/>
  <c r="Q259" i="57" s="1"/>
  <c r="R259" i="57"/>
  <c r="AC116" i="57"/>
  <c r="AC120" i="57"/>
  <c r="AC124" i="57"/>
  <c r="G251" i="57"/>
  <c r="AC129" i="57" l="1"/>
  <c r="AD80" i="57"/>
  <c r="AD117" i="57" s="1"/>
  <c r="L77" i="57"/>
  <c r="L80" i="57" s="1"/>
  <c r="L117" i="57" s="1"/>
  <c r="AD90" i="57"/>
  <c r="AD125" i="57" s="1"/>
  <c r="L87" i="57"/>
  <c r="L90" i="57" s="1"/>
  <c r="L125" i="57" s="1"/>
  <c r="AD85" i="57"/>
  <c r="AD121" i="57" s="1"/>
  <c r="AD129" i="57" s="1"/>
  <c r="L82" i="57"/>
  <c r="L85" i="57" s="1"/>
  <c r="L121" i="57" s="1"/>
  <c r="K129" i="57"/>
  <c r="H251" i="57" s="1"/>
  <c r="AB258" i="57" s="1"/>
  <c r="AD116" i="57"/>
  <c r="AD124" i="57"/>
  <c r="AD120" i="57"/>
  <c r="AE68" i="57"/>
  <c r="AE69" i="57"/>
  <c r="P258" i="57"/>
  <c r="Q258" i="57" s="1"/>
  <c r="R258" i="57"/>
  <c r="AD115" i="57"/>
  <c r="AD119" i="57"/>
  <c r="AD123" i="57"/>
  <c r="AC128" i="57"/>
  <c r="AE77" i="57"/>
  <c r="AE82" i="57"/>
  <c r="AE87" i="57"/>
  <c r="M260" i="57"/>
  <c r="N260" i="57" s="1"/>
  <c r="K260" i="57"/>
  <c r="L260" i="57" s="1"/>
  <c r="AC127" i="57"/>
  <c r="AE90" i="57" l="1"/>
  <c r="AE125" i="57" s="1"/>
  <c r="M87" i="57"/>
  <c r="M90" i="57" s="1"/>
  <c r="M125" i="57" s="1"/>
  <c r="H253" i="57"/>
  <c r="S258" i="57"/>
  <c r="T258" i="57" s="1"/>
  <c r="U258" i="57" s="1"/>
  <c r="V258" i="57" s="1"/>
  <c r="W258" i="57" s="1"/>
  <c r="X258" i="57" s="1"/>
  <c r="Y258" i="57" s="1"/>
  <c r="Z258" i="57" s="1"/>
  <c r="AA258" i="57" s="1"/>
  <c r="AE80" i="57"/>
  <c r="AE117" i="57" s="1"/>
  <c r="M77" i="57"/>
  <c r="M80" i="57" s="1"/>
  <c r="M117" i="57" s="1"/>
  <c r="H252" i="57"/>
  <c r="AE85" i="57"/>
  <c r="AE121" i="57" s="1"/>
  <c r="M82" i="57"/>
  <c r="M85" i="57" s="1"/>
  <c r="M121" i="57" s="1"/>
  <c r="L129" i="57"/>
  <c r="I251" i="57" s="1"/>
  <c r="AD128" i="57"/>
  <c r="AE120" i="57"/>
  <c r="AE116" i="57"/>
  <c r="AE124" i="57"/>
  <c r="AE115" i="57"/>
  <c r="AE119" i="57"/>
  <c r="AE123" i="57"/>
  <c r="AD127" i="57"/>
  <c r="AE129" i="57" l="1"/>
  <c r="AL258" i="57"/>
  <c r="AC258" i="57"/>
  <c r="AD258" i="57" s="1"/>
  <c r="AE258" i="57" s="1"/>
  <c r="AF258" i="57" s="1"/>
  <c r="AG258" i="57" s="1"/>
  <c r="AH258" i="57" s="1"/>
  <c r="AI258" i="57" s="1"/>
  <c r="AJ258" i="57" s="1"/>
  <c r="AK258" i="57" s="1"/>
  <c r="I253" i="57"/>
  <c r="AL260" i="57" s="1"/>
  <c r="M129" i="57"/>
  <c r="K252" i="57" s="1"/>
  <c r="K251" i="57"/>
  <c r="AB259" i="57"/>
  <c r="S259" i="57"/>
  <c r="T259" i="57" s="1"/>
  <c r="U259" i="57" s="1"/>
  <c r="V259" i="57" s="1"/>
  <c r="W259" i="57" s="1"/>
  <c r="X259" i="57" s="1"/>
  <c r="Y259" i="57" s="1"/>
  <c r="Z259" i="57" s="1"/>
  <c r="AA259" i="57" s="1"/>
  <c r="I252" i="57"/>
  <c r="AB260" i="57"/>
  <c r="AC260" i="57" s="1"/>
  <c r="AD260" i="57" s="1"/>
  <c r="AE260" i="57" s="1"/>
  <c r="AF260" i="57" s="1"/>
  <c r="AG260" i="57" s="1"/>
  <c r="AH260" i="57" s="1"/>
  <c r="AI260" i="57" s="1"/>
  <c r="AJ260" i="57" s="1"/>
  <c r="AK260" i="57" s="1"/>
  <c r="S260" i="57"/>
  <c r="T260" i="57" s="1"/>
  <c r="U260" i="57" s="1"/>
  <c r="V260" i="57" s="1"/>
  <c r="W260" i="57" s="1"/>
  <c r="X260" i="57" s="1"/>
  <c r="Y260" i="57" s="1"/>
  <c r="Z260" i="57" s="1"/>
  <c r="AA260" i="57" s="1"/>
  <c r="AE127" i="57"/>
  <c r="AE128" i="57"/>
  <c r="J251" i="57" l="1"/>
  <c r="AV258" i="57" s="1"/>
  <c r="AW258" i="57" s="1"/>
  <c r="J253" i="57"/>
  <c r="AM260" i="57" s="1"/>
  <c r="AN260" i="57" s="1"/>
  <c r="AO260" i="57" s="1"/>
  <c r="AP260" i="57" s="1"/>
  <c r="AQ260" i="57" s="1"/>
  <c r="AR260" i="57" s="1"/>
  <c r="AS260" i="57" s="1"/>
  <c r="AT260" i="57" s="1"/>
  <c r="AU260" i="57" s="1"/>
  <c r="J252" i="57"/>
  <c r="AC259" i="57"/>
  <c r="AD259" i="57" s="1"/>
  <c r="AE259" i="57" s="1"/>
  <c r="AF259" i="57" s="1"/>
  <c r="AG259" i="57" s="1"/>
  <c r="AH259" i="57" s="1"/>
  <c r="AI259" i="57" s="1"/>
  <c r="AJ259" i="57" s="1"/>
  <c r="AK259" i="57" s="1"/>
  <c r="AL259" i="57"/>
  <c r="AM259" i="57" s="1"/>
  <c r="AN259" i="57" s="1"/>
  <c r="AO259" i="57" s="1"/>
  <c r="AP259" i="57" s="1"/>
  <c r="AQ259" i="57" s="1"/>
  <c r="AR259" i="57" s="1"/>
  <c r="AS259" i="57" s="1"/>
  <c r="AT259" i="57" s="1"/>
  <c r="AU259" i="57" s="1"/>
  <c r="K253" i="57"/>
  <c r="AV260" i="57"/>
  <c r="AW260" i="57" s="1"/>
  <c r="AX260" i="57" s="1"/>
  <c r="AY260" i="57" s="1"/>
  <c r="AZ260" i="57"/>
  <c r="BA260" i="57" s="1"/>
  <c r="BB260" i="57" s="1"/>
  <c r="BC260" i="57" s="1"/>
  <c r="BD260" i="57" s="1"/>
  <c r="AM258" i="57"/>
  <c r="AN258" i="57" s="1"/>
  <c r="AO258" i="57" s="1"/>
  <c r="AP258" i="57" s="1"/>
  <c r="AQ258" i="57" s="1"/>
  <c r="AR258" i="57" s="1"/>
  <c r="AS258" i="57" s="1"/>
  <c r="AT258" i="57" s="1"/>
  <c r="AU258" i="57" s="1"/>
  <c r="AX258" i="57" l="1"/>
  <c r="AY258" i="57" s="1"/>
  <c r="AZ258" i="57"/>
  <c r="BA258" i="57" s="1"/>
  <c r="BB258" i="57" s="1"/>
  <c r="BC258" i="57" s="1"/>
  <c r="BD258" i="57" s="1"/>
  <c r="AV259" i="57"/>
  <c r="AW259" i="57" s="1"/>
  <c r="AX259" i="57" s="1"/>
  <c r="AY259" i="57" s="1"/>
  <c r="AZ259" i="57"/>
  <c r="BA259" i="57" s="1"/>
  <c r="BB259" i="57" s="1"/>
  <c r="BC259" i="57" s="1"/>
  <c r="BD259"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I46" i="56"/>
  <c r="G46" i="56"/>
  <c r="K39" i="56"/>
  <c r="J39" i="56"/>
  <c r="J40" i="56" s="1"/>
  <c r="J47" i="56" s="1"/>
  <c r="H39" i="56"/>
  <c r="H46" i="56" s="1"/>
  <c r="P172" i="56" s="1"/>
  <c r="Q172" i="56" s="1"/>
  <c r="X77" i="56"/>
  <c r="I103" i="56"/>
  <c r="I87" i="56"/>
  <c r="Q47" i="56"/>
  <c r="Q87" i="56" s="1"/>
  <c r="G87" i="56"/>
  <c r="G89" i="56" s="1"/>
  <c r="G103" i="56"/>
  <c r="R46" i="56"/>
  <c r="R77" i="56" s="1"/>
  <c r="R93" i="56" s="1"/>
  <c r="Z93" i="56" s="1"/>
  <c r="R40" i="56"/>
  <c r="U39" i="56"/>
  <c r="V39" i="56"/>
  <c r="T46" i="56"/>
  <c r="T77" i="56" s="1"/>
  <c r="T93" i="56" s="1"/>
  <c r="L39" i="56"/>
  <c r="P40" i="56"/>
  <c r="R47" i="56" l="1"/>
  <c r="R87" i="56" s="1"/>
  <c r="Z40" i="56"/>
  <c r="P47" i="56"/>
  <c r="X40" i="56"/>
  <c r="X47" i="56" s="1"/>
  <c r="X87" i="56" s="1"/>
  <c r="X89" i="56"/>
  <c r="AA47" i="56"/>
  <c r="AA87" i="56" s="1"/>
  <c r="AA46" i="56"/>
  <c r="AA77" i="56" s="1"/>
  <c r="AA89" i="56" s="1"/>
  <c r="J46" i="56"/>
  <c r="J93" i="56" s="1"/>
  <c r="P87" i="56"/>
  <c r="P89" i="56" s="1"/>
  <c r="P73" i="56" s="1"/>
  <c r="H40" i="56"/>
  <c r="H47" i="56" s="1"/>
  <c r="H87" i="56" s="1"/>
  <c r="H89" i="56" s="1"/>
  <c r="Y46" i="56"/>
  <c r="Y47" i="56"/>
  <c r="Y87" i="56" s="1"/>
  <c r="N172" i="56"/>
  <c r="O172" i="56" s="1"/>
  <c r="L172" i="56"/>
  <c r="M172" i="56" s="1"/>
  <c r="I93" i="56"/>
  <c r="R172" i="56"/>
  <c r="Q46" i="56"/>
  <c r="Q77" i="56" s="1"/>
  <c r="Q93" i="56" s="1"/>
  <c r="Y93" i="56" s="1"/>
  <c r="K46" i="56"/>
  <c r="K40" i="56"/>
  <c r="K47" i="56" s="1"/>
  <c r="V46" i="56"/>
  <c r="V77" i="56" s="1"/>
  <c r="V40" i="56"/>
  <c r="V47" i="56" s="1"/>
  <c r="V87" i="56" s="1"/>
  <c r="N39" i="56"/>
  <c r="U40" i="56"/>
  <c r="U47" i="56" s="1"/>
  <c r="U87" i="56" s="1"/>
  <c r="U46" i="56"/>
  <c r="U77" i="56" s="1"/>
  <c r="U93" i="56" s="1"/>
  <c r="M39" i="56"/>
  <c r="R89" i="56"/>
  <c r="J87" i="56"/>
  <c r="J103" i="56"/>
  <c r="U122" i="56" s="1"/>
  <c r="T143" i="56" s="1"/>
  <c r="P122" i="56"/>
  <c r="O143" i="56" s="1"/>
  <c r="N122" i="56"/>
  <c r="M143" i="56" s="1"/>
  <c r="T122" i="56"/>
  <c r="S143" i="56" s="1"/>
  <c r="L46" i="56"/>
  <c r="L40" i="56"/>
  <c r="L47" i="56" s="1"/>
  <c r="AB39" i="56"/>
  <c r="Z47" i="56"/>
  <c r="Z87" i="56" s="1"/>
  <c r="Z46" i="56"/>
  <c r="Z77" i="56" s="1"/>
  <c r="T89" i="56"/>
  <c r="S172" i="56"/>
  <c r="V93" i="56" l="1"/>
  <c r="V89" i="56"/>
  <c r="H103" i="56"/>
  <c r="Y77" i="56"/>
  <c r="Y89" i="56" s="1"/>
  <c r="Q89" i="56"/>
  <c r="K103" i="56"/>
  <c r="V122" i="56" s="1"/>
  <c r="U143" i="56" s="1"/>
  <c r="K87" i="56"/>
  <c r="T112" i="56"/>
  <c r="S133" i="56" s="1"/>
  <c r="N88" i="47" s="1"/>
  <c r="I77" i="56"/>
  <c r="I89" i="56" s="1"/>
  <c r="S112" i="56"/>
  <c r="R133" i="56" s="1"/>
  <c r="M88" i="47" s="1"/>
  <c r="O122" i="56"/>
  <c r="N143" i="56" s="1"/>
  <c r="M182" i="56" s="1"/>
  <c r="K93" i="56"/>
  <c r="T172" i="56"/>
  <c r="U172" i="56" s="1"/>
  <c r="V172" i="56" s="1"/>
  <c r="W172" i="56" s="1"/>
  <c r="X172" i="56" s="1"/>
  <c r="Y172" i="56" s="1"/>
  <c r="Z172" i="56" s="1"/>
  <c r="AA172" i="56" s="1"/>
  <c r="AB172" i="56" s="1"/>
  <c r="N182" i="56"/>
  <c r="J98" i="47"/>
  <c r="S182" i="56"/>
  <c r="O98" i="47"/>
  <c r="L93" i="56"/>
  <c r="AC172" i="56"/>
  <c r="J77" i="56"/>
  <c r="J89" i="56" s="1"/>
  <c r="U112" i="56"/>
  <c r="T133" i="56" s="1"/>
  <c r="O88" i="47" s="1"/>
  <c r="R122" i="56"/>
  <c r="Q122" i="56"/>
  <c r="P143" i="56" s="1"/>
  <c r="U89" i="56"/>
  <c r="L103" i="56"/>
  <c r="L87" i="56"/>
  <c r="R182" i="56"/>
  <c r="N98" i="47"/>
  <c r="M46" i="56"/>
  <c r="M40" i="56"/>
  <c r="M47" i="56" s="1"/>
  <c r="N46" i="56"/>
  <c r="N40" i="56"/>
  <c r="N47" i="56" s="1"/>
  <c r="AB40" i="56"/>
  <c r="AB47" i="56" s="1"/>
  <c r="AB87" i="56" s="1"/>
  <c r="AB46" i="56"/>
  <c r="AB77" i="56" s="1"/>
  <c r="AB93" i="56" s="1"/>
  <c r="AC39" i="56"/>
  <c r="Z89" i="56"/>
  <c r="L182" i="56"/>
  <c r="H98" i="47"/>
  <c r="I98" i="47" l="1"/>
  <c r="V112" i="56"/>
  <c r="U133" i="56" s="1"/>
  <c r="P88" i="47" s="1"/>
  <c r="K77" i="56"/>
  <c r="K89" i="56" s="1"/>
  <c r="P98" i="47"/>
  <c r="T182" i="56"/>
  <c r="W112" i="56"/>
  <c r="V133" i="56" s="1"/>
  <c r="Q88" i="47" s="1"/>
  <c r="AE112" i="56"/>
  <c r="AD133" i="56" s="1"/>
  <c r="Y88" i="47" s="1"/>
  <c r="L77" i="56"/>
  <c r="L89" i="56" s="1"/>
  <c r="AC40" i="56"/>
  <c r="AC47" i="56" s="1"/>
  <c r="AC87" i="56" s="1"/>
  <c r="AD39" i="56"/>
  <c r="AC46" i="56"/>
  <c r="AC77" i="56" s="1"/>
  <c r="AC93" i="56" s="1"/>
  <c r="AB89" i="56"/>
  <c r="Q143" i="56"/>
  <c r="S122" i="56"/>
  <c r="R143" i="56" s="1"/>
  <c r="M87" i="56"/>
  <c r="M103" i="56"/>
  <c r="AD172" i="56"/>
  <c r="AE172" i="56" s="1"/>
  <c r="AF172" i="56" s="1"/>
  <c r="AG172" i="56" s="1"/>
  <c r="AH172" i="56" s="1"/>
  <c r="AI172" i="56" s="1"/>
  <c r="AJ172" i="56" s="1"/>
  <c r="AK172" i="56" s="1"/>
  <c r="AL172" i="56" s="1"/>
  <c r="M93" i="56"/>
  <c r="AM172" i="56"/>
  <c r="AN172" i="56" s="1"/>
  <c r="O182" i="56"/>
  <c r="K98" i="47"/>
  <c r="W122" i="56"/>
  <c r="V143" i="56" s="1"/>
  <c r="AE122" i="56"/>
  <c r="AD143" i="56" s="1"/>
  <c r="N103" i="56"/>
  <c r="N87" i="56"/>
  <c r="AO172" i="56"/>
  <c r="AP172" i="56" s="1"/>
  <c r="AQ172" i="56" s="1"/>
  <c r="N93" i="56"/>
  <c r="X112" i="56" l="1"/>
  <c r="X122" i="56"/>
  <c r="AY112" i="56"/>
  <c r="N77" i="56"/>
  <c r="N89" i="56" s="1"/>
  <c r="N90" i="56" s="1"/>
  <c r="AF122" i="56"/>
  <c r="AE143" i="56" s="1"/>
  <c r="AO122" i="56"/>
  <c r="AN143" i="56" s="1"/>
  <c r="AY122" i="56"/>
  <c r="AP122" i="56"/>
  <c r="AQ122" i="56" s="1"/>
  <c r="AR122" i="56" s="1"/>
  <c r="AS122" i="56" s="1"/>
  <c r="AT122" i="56" s="1"/>
  <c r="Y98" i="47"/>
  <c r="AC182" i="56"/>
  <c r="Q182" i="56"/>
  <c r="M98" i="47"/>
  <c r="U182" i="56"/>
  <c r="Q98" i="47"/>
  <c r="P182" i="56"/>
  <c r="L98" i="47"/>
  <c r="M77" i="56"/>
  <c r="M89" i="56" s="1"/>
  <c r="AO112" i="56"/>
  <c r="AN133" i="56" s="1"/>
  <c r="AI88" i="47" s="1"/>
  <c r="AF112" i="56"/>
  <c r="AE133" i="56" s="1"/>
  <c r="Z88" i="47" s="1"/>
  <c r="AD40" i="56"/>
  <c r="AD47" i="56" s="1"/>
  <c r="AD87" i="56" s="1"/>
  <c r="AD46" i="56"/>
  <c r="AD77" i="56" s="1"/>
  <c r="AC89" i="56"/>
  <c r="AD93" i="56" l="1"/>
  <c r="AD89" i="56"/>
  <c r="AG122" i="56"/>
  <c r="AF143" i="56" s="1"/>
  <c r="AA98" i="47" s="1"/>
  <c r="W133" i="56"/>
  <c r="R88" i="47" s="1"/>
  <c r="Y112" i="56"/>
  <c r="W143" i="56"/>
  <c r="Y122" i="56"/>
  <c r="AO143" i="56"/>
  <c r="AU122" i="56"/>
  <c r="AV122" i="56" s="1"/>
  <c r="AW122" i="56" s="1"/>
  <c r="AX122" i="56" s="1"/>
  <c r="AP112" i="56"/>
  <c r="AQ112" i="56" s="1"/>
  <c r="AR112" i="56" s="1"/>
  <c r="AS112" i="56" s="1"/>
  <c r="AT112" i="56" s="1"/>
  <c r="AP133" i="56"/>
  <c r="AK88" i="47" s="1"/>
  <c r="AZ112" i="56"/>
  <c r="AI98" i="47"/>
  <c r="AM182" i="56"/>
  <c r="AG112" i="56"/>
  <c r="Z98" i="47"/>
  <c r="AD182" i="56"/>
  <c r="AZ122" i="56"/>
  <c r="AP143" i="56"/>
  <c r="AE182" i="56" l="1"/>
  <c r="AH122" i="56"/>
  <c r="X133" i="56"/>
  <c r="S88" i="47" s="1"/>
  <c r="Z112" i="56"/>
  <c r="X143" i="56"/>
  <c r="Z122" i="56"/>
  <c r="V182" i="56"/>
  <c r="R98" i="47"/>
  <c r="AK98" i="47"/>
  <c r="AO182" i="56"/>
  <c r="BA122" i="56"/>
  <c r="AR143" i="56" s="1"/>
  <c r="AQ143" i="56"/>
  <c r="AF133" i="56"/>
  <c r="AA88" i="47" s="1"/>
  <c r="AH112" i="56"/>
  <c r="AQ133" i="56"/>
  <c r="AL88" i="47" s="1"/>
  <c r="BA112" i="56"/>
  <c r="AR133" i="56" s="1"/>
  <c r="AM88" i="47" s="1"/>
  <c r="AO133" i="56"/>
  <c r="AJ88" i="47" s="1"/>
  <c r="AU112" i="56"/>
  <c r="AV112" i="56" s="1"/>
  <c r="AW112" i="56" s="1"/>
  <c r="AX112" i="56" s="1"/>
  <c r="AN182" i="56"/>
  <c r="AJ98" i="47"/>
  <c r="AG143" i="56" l="1"/>
  <c r="AI122" i="56"/>
  <c r="Y133" i="56"/>
  <c r="T88" i="47" s="1"/>
  <c r="AA112" i="56"/>
  <c r="AA122" i="56"/>
  <c r="Y143" i="56"/>
  <c r="W182" i="56"/>
  <c r="S98" i="47"/>
  <c r="AG133" i="56"/>
  <c r="AB88" i="47" s="1"/>
  <c r="AI112" i="56"/>
  <c r="AL98" i="47"/>
  <c r="AP182" i="56"/>
  <c r="AQ182" i="56"/>
  <c r="AM98" i="47"/>
  <c r="AH143" i="56" l="1"/>
  <c r="AJ122" i="56"/>
  <c r="AF182" i="56"/>
  <c r="AB98" i="47"/>
  <c r="Z133" i="56"/>
  <c r="U88" i="47" s="1"/>
  <c r="AB112" i="56"/>
  <c r="X182" i="56"/>
  <c r="T98" i="47"/>
  <c r="Z143" i="56"/>
  <c r="AB122" i="56"/>
  <c r="AH133" i="56"/>
  <c r="AC88" i="47" s="1"/>
  <c r="AJ112" i="56"/>
  <c r="AK122" i="56" l="1"/>
  <c r="AI143" i="56"/>
  <c r="AG182" i="56"/>
  <c r="AC98" i="47"/>
  <c r="AC112" i="56"/>
  <c r="AA133" i="56"/>
  <c r="V88" i="47" s="1"/>
  <c r="AC122" i="56"/>
  <c r="AA143" i="56"/>
  <c r="U98" i="47"/>
  <c r="Y182" i="56"/>
  <c r="AI133" i="56"/>
  <c r="AD88" i="47" s="1"/>
  <c r="AK112" i="56"/>
  <c r="AH182" i="56" l="1"/>
  <c r="AD98" i="47"/>
  <c r="AJ143" i="56"/>
  <c r="AL122" i="56"/>
  <c r="AB133" i="56"/>
  <c r="W88" i="47" s="1"/>
  <c r="AD112" i="56"/>
  <c r="AC133" i="56" s="1"/>
  <c r="X88" i="47" s="1"/>
  <c r="V98" i="47"/>
  <c r="Z182" i="56"/>
  <c r="AB143" i="56"/>
  <c r="AD122" i="56"/>
  <c r="AC143" i="56" s="1"/>
  <c r="AJ133" i="56"/>
  <c r="AE88" i="47" s="1"/>
  <c r="AL112" i="56"/>
  <c r="AK143" i="56" l="1"/>
  <c r="AM122" i="56"/>
  <c r="AI182" i="56"/>
  <c r="AE98" i="47"/>
  <c r="AB182" i="56"/>
  <c r="X98" i="47"/>
  <c r="AA182" i="56"/>
  <c r="W98" i="47"/>
  <c r="AK133" i="56"/>
  <c r="AF88" i="47" s="1"/>
  <c r="AM112" i="56"/>
  <c r="AL143" i="56" l="1"/>
  <c r="AN122" i="56"/>
  <c r="AM143" i="56" s="1"/>
  <c r="AF98" i="47"/>
  <c r="AJ182" i="56"/>
  <c r="AL133" i="56"/>
  <c r="AG88" i="47" s="1"/>
  <c r="AN112" i="56"/>
  <c r="AM133" i="56" s="1"/>
  <c r="AH88" i="47" s="1"/>
  <c r="AL182" i="56" l="1"/>
  <c r="AH98" i="47"/>
  <c r="AG98" i="47"/>
  <c r="AK182"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<sst xmlns="http://schemas.openxmlformats.org/spreadsheetml/2006/main" count="4198" uniqueCount="657">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</sst>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1">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2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15.650930649210721</c:v>
                </c:pt>
                <c:pt idx="7">
                  <c:v>15.820100046465347</c:v>
                </c:pt>
                <c:pt idx="8">
                  <c:v>16.525698857845963</c:v>
                </c:pt>
                <c:pt idx="9">
                  <c:v>17.210955544960104</c:v>
                </c:pt>
                <c:pt idx="10">
                  <c:v>17.18026672286657</c:v>
                </c:pt>
                <c:pt idx="11">
                  <c:v>17.150391777129158</c:v>
                </c:pt>
                <c:pt idx="12">
                  <c:v>17.116323697175691</c:v>
                </c:pt>
                <c:pt idx="13">
                  <c:v>17.095862004867673</c:v>
                </c:pt>
                <c:pt idx="14">
                  <c:v>16.982548789417347</c:v>
                </c:pt>
                <c:pt idx="15">
                  <c:v>16.844522978133632</c:v>
                </c:pt>
                <c:pt idx="16">
                  <c:v>16.702803070020487</c:v>
                </c:pt>
                <c:pt idx="17">
                  <c:v>16.530036507696611</c:v>
                </c:pt>
                <c:pt idx="18">
                  <c:v>16.368733890116197</c:v>
                </c:pt>
                <c:pt idx="19">
                  <c:v>16.171399391173228</c:v>
                </c:pt>
                <c:pt idx="20">
                  <c:v>15.980801055415059</c:v>
                </c:pt>
                <c:pt idx="21">
                  <c:v>15.783938693888006</c:v>
                </c:pt>
                <c:pt idx="22">
                  <c:v>15.559984298932985</c:v>
                </c:pt>
                <c:pt idx="23">
                  <c:v>15.317016876857439</c:v>
                </c:pt>
                <c:pt idx="24">
                  <c:v>15.056046518561789</c:v>
                </c:pt>
                <c:pt idx="25">
                  <c:v>14.806362287016366</c:v>
                </c:pt>
                <c:pt idx="26">
                  <c:v>14.56707283427693</c:v>
                </c:pt>
                <c:pt idx="27">
                  <c:v>14.335254013762331</c:v>
                </c:pt>
                <c:pt idx="28">
                  <c:v>14.100542128190909</c:v>
                </c:pt>
                <c:pt idx="29">
                  <c:v>12.808417224480371</c:v>
                </c:pt>
                <c:pt idx="30">
                  <c:v>11.518140685085456</c:v>
                </c:pt>
                <c:pt idx="31">
                  <c:v>11.518140685085456</c:v>
                </c:pt>
                <c:pt idx="32">
                  <c:v>11.518140685085456</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3.479502135790883E-2</c:v>
                </c:pt>
                <c:pt idx="7">
                  <c:v>3.5171117382005394E-2</c:v>
                </c:pt>
                <c:pt idx="8">
                  <c:v>3.6739798904042664E-2</c:v>
                </c:pt>
                <c:pt idx="9">
                  <c:v>3.8263255981337223E-2</c:v>
                </c:pt>
                <c:pt idx="10">
                  <c:v>3.8195028842381282E-2</c:v>
                </c:pt>
                <c:pt idx="11">
                  <c:v>3.8128611106701647E-2</c:v>
                </c:pt>
                <c:pt idx="12">
                  <c:v>3.805287122923541E-2</c:v>
                </c:pt>
                <c:pt idx="13">
                  <c:v>3.800738096179803E-2</c:v>
                </c:pt>
                <c:pt idx="14">
                  <c:v>3.7755463945481418E-2</c:v>
                </c:pt>
                <c:pt idx="15">
                  <c:v>3.7448606087683564E-2</c:v>
                </c:pt>
                <c:pt idx="16">
                  <c:v>3.7133535543946508E-2</c:v>
                </c:pt>
                <c:pt idx="17">
                  <c:v>3.6749442331809323E-2</c:v>
                </c:pt>
                <c:pt idx="18">
                  <c:v>3.639083566811676E-2</c:v>
                </c:pt>
                <c:pt idx="19">
                  <c:v>3.59521232196836E-2</c:v>
                </c:pt>
                <c:pt idx="20">
                  <c:v>3.5528386554297388E-2</c:v>
                </c:pt>
                <c:pt idx="21">
                  <c:v>3.5090723757916165E-2</c:v>
                </c:pt>
                <c:pt idx="22">
                  <c:v>3.4592830173802012E-2</c:v>
                </c:pt>
                <c:pt idx="23">
                  <c:v>3.4052666982878857E-2</c:v>
                </c:pt>
                <c:pt idx="24">
                  <c:v>3.3472479810997408E-2</c:v>
                </c:pt>
                <c:pt idx="25">
                  <c:v>3.2917383864048452E-2</c:v>
                </c:pt>
                <c:pt idx="26">
                  <c:v>3.2385397504552896E-2</c:v>
                </c:pt>
                <c:pt idx="27">
                  <c:v>3.1870019793683188E-2</c:v>
                </c:pt>
                <c:pt idx="28">
                  <c:v>3.1348210244177291E-2</c:v>
                </c:pt>
                <c:pt idx="29">
                  <c:v>2.8475568697844619E-2</c:v>
                </c:pt>
                <c:pt idx="30">
                  <c:v>2.5607036419981716E-2</c:v>
                </c:pt>
                <c:pt idx="31">
                  <c:v>2.5607036419981716E-2</c:v>
                </c:pt>
                <c:pt idx="32">
                  <c:v>2.5607036419981716E-2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10.393676199549578</c:v>
                </c:pt>
                <c:pt idx="7">
                  <c:v>10.506020441393511</c:v>
                </c:pt>
                <c:pt idx="8">
                  <c:v>10.974603795102707</c:v>
                </c:pt>
                <c:pt idx="9">
                  <c:v>11.429678082956613</c:v>
                </c:pt>
                <c:pt idx="10">
                  <c:v>11.409297845708432</c:v>
                </c:pt>
                <c:pt idx="11">
                  <c:v>11.389458098192241</c:v>
                </c:pt>
                <c:pt idx="12">
                  <c:v>11.36683371886854</c:v>
                </c:pt>
                <c:pt idx="13">
                  <c:v>11.353245248693121</c:v>
                </c:pt>
                <c:pt idx="14">
                  <c:v>11.27799471587066</c:v>
                </c:pt>
                <c:pt idx="15">
                  <c:v>11.186332716861328</c:v>
                </c:pt>
                <c:pt idx="16">
                  <c:v>11.092217493366153</c:v>
                </c:pt>
                <c:pt idx="17">
                  <c:v>10.977484398756587</c:v>
                </c:pt>
                <c:pt idx="18">
                  <c:v>10.870364431589961</c:v>
                </c:pt>
                <c:pt idx="19">
                  <c:v>10.739315937990188</c:v>
                </c:pt>
                <c:pt idx="20">
                  <c:v>10.61274088437551</c:v>
                </c:pt>
                <c:pt idx="21">
                  <c:v>10.482005934010495</c:v>
                </c:pt>
                <c:pt idx="22">
                  <c:v>10.333279349195813</c:v>
                </c:pt>
                <c:pt idx="23">
                  <c:v>10.171926342867089</c:v>
                </c:pt>
                <c:pt idx="24">
                  <c:v>9.9986177094956794</c:v>
                </c:pt>
                <c:pt idx="25">
                  <c:v>9.8328041158518182</c:v>
                </c:pt>
                <c:pt idx="26">
                  <c:v>9.6738936238507218</c:v>
                </c:pt>
                <c:pt idx="27">
                  <c:v>9.5199443277101903</c:v>
                </c:pt>
                <c:pt idx="28">
                  <c:v>9.3640737668155829</c:v>
                </c:pt>
                <c:pt idx="29">
                  <c:v>8.5059824392421142</c:v>
                </c:pt>
                <c:pt idx="30">
                  <c:v>7.649118597792377</c:v>
                </c:pt>
                <c:pt idx="31">
                  <c:v>7.649118597792377</c:v>
                </c:pt>
                <c:pt idx="32">
                  <c:v>7.649118597792377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10.080628902971545</c:v>
                </c:pt>
                <c:pt idx="7">
                  <c:v>10.189589446832192</c:v>
                </c:pt>
                <c:pt idx="8">
                  <c:v>10.644059531156827</c:v>
                </c:pt>
                <c:pt idx="9">
                  <c:v>11.085427429392688</c:v>
                </c:pt>
                <c:pt idx="10">
                  <c:v>11.065661024830042</c:v>
                </c:pt>
                <c:pt idx="11">
                  <c:v>11.046418830980667</c:v>
                </c:pt>
                <c:pt idx="12">
                  <c:v>11.024475875692893</c:v>
                </c:pt>
                <c:pt idx="13">
                  <c:v>11.011296676863951</c:v>
                </c:pt>
                <c:pt idx="14">
                  <c:v>10.938312616020591</c:v>
                </c:pt>
                <c:pt idx="15">
                  <c:v>10.849411386198012</c:v>
                </c:pt>
                <c:pt idx="16">
                  <c:v>10.758130820596381</c:v>
                </c:pt>
                <c:pt idx="17">
                  <c:v>10.646853373864042</c:v>
                </c:pt>
                <c:pt idx="18">
                  <c:v>10.542959754669704</c:v>
                </c:pt>
                <c:pt idx="19">
                  <c:v>10.415858312705407</c:v>
                </c:pt>
                <c:pt idx="20">
                  <c:v>10.293095575117084</c:v>
                </c:pt>
                <c:pt idx="21">
                  <c:v>10.166298232773935</c:v>
                </c:pt>
                <c:pt idx="22">
                  <c:v>10.022051146301481</c:v>
                </c:pt>
                <c:pt idx="23">
                  <c:v>9.8655579337027302</c:v>
                </c:pt>
                <c:pt idx="24">
                  <c:v>9.6974691857798305</c:v>
                </c:pt>
                <c:pt idx="25">
                  <c:v>9.5366497343652945</c:v>
                </c:pt>
                <c:pt idx="26">
                  <c:v>9.3825254699668026</c:v>
                </c:pt>
                <c:pt idx="27">
                  <c:v>9.23321297509289</c:v>
                </c:pt>
                <c:pt idx="28">
                  <c:v>9.0820370820681813</c:v>
                </c:pt>
                <c:pt idx="29">
                  <c:v>8.2497906206572331</c:v>
                </c:pt>
                <c:pt idx="30">
                  <c:v>7.4187346746961911</c:v>
                </c:pt>
                <c:pt idx="31">
                  <c:v>7.4187346746961911</c:v>
                </c:pt>
                <c:pt idx="32">
                  <c:v>7.4187346746961911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6.0521506412604147</c:v>
                </c:pt>
                <c:pt idx="7">
                  <c:v>6.1175677528062931</c:v>
                </c:pt>
                <c:pt idx="8">
                  <c:v>6.3904199169672244</c:v>
                </c:pt>
                <c:pt idx="9">
                  <c:v>6.6554058651705654</c:v>
                </c:pt>
                <c:pt idx="10">
                  <c:v>6.6435386236322955</c:v>
                </c:pt>
                <c:pt idx="11">
                  <c:v>6.6319861047403021</c:v>
                </c:pt>
                <c:pt idx="12">
                  <c:v>6.6188121180580923</c:v>
                </c:pt>
                <c:pt idx="13">
                  <c:v>6.6108996656296171</c:v>
                </c:pt>
                <c:pt idx="14">
                  <c:v>6.5670819103202511</c:v>
                </c:pt>
                <c:pt idx="15">
                  <c:v>6.5137078956374017</c:v>
                </c:pt>
                <c:pt idx="16">
                  <c:v>6.4589053888733972</c:v>
                </c:pt>
                <c:pt idx="17">
                  <c:v>6.3920972683601596</c:v>
                </c:pt>
                <c:pt idx="18">
                  <c:v>6.3297222082243252</c:v>
                </c:pt>
                <c:pt idx="19">
                  <c:v>6.2534137674620043</c:v>
                </c:pt>
                <c:pt idx="20">
                  <c:v>6.1797101733539987</c:v>
                </c:pt>
                <c:pt idx="21">
                  <c:v>6.1035843061924773</c:v>
                </c:pt>
                <c:pt idx="22">
                  <c:v>6.0169820609062858</c:v>
                </c:pt>
                <c:pt idx="23">
                  <c:v>5.9230275560734338</c:v>
                </c:pt>
                <c:pt idx="24">
                  <c:v>5.8221113896990957</c:v>
                </c:pt>
                <c:pt idx="25">
                  <c:v>5.7255595222140494</c:v>
                </c:pt>
                <c:pt idx="26">
                  <c:v>5.6330272730268822</c:v>
                </c:pt>
                <c:pt idx="27">
                  <c:v>5.5433838866571126</c:v>
                </c:pt>
                <c:pt idx="28">
                  <c:v>5.452621763904741</c:v>
                </c:pt>
                <c:pt idx="29">
                  <c:v>4.9529623672940568</c:v>
                </c:pt>
                <c:pt idx="30">
                  <c:v>4.4540177255774305</c:v>
                </c:pt>
                <c:pt idx="31">
                  <c:v>4.4540177255774305</c:v>
                </c:pt>
                <c:pt idx="32">
                  <c:v>4.4540177255774305</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2.1009845155984821</c:v>
                </c:pt>
                <c:pt idx="7">
                  <c:v>2.1236938542385468</c:v>
                </c:pt>
                <c:pt idx="8">
                  <c:v>2.218413600313847</c:v>
                </c:pt>
                <c:pt idx="9">
                  <c:v>2.3104026149677286</c:v>
                </c:pt>
                <c:pt idx="10">
                  <c:v>2.3062829404598282</c:v>
                </c:pt>
                <c:pt idx="11">
                  <c:v>2.3022725209004133</c:v>
                </c:pt>
                <c:pt idx="12">
                  <c:v>2.2976992140432895</c:v>
                </c:pt>
                <c:pt idx="13">
                  <c:v>2.2949524317805841</c:v>
                </c:pt>
                <c:pt idx="14">
                  <c:v>2.2797412397812242</c:v>
                </c:pt>
                <c:pt idx="15">
                  <c:v>2.2612126232561343</c:v>
                </c:pt>
                <c:pt idx="16">
                  <c:v>2.2421881103264338</c:v>
                </c:pt>
                <c:pt idx="17">
                  <c:v>2.2189958874234499</c:v>
                </c:pt>
                <c:pt idx="18">
                  <c:v>2.1973425870889396</c:v>
                </c:pt>
                <c:pt idx="19">
                  <c:v>2.17085235874629</c:v>
                </c:pt>
                <c:pt idx="20">
                  <c:v>2.1452663944926593</c:v>
                </c:pt>
                <c:pt idx="21">
                  <c:v>2.1188395459848777</c:v>
                </c:pt>
                <c:pt idx="22">
                  <c:v>2.0887758567035979</c:v>
                </c:pt>
                <c:pt idx="23">
                  <c:v>2.056159854306236</c:v>
                </c:pt>
                <c:pt idx="24">
                  <c:v>2.0211271336266514</c:v>
                </c:pt>
                <c:pt idx="25">
                  <c:v>1.987609465187395</c:v>
                </c:pt>
                <c:pt idx="26">
                  <c:v>1.955487194236246</c:v>
                </c:pt>
                <c:pt idx="27">
                  <c:v>1.9243677826662995</c:v>
                </c:pt>
                <c:pt idx="28">
                  <c:v>1.8928600053803943</c:v>
                </c:pt>
                <c:pt idx="29">
                  <c:v>1.7194048623118301</c:v>
                </c:pt>
                <c:pt idx="30">
                  <c:v>1.5461978440924107</c:v>
                </c:pt>
                <c:pt idx="31">
                  <c:v>1.5461978440924107</c:v>
                </c:pt>
                <c:pt idx="32">
                  <c:v>1.5461978440924107</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2.1627035819943723</c:v>
                </c:pt>
                <c:pt idx="7">
                  <c:v>2.1860800360600519</c:v>
                </c:pt>
                <c:pt idx="8">
                  <c:v>2.2835822939785477</c:v>
                </c:pt>
                <c:pt idx="9">
                  <c:v>2.3782736018006858</c:v>
                </c:pt>
                <c:pt idx="10">
                  <c:v>2.3740329066652679</c:v>
                </c:pt>
                <c:pt idx="11">
                  <c:v>2.3699046759800568</c:v>
                </c:pt>
                <c:pt idx="12">
                  <c:v>2.3651970224737942</c:v>
                </c:pt>
                <c:pt idx="13">
                  <c:v>2.3623695500224708</c:v>
                </c:pt>
                <c:pt idx="14">
                  <c:v>2.3467115100991975</c:v>
                </c:pt>
                <c:pt idx="15">
                  <c:v>2.3276385921263594</c:v>
                </c:pt>
                <c:pt idx="16">
                  <c:v>2.3080552101674296</c:v>
                </c:pt>
                <c:pt idx="17">
                  <c:v>2.2841816865054012</c:v>
                </c:pt>
                <c:pt idx="18">
                  <c:v>2.2618922932006122</c:v>
                </c:pt>
                <c:pt idx="19">
                  <c:v>2.2346238810351959</c:v>
                </c:pt>
                <c:pt idx="20">
                  <c:v>2.20828629685536</c:v>
                </c:pt>
                <c:pt idx="21">
                  <c:v>2.1810831263872896</c:v>
                </c:pt>
                <c:pt idx="22">
                  <c:v>2.1501362783672944</c:v>
                </c:pt>
                <c:pt idx="23">
                  <c:v>2.1165621398187207</c:v>
                </c:pt>
                <c:pt idx="24">
                  <c:v>2.0805002888444579</c:v>
                </c:pt>
                <c:pt idx="25">
                  <c:v>2.0459979966783348</c:v>
                </c:pt>
                <c:pt idx="26">
                  <c:v>2.0129320935590753</c:v>
                </c:pt>
                <c:pt idx="27">
                  <c:v>1.9808985100784713</c:v>
                </c:pt>
                <c:pt idx="28">
                  <c:v>1.9484651521498446</c:v>
                </c:pt>
                <c:pt idx="29">
                  <c:v>1.7699145457819196</c:v>
                </c:pt>
                <c:pt idx="30">
                  <c:v>1.5916193532431036</c:v>
                </c:pt>
                <c:pt idx="31">
                  <c:v>1.5916193532431036</c:v>
                </c:pt>
                <c:pt idx="32">
                  <c:v>1.5916193532431036</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22.685573880130558</c:v>
                </c:pt>
                <c:pt idx="7">
                  <c:v>23.503780179441115</c:v>
                </c:pt>
                <c:pt idx="8">
                  <c:v>25.004054083151797</c:v>
                </c:pt>
                <c:pt idx="9">
                  <c:v>24.102108537811457</c:v>
                </c:pt>
                <c:pt idx="10">
                  <c:v>24.688029612376035</c:v>
                </c:pt>
                <c:pt idx="11">
                  <c:v>25.250908274442398</c:v>
                </c:pt>
                <c:pt idx="12">
                  <c:v>25.858957354907254</c:v>
                </c:pt>
                <c:pt idx="13">
                  <c:v>26.469608525537073</c:v>
                </c:pt>
                <c:pt idx="14">
                  <c:v>26.992227411997963</c:v>
                </c:pt>
                <c:pt idx="15">
                  <c:v>27.594004285982066</c:v>
                </c:pt>
                <c:pt idx="16">
                  <c:v>28.188187864106172</c:v>
                </c:pt>
                <c:pt idx="17">
                  <c:v>28.771053540170644</c:v>
                </c:pt>
                <c:pt idx="18">
                  <c:v>29.439186135801027</c:v>
                </c:pt>
                <c:pt idx="19">
                  <c:v>29.838785265348392</c:v>
                </c:pt>
                <c:pt idx="20">
                  <c:v>30.329212980761046</c:v>
                </c:pt>
                <c:pt idx="21">
                  <c:v>30.766007702601371</c:v>
                </c:pt>
                <c:pt idx="22">
                  <c:v>31.224831001001334</c:v>
                </c:pt>
                <c:pt idx="23">
                  <c:v>31.6904229934886</c:v>
                </c:pt>
                <c:pt idx="24">
                  <c:v>32.146678068988422</c:v>
                </c:pt>
                <c:pt idx="25">
                  <c:v>32.585368133508013</c:v>
                </c:pt>
                <c:pt idx="26">
                  <c:v>33.037073407459474</c:v>
                </c:pt>
                <c:pt idx="27">
                  <c:v>33.477167827643505</c:v>
                </c:pt>
                <c:pt idx="28">
                  <c:v>33.915887801564196</c:v>
                </c:pt>
                <c:pt idx="29">
                  <c:v>36.716699432872829</c:v>
                </c:pt>
                <c:pt idx="30">
                  <c:v>39.532816782046446</c:v>
                </c:pt>
                <c:pt idx="31">
                  <c:v>39.532816782046446</c:v>
                </c:pt>
                <c:pt idx="32">
                  <c:v>39.532816782046446</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6.2969344536712088E-2</c:v>
                </c:pt>
                <c:pt idx="7">
                  <c:v>6.5240475725000899E-2</c:v>
                </c:pt>
                <c:pt idx="8">
                  <c:v>6.9404851942299936E-2</c:v>
                </c:pt>
                <c:pt idx="9">
                  <c:v>6.6901282048146493E-2</c:v>
                </c:pt>
                <c:pt idx="10">
                  <c:v>6.8527648928284918E-2</c:v>
                </c:pt>
                <c:pt idx="11">
                  <c:v>7.0090055971249982E-2</c:v>
                </c:pt>
                <c:pt idx="12">
                  <c:v>7.1777844529976195E-2</c:v>
                </c:pt>
                <c:pt idx="13">
                  <c:v>7.3472855824745095E-2</c:v>
                </c:pt>
                <c:pt idx="14">
                  <c:v>7.4923512038991114E-2</c:v>
                </c:pt>
                <c:pt idx="15">
                  <c:v>7.6593890558501271E-2</c:v>
                </c:pt>
                <c:pt idx="16">
                  <c:v>7.8243192032938461E-2</c:v>
                </c:pt>
                <c:pt idx="17">
                  <c:v>7.9861077909163705E-2</c:v>
                </c:pt>
                <c:pt idx="18">
                  <c:v>8.1715642921834891E-2</c:v>
                </c:pt>
                <c:pt idx="19">
                  <c:v>8.282482778962777E-2</c:v>
                </c:pt>
                <c:pt idx="20">
                  <c:v>8.4186129555470265E-2</c:v>
                </c:pt>
                <c:pt idx="21">
                  <c:v>8.5398559863679085E-2</c:v>
                </c:pt>
                <c:pt idx="22">
                  <c:v>8.6672135860084584E-2</c:v>
                </c:pt>
                <c:pt idx="23">
                  <c:v>8.7964500018178182E-2</c:v>
                </c:pt>
                <c:pt idx="24">
                  <c:v>8.9230947285396545E-2</c:v>
                </c:pt>
                <c:pt idx="25">
                  <c:v>9.0448638579587751E-2</c:v>
                </c:pt>
                <c:pt idx="26">
                  <c:v>9.1702456762667181E-2</c:v>
                </c:pt>
                <c:pt idx="27">
                  <c:v>9.2924046188602991E-2</c:v>
                </c:pt>
                <c:pt idx="28">
                  <c:v>9.4141820503633483E-2</c:v>
                </c:pt>
                <c:pt idx="29">
                  <c:v>0.10191615645502751</c:v>
                </c:pt>
                <c:pt idx="30">
                  <c:v>0.10973297716024412</c:v>
                </c:pt>
                <c:pt idx="31">
                  <c:v>0.10973297716024412</c:v>
                </c:pt>
                <c:pt idx="32">
                  <c:v>0.10973297716024412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8.907585823916131</c:v>
                </c:pt>
                <c:pt idx="7">
                  <c:v>9.2288579623812321</c:v>
                </c:pt>
                <c:pt idx="8">
                  <c:v>9.817946809209543</c:v>
                </c:pt>
                <c:pt idx="9">
                  <c:v>9.4637941042319209</c:v>
                </c:pt>
                <c:pt idx="10">
                  <c:v>9.693858474007305</c:v>
                </c:pt>
                <c:pt idx="11">
                  <c:v>9.9148751437772802</c:v>
                </c:pt>
                <c:pt idx="12">
                  <c:v>10.153628167968478</c:v>
                </c:pt>
                <c:pt idx="13">
                  <c:v>10.393402913787192</c:v>
                </c:pt>
                <c:pt idx="14">
                  <c:v>10.59861141364477</c:v>
                </c:pt>
                <c:pt idx="15">
                  <c:v>10.834901629628961</c:v>
                </c:pt>
                <c:pt idx="16">
                  <c:v>11.068210306115112</c:v>
                </c:pt>
                <c:pt idx="17">
                  <c:v>11.29707496084208</c:v>
                </c:pt>
                <c:pt idx="18">
                  <c:v>11.559420029509095</c:v>
                </c:pt>
                <c:pt idx="19">
                  <c:v>11.716324305345948</c:v>
                </c:pt>
                <c:pt idx="20">
                  <c:v>11.908892806744609</c:v>
                </c:pt>
                <c:pt idx="21">
                  <c:v>12.080402088051972</c:v>
                </c:pt>
                <c:pt idx="22">
                  <c:v>12.260560982427116</c:v>
                </c:pt>
                <c:pt idx="23">
                  <c:v>12.443377632952361</c:v>
                </c:pt>
                <c:pt idx="24">
                  <c:v>12.622528103823701</c:v>
                </c:pt>
                <c:pt idx="25">
                  <c:v>12.794781599391213</c:v>
                </c:pt>
                <c:pt idx="26">
                  <c:v>12.972145571583352</c:v>
                </c:pt>
                <c:pt idx="27">
                  <c:v>13.144950493298357</c:v>
                </c:pt>
                <c:pt idx="28">
                  <c:v>13.317215732917781</c:v>
                </c:pt>
                <c:pt idx="29">
                  <c:v>14.416966178479823</c:v>
                </c:pt>
                <c:pt idx="30">
                  <c:v>15.522726478418896</c:v>
                </c:pt>
                <c:pt idx="31">
                  <c:v>15.522726478418896</c:v>
                </c:pt>
                <c:pt idx="32">
                  <c:v>15.522726478418896</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13.411163030089014</c:v>
                </c:pt>
                <c:pt idx="7">
                  <c:v>13.894866820448517</c:v>
                </c:pt>
                <c:pt idx="8">
                  <c:v>14.781792494833802</c:v>
                </c:pt>
                <c:pt idx="9">
                  <c:v>14.248584085968449</c:v>
                </c:pt>
                <c:pt idx="10">
                  <c:v>14.594966465152295</c:v>
                </c:pt>
                <c:pt idx="11">
                  <c:v>14.927726726938845</c:v>
                </c:pt>
                <c:pt idx="12">
                  <c:v>15.287190648437972</c:v>
                </c:pt>
                <c:pt idx="13">
                  <c:v>15.648192862757272</c:v>
                </c:pt>
                <c:pt idx="14">
                  <c:v>15.957152518173768</c:v>
                </c:pt>
                <c:pt idx="15">
                  <c:v>16.31290846278343</c:v>
                </c:pt>
                <c:pt idx="16">
                  <c:v>16.664175434389712</c:v>
                </c:pt>
                <c:pt idx="17">
                  <c:v>17.00875153582086</c:v>
                </c:pt>
                <c:pt idx="18">
                  <c:v>17.403735379432757</c:v>
                </c:pt>
                <c:pt idx="19">
                  <c:v>17.6399687276107</c:v>
                </c:pt>
                <c:pt idx="20">
                  <c:v>17.929897740675425</c:v>
                </c:pt>
                <c:pt idx="21">
                  <c:v>18.18812022410194</c:v>
                </c:pt>
                <c:pt idx="22">
                  <c:v>18.459365469620483</c:v>
                </c:pt>
                <c:pt idx="23">
                  <c:v>18.734612203502746</c:v>
                </c:pt>
                <c:pt idx="24">
                  <c:v>19.0043391777096</c:v>
                </c:pt>
                <c:pt idx="25">
                  <c:v>19.263682141922882</c:v>
                </c:pt>
                <c:pt idx="26">
                  <c:v>19.530719383410521</c:v>
                </c:pt>
                <c:pt idx="27">
                  <c:v>19.790892568753215</c:v>
                </c:pt>
                <c:pt idx="28">
                  <c:v>20.050253214681604</c:v>
                </c:pt>
                <c:pt idx="29">
                  <c:v>21.70602536320763</c:v>
                </c:pt>
                <c:pt idx="30">
                  <c:v>23.370845882238385</c:v>
                </c:pt>
                <c:pt idx="31">
                  <c:v>23.370845882238385</c:v>
                </c:pt>
                <c:pt idx="32">
                  <c:v>23.370845882238385</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10.443556108801278</c:v>
                </c:pt>
                <c:pt idx="7">
                  <c:v>10.820226473878913</c:v>
                </c:pt>
                <c:pt idx="8">
                  <c:v>11.51089424251297</c:v>
                </c:pt>
                <c:pt idx="9">
                  <c:v>11.095673584679165</c:v>
                </c:pt>
                <c:pt idx="10">
                  <c:v>11.365408864459933</c:v>
                </c:pt>
                <c:pt idx="11">
                  <c:v>11.624536313507443</c:v>
                </c:pt>
                <c:pt idx="12">
                  <c:v>11.904458466779555</c:v>
                </c:pt>
                <c:pt idx="13">
                  <c:v>12.18557852118397</c:v>
                </c:pt>
                <c:pt idx="14">
                  <c:v>12.426171935003403</c:v>
                </c:pt>
                <c:pt idx="15">
                  <c:v>12.703206608300187</c:v>
                </c:pt>
                <c:pt idx="16">
                  <c:v>12.976745623440662</c:v>
                </c:pt>
                <c:pt idx="17">
                  <c:v>13.245074316558064</c:v>
                </c:pt>
                <c:pt idx="18">
                  <c:v>13.552656583925629</c:v>
                </c:pt>
                <c:pt idx="19">
                  <c:v>13.736616485160978</c:v>
                </c:pt>
                <c:pt idx="20">
                  <c:v>13.962390335550952</c:v>
                </c:pt>
                <c:pt idx="21">
                  <c:v>14.16347364116497</c:v>
                </c:pt>
                <c:pt idx="22">
                  <c:v>14.374698046868112</c:v>
                </c:pt>
                <c:pt idx="23">
                  <c:v>14.58903849613522</c:v>
                </c:pt>
                <c:pt idx="24">
                  <c:v>14.799080591877887</c:v>
                </c:pt>
                <c:pt idx="25">
                  <c:v>15.001036439562954</c:v>
                </c:pt>
                <c:pt idx="26">
                  <c:v>15.208983983587192</c:v>
                </c:pt>
                <c:pt idx="27">
                  <c:v>15.411586342013219</c:v>
                </c:pt>
                <c:pt idx="28">
                  <c:v>15.613555958823557</c:v>
                </c:pt>
                <c:pt idx="29">
                  <c:v>16.902940727148696</c:v>
                </c:pt>
                <c:pt idx="30">
                  <c:v>18.199371652831502</c:v>
                </c:pt>
                <c:pt idx="31">
                  <c:v>18.199371652831502</c:v>
                </c:pt>
                <c:pt idx="32">
                  <c:v>18.199371652831502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5.3935489334179207</c:v>
                </c:pt>
                <c:pt idx="7">
                  <c:v>5.5880794194563403</c:v>
                </c:pt>
                <c:pt idx="8">
                  <c:v>5.9447730942979007</c:v>
                </c:pt>
                <c:pt idx="9">
                  <c:v>5.730333404132856</c:v>
                </c:pt>
                <c:pt idx="10">
                  <c:v>5.8696375276909887</c:v>
                </c:pt>
                <c:pt idx="11">
                  <c:v>6.0034632630888831</c:v>
                </c:pt>
                <c:pt idx="12">
                  <c:v>6.1480283724723135</c:v>
                </c:pt>
                <c:pt idx="13">
                  <c:v>6.2932121349569634</c:v>
                </c:pt>
                <c:pt idx="14">
                  <c:v>6.4174660133269548</c:v>
                </c:pt>
                <c:pt idx="15">
                  <c:v>6.5605398907603725</c:v>
                </c:pt>
                <c:pt idx="16">
                  <c:v>6.7018084441141248</c:v>
                </c:pt>
                <c:pt idx="17">
                  <c:v>6.8403861394404446</c:v>
                </c:pt>
                <c:pt idx="18">
                  <c:v>6.9992362468957499</c:v>
                </c:pt>
                <c:pt idx="19">
                  <c:v>7.0942418866187378</c:v>
                </c:pt>
                <c:pt idx="20">
                  <c:v>7.2108422378092927</c:v>
                </c:pt>
                <c:pt idx="21">
                  <c:v>7.3146912177184094</c:v>
                </c:pt>
                <c:pt idx="22">
                  <c:v>7.423777543891533</c:v>
                </c:pt>
                <c:pt idx="23">
                  <c:v>7.5344731431193352</c:v>
                </c:pt>
                <c:pt idx="24">
                  <c:v>7.6429488682136828</c:v>
                </c:pt>
                <c:pt idx="25">
                  <c:v>7.7472484703349691</c:v>
                </c:pt>
                <c:pt idx="26">
                  <c:v>7.8546424693324557</c:v>
                </c:pt>
                <c:pt idx="27">
                  <c:v>7.959275960339963</c:v>
                </c:pt>
                <c:pt idx="28">
                  <c:v>8.0635826734922187</c:v>
                </c:pt>
                <c:pt idx="29">
                  <c:v>8.7294822741181584</c:v>
                </c:pt>
                <c:pt idx="30">
                  <c:v>9.3990208454266142</c:v>
                </c:pt>
                <c:pt idx="31">
                  <c:v>9.3990208454266142</c:v>
                </c:pt>
                <c:pt idx="32">
                  <c:v>9.3990208454266142</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4.4363462632616368</c:v>
                </c:pt>
                <c:pt idx="7">
                  <c:v>4.5963530798272414</c:v>
                </c:pt>
                <c:pt idx="8">
                  <c:v>4.8897436972197923</c:v>
                </c:pt>
                <c:pt idx="9">
                  <c:v>4.7133609982023907</c:v>
                </c:pt>
                <c:pt idx="10">
                  <c:v>4.8279425725300067</c:v>
                </c:pt>
                <c:pt idx="11">
                  <c:v>4.9380180179352013</c:v>
                </c:pt>
                <c:pt idx="12">
                  <c:v>5.0569269016272553</c:v>
                </c:pt>
                <c:pt idx="13">
                  <c:v>5.1763446449602863</c:v>
                </c:pt>
                <c:pt idx="14">
                  <c:v>5.2785469677364993</c:v>
                </c:pt>
                <c:pt idx="15">
                  <c:v>5.3962292710506299</c:v>
                </c:pt>
                <c:pt idx="16">
                  <c:v>5.5124266443430505</c:v>
                </c:pt>
                <c:pt idx="17">
                  <c:v>5.6264107109421717</c:v>
                </c:pt>
                <c:pt idx="18">
                  <c:v>5.757069408828773</c:v>
                </c:pt>
                <c:pt idx="19">
                  <c:v>5.8352142296094698</c:v>
                </c:pt>
                <c:pt idx="20">
                  <c:v>5.9311213102135225</c:v>
                </c:pt>
                <c:pt idx="21">
                  <c:v>6.0165400279540489</c:v>
                </c:pt>
                <c:pt idx="22">
                  <c:v>6.1062666108524821</c:v>
                </c:pt>
                <c:pt idx="23">
                  <c:v>6.1973168662698486</c:v>
                </c:pt>
                <c:pt idx="24">
                  <c:v>6.2865412125430815</c:v>
                </c:pt>
                <c:pt idx="25">
                  <c:v>6.3723305797746539</c:v>
                </c:pt>
                <c:pt idx="26">
                  <c:v>6.4606651757949596</c:v>
                </c:pt>
                <c:pt idx="27">
                  <c:v>6.546729176061481</c:v>
                </c:pt>
                <c:pt idx="28">
                  <c:v>6.6325243923167774</c:v>
                </c:pt>
                <c:pt idx="29">
                  <c:v>7.1802456128735432</c:v>
                </c:pt>
                <c:pt idx="30">
                  <c:v>7.7309599895486256</c:v>
                </c:pt>
                <c:pt idx="31">
                  <c:v>7.7309599895486256</c:v>
                </c:pt>
                <c:pt idx="32">
                  <c:v>7.7309599895486256</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8.3457899991737143</c:v>
                </c:pt>
                <c:pt idx="7">
                  <c:v>8.6467997063175073</c:v>
                </c:pt>
                <c:pt idx="8">
                  <c:v>9.1987350907944485</c:v>
                </c:pt>
                <c:pt idx="9">
                  <c:v>8.8669185737481815</c:v>
                </c:pt>
                <c:pt idx="10">
                  <c:v>9.0824729286983601</c:v>
                </c:pt>
                <c:pt idx="11">
                  <c:v>9.2895502163810075</c:v>
                </c:pt>
                <c:pt idx="12">
                  <c:v>9.5132452377882046</c:v>
                </c:pt>
                <c:pt idx="13">
                  <c:v>9.7378975414837168</c:v>
                </c:pt>
                <c:pt idx="14">
                  <c:v>9.9301636705687226</c:v>
                </c:pt>
                <c:pt idx="15">
                  <c:v>10.151551211530576</c:v>
                </c:pt>
                <c:pt idx="16">
                  <c:v>10.370145256811695</c:v>
                </c:pt>
                <c:pt idx="17">
                  <c:v>10.584575561985552</c:v>
                </c:pt>
                <c:pt idx="18">
                  <c:v>10.830374692490155</c:v>
                </c:pt>
                <c:pt idx="19">
                  <c:v>10.977383114524207</c:v>
                </c:pt>
                <c:pt idx="20">
                  <c:v>11.157806441887921</c:v>
                </c:pt>
                <c:pt idx="21">
                  <c:v>11.318498740900894</c:v>
                </c:pt>
                <c:pt idx="22">
                  <c:v>11.487295127336074</c:v>
                </c:pt>
                <c:pt idx="23">
                  <c:v>11.658581646915769</c:v>
                </c:pt>
                <c:pt idx="24">
                  <c:v>11.826433210482065</c:v>
                </c:pt>
                <c:pt idx="25">
                  <c:v>11.987822786630772</c:v>
                </c:pt>
                <c:pt idx="26">
                  <c:v>12.154000524863791</c:v>
                </c:pt>
                <c:pt idx="27">
                  <c:v>12.315906749060353</c:v>
                </c:pt>
                <c:pt idx="28">
                  <c:v>12.477307328571019</c:v>
                </c:pt>
                <c:pt idx="29">
                  <c:v>13.507697206546215</c:v>
                </c:pt>
                <c:pt idx="30">
                  <c:v>14.54371790117003</c:v>
                </c:pt>
                <c:pt idx="31">
                  <c:v>14.54371790117003</c:v>
                </c:pt>
                <c:pt idx="32">
                  <c:v>14.54371790117003</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38.078510482314542</c:v>
                </c:pt>
                <c:pt idx="7">
                  <c:v>38.606792599126273</c:v>
                </c:pt>
                <c:pt idx="8">
                  <c:v>35.012850498185863</c:v>
                </c:pt>
                <c:pt idx="9">
                  <c:v>35.923787609462615</c:v>
                </c:pt>
                <c:pt idx="10">
                  <c:v>37.088638279846194</c:v>
                </c:pt>
                <c:pt idx="11">
                  <c:v>38.334431548431901</c:v>
                </c:pt>
                <c:pt idx="12">
                  <c:v>39.535719759111238</c:v>
                </c:pt>
                <c:pt idx="13">
                  <c:v>40.69867147738448</c:v>
                </c:pt>
                <c:pt idx="14">
                  <c:v>42.242931084139542</c:v>
                </c:pt>
                <c:pt idx="15">
                  <c:v>43.765684242724085</c:v>
                </c:pt>
                <c:pt idx="16">
                  <c:v>45.351502210731596</c:v>
                </c:pt>
                <c:pt idx="17">
                  <c:v>47.143894139591559</c:v>
                </c:pt>
                <c:pt idx="18">
                  <c:v>48.726339382646543</c:v>
                </c:pt>
                <c:pt idx="19">
                  <c:v>50.500526338235183</c:v>
                </c:pt>
                <c:pt idx="20">
                  <c:v>52.062421655743201</c:v>
                </c:pt>
                <c:pt idx="21">
                  <c:v>53.783444541791219</c:v>
                </c:pt>
                <c:pt idx="22">
                  <c:v>55.606466188704701</c:v>
                </c:pt>
                <c:pt idx="23">
                  <c:v>57.52389885394787</c:v>
                </c:pt>
                <c:pt idx="24">
                  <c:v>59.32137585258522</c:v>
                </c:pt>
                <c:pt idx="25">
                  <c:v>61.110880929359148</c:v>
                </c:pt>
                <c:pt idx="26">
                  <c:v>62.831983752018765</c:v>
                </c:pt>
                <c:pt idx="27">
                  <c:v>64.551573785122088</c:v>
                </c:pt>
                <c:pt idx="28">
                  <c:v>66.299451019839651</c:v>
                </c:pt>
                <c:pt idx="29">
                  <c:v>75.317095275313491</c:v>
                </c:pt>
                <c:pt idx="30">
                  <c:v>83.48256661289561</c:v>
                </c:pt>
                <c:pt idx="31">
                  <c:v>83.48256661289561</c:v>
                </c:pt>
                <c:pt idx="32">
                  <c:v>83.48256661289561</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6.5864663962987153</c:v>
                </c:pt>
                <c:pt idx="7">
                  <c:v>6.6778437208335619</c:v>
                </c:pt>
                <c:pt idx="8">
                  <c:v>6.056197060335081</c:v>
                </c:pt>
                <c:pt idx="9">
                  <c:v>6.2137624849425475</c:v>
                </c:pt>
                <c:pt idx="10">
                  <c:v>6.415247514162659</c:v>
                </c:pt>
                <c:pt idx="11">
                  <c:v>6.6307332407927975</c:v>
                </c:pt>
                <c:pt idx="12">
                  <c:v>6.8385208966567017</c:v>
                </c:pt>
                <c:pt idx="13">
                  <c:v>7.0396774628118326</c:v>
                </c:pt>
                <c:pt idx="14">
                  <c:v>7.3067891191823646</c:v>
                </c:pt>
                <c:pt idx="15">
                  <c:v>7.5701807902807658</c:v>
                </c:pt>
                <c:pt idx="16">
                  <c:v>7.8444808252513907</c:v>
                </c:pt>
                <c:pt idx="17">
                  <c:v>8.1545121016563922</c:v>
                </c:pt>
                <c:pt idx="18">
                  <c:v>8.4282287540502718</c:v>
                </c:pt>
                <c:pt idx="19">
                  <c:v>8.735111103588693</c:v>
                </c:pt>
                <c:pt idx="20">
                  <c:v>9.0052732210927591</c:v>
                </c:pt>
                <c:pt idx="21">
                  <c:v>9.3029597446105576</c:v>
                </c:pt>
                <c:pt idx="22">
                  <c:v>9.6182890646137</c:v>
                </c:pt>
                <c:pt idx="23">
                  <c:v>9.9499487240075499</c:v>
                </c:pt>
                <c:pt idx="24">
                  <c:v>10.260859568462545</c:v>
                </c:pt>
                <c:pt idx="25">
                  <c:v>10.570391504057861</c:v>
                </c:pt>
                <c:pt idx="26">
                  <c:v>10.86809185426687</c:v>
                </c:pt>
                <c:pt idx="27">
                  <c:v>11.165530536215988</c:v>
                </c:pt>
                <c:pt idx="28">
                  <c:v>11.467862075068318</c:v>
                </c:pt>
                <c:pt idx="29">
                  <c:v>13.027650262950303</c:v>
                </c:pt>
                <c:pt idx="30">
                  <c:v>14.440037509555015</c:v>
                </c:pt>
                <c:pt idx="31">
                  <c:v>14.440037509555015</c:v>
                </c:pt>
                <c:pt idx="32">
                  <c:v>14.440037509555015</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9.41292926209006</c:v>
                </c:pt>
                <c:pt idx="7">
                  <c:v>9.543519511892125</c:v>
                </c:pt>
                <c:pt idx="8">
                  <c:v>8.6551044363100207</c:v>
                </c:pt>
                <c:pt idx="9">
                  <c:v>8.8802862115961947</c:v>
                </c:pt>
                <c:pt idx="10">
                  <c:v>9.1682348950488031</c:v>
                </c:pt>
                <c:pt idx="11">
                  <c:v>9.4761924218494276</c:v>
                </c:pt>
                <c:pt idx="12">
                  <c:v>9.773148390118175</c:v>
                </c:pt>
                <c:pt idx="13">
                  <c:v>10.060627656525307</c:v>
                </c:pt>
                <c:pt idx="14">
                  <c:v>10.44236544659563</c:v>
                </c:pt>
                <c:pt idx="15">
                  <c:v>10.818786887030852</c:v>
                </c:pt>
                <c:pt idx="16">
                  <c:v>11.210797818297163</c:v>
                </c:pt>
                <c:pt idx="17">
                  <c:v>11.653873406669664</c:v>
                </c:pt>
                <c:pt idx="18">
                  <c:v>12.045050607283265</c:v>
                </c:pt>
                <c:pt idx="19">
                  <c:v>12.483625963807128</c:v>
                </c:pt>
                <c:pt idx="20">
                  <c:v>12.869723265205536</c:v>
                </c:pt>
                <c:pt idx="21">
                  <c:v>13.295156573378975</c:v>
                </c:pt>
                <c:pt idx="22">
                  <c:v>13.745803764886778</c:v>
                </c:pt>
                <c:pt idx="23">
                  <c:v>14.21978916542227</c:v>
                </c:pt>
                <c:pt idx="24">
                  <c:v>14.664121772556825</c:v>
                </c:pt>
                <c:pt idx="25">
                  <c:v>15.106483737047201</c:v>
                </c:pt>
                <c:pt idx="26">
                  <c:v>15.531936805386175</c:v>
                </c:pt>
                <c:pt idx="27">
                  <c:v>15.957015915266654</c:v>
                </c:pt>
                <c:pt idx="28">
                  <c:v>16.389087563049603</c:v>
                </c:pt>
                <c:pt idx="29">
                  <c:v>18.618230625956212</c:v>
                </c:pt>
                <c:pt idx="30">
                  <c:v>20.6367183009923</c:v>
                </c:pt>
                <c:pt idx="31">
                  <c:v>20.6367183009923</c:v>
                </c:pt>
                <c:pt idx="32">
                  <c:v>20.6367183009923</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40.43272377618451</c:v>
                </c:pt>
                <c:pt idx="7">
                  <c:v>40.993667065047326</c:v>
                </c:pt>
                <c:pt idx="8">
                  <c:v>37.177528608097596</c:v>
                </c:pt>
                <c:pt idx="9">
                  <c:v>38.144784630752021</c:v>
                </c:pt>
                <c:pt idx="10">
                  <c:v>39.381652480874394</c:v>
                </c:pt>
                <c:pt idx="11">
                  <c:v>40.704467225278606</c:v>
                </c:pt>
                <c:pt idx="12">
                  <c:v>41.980025375604455</c:v>
                </c:pt>
                <c:pt idx="13">
                  <c:v>43.214876870434324</c:v>
                </c:pt>
                <c:pt idx="14">
                  <c:v>44.854610707913238</c:v>
                </c:pt>
                <c:pt idx="15">
                  <c:v>46.471508455763875</c:v>
                </c:pt>
                <c:pt idx="16">
                  <c:v>48.155370010420476</c:v>
                </c:pt>
                <c:pt idx="17">
                  <c:v>50.058577011963159</c:v>
                </c:pt>
                <c:pt idx="18">
                  <c:v>51.73885732211594</c:v>
                </c:pt>
                <c:pt idx="19">
                  <c:v>53.622733823428732</c:v>
                </c:pt>
                <c:pt idx="20">
                  <c:v>55.281193703823696</c:v>
                </c:pt>
                <c:pt idx="21">
                  <c:v>57.108619253895831</c:v>
                </c:pt>
                <c:pt idx="22">
                  <c:v>59.04434966335846</c:v>
                </c:pt>
                <c:pt idx="23">
                  <c:v>61.080328075623761</c:v>
                </c:pt>
                <c:pt idx="24">
                  <c:v>62.988934532635881</c:v>
                </c:pt>
                <c:pt idx="25">
                  <c:v>64.889076201750925</c:v>
                </c:pt>
                <c:pt idx="26">
                  <c:v>66.716586630535375</c:v>
                </c:pt>
                <c:pt idx="27">
                  <c:v>68.542490741176437</c:v>
                </c:pt>
                <c:pt idx="28">
                  <c:v>70.398430916642056</c:v>
                </c:pt>
                <c:pt idx="29">
                  <c:v>79.973593250337117</c:v>
                </c:pt>
                <c:pt idx="30">
                  <c:v>88.643896865499485</c:v>
                </c:pt>
                <c:pt idx="31">
                  <c:v>88.643896865499485</c:v>
                </c:pt>
                <c:pt idx="32">
                  <c:v>88.643896865499485</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7.8122282059197987</c:v>
                </c:pt>
                <c:pt idx="7">
                  <c:v>7.9206111337540275</c:v>
                </c:pt>
                <c:pt idx="8">
                  <c:v>7.1832741030828959</c:v>
                </c:pt>
                <c:pt idx="9">
                  <c:v>7.3701629415483758</c:v>
                </c:pt>
                <c:pt idx="10">
                  <c:v>7.6091449591638405</c:v>
                </c:pt>
                <c:pt idx="11">
                  <c:v>7.8647332473693492</c:v>
                </c:pt>
                <c:pt idx="12">
                  <c:v>8.1111908299805897</c:v>
                </c:pt>
                <c:pt idx="13">
                  <c:v>8.3497832565366839</c:v>
                </c:pt>
                <c:pt idx="14">
                  <c:v>8.6666052200102204</c:v>
                </c:pt>
                <c:pt idx="15">
                  <c:v>8.9790148974232249</c:v>
                </c:pt>
                <c:pt idx="16">
                  <c:v>9.3043630190330919</c:v>
                </c:pt>
                <c:pt idx="17">
                  <c:v>9.6720920768492125</c:v>
                </c:pt>
                <c:pt idx="18">
                  <c:v>9.9967482465767397</c:v>
                </c:pt>
                <c:pt idx="19">
                  <c:v>10.36074235247702</c:v>
                </c:pt>
                <c:pt idx="20">
                  <c:v>10.681182477355259</c:v>
                </c:pt>
                <c:pt idx="21">
                  <c:v>11.034269385512086</c:v>
                </c:pt>
                <c:pt idx="22">
                  <c:v>11.408282469260056</c:v>
                </c:pt>
                <c:pt idx="23">
                  <c:v>11.801665019171555</c:v>
                </c:pt>
                <c:pt idx="24">
                  <c:v>12.170437335377796</c:v>
                </c:pt>
                <c:pt idx="25">
                  <c:v>12.537574123511957</c:v>
                </c:pt>
                <c:pt idx="26">
                  <c:v>12.890677431550081</c:v>
                </c:pt>
                <c:pt idx="27">
                  <c:v>13.243470374054166</c:v>
                </c:pt>
                <c:pt idx="28">
                  <c:v>13.60206674929546</c:v>
                </c:pt>
                <c:pt idx="29">
                  <c:v>15.452136353154641</c:v>
                </c:pt>
                <c:pt idx="30">
                  <c:v>17.127373243728815</c:v>
                </c:pt>
                <c:pt idx="31">
                  <c:v>17.127373243728815</c:v>
                </c:pt>
                <c:pt idx="32">
                  <c:v>17.127373243728815</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7.0188119039987242</c:v>
                </c:pt>
                <c:pt idx="7">
                  <c:v>7.1161873728178087</c:v>
                </c:pt>
                <c:pt idx="8">
                  <c:v>6.453734895532004</c:v>
                </c:pt>
                <c:pt idx="9">
                  <c:v>6.6216431503308106</c:v>
                </c:pt>
                <c:pt idx="10">
                  <c:v>6.8363539582933859</c:v>
                </c:pt>
                <c:pt idx="11">
                  <c:v>7.0659844903892237</c:v>
                </c:pt>
                <c:pt idx="12">
                  <c:v>7.2874116388373098</c:v>
                </c:pt>
                <c:pt idx="13">
                  <c:v>7.5017724229279334</c:v>
                </c:pt>
                <c:pt idx="14">
                  <c:v>7.7864176880254456</c:v>
                </c:pt>
                <c:pt idx="15">
                  <c:v>8.0670987824524136</c:v>
                </c:pt>
                <c:pt idx="16">
                  <c:v>8.3594042820752446</c:v>
                </c:pt>
                <c:pt idx="17">
                  <c:v>8.6897864752746479</c:v>
                </c:pt>
                <c:pt idx="18">
                  <c:v>8.9814702982156494</c:v>
                </c:pt>
                <c:pt idx="19">
                  <c:v>9.3084968642781103</c:v>
                </c:pt>
                <c:pt idx="20">
                  <c:v>9.5963928273414947</c:v>
                </c:pt>
                <c:pt idx="21">
                  <c:v>9.9136199396062548</c:v>
                </c:pt>
                <c:pt idx="22">
                  <c:v>10.24964794791153</c:v>
                </c:pt>
                <c:pt idx="23">
                  <c:v>10.603078243515538</c:v>
                </c:pt>
                <c:pt idx="24">
                  <c:v>10.934397740927583</c:v>
                </c:pt>
                <c:pt idx="25">
                  <c:v>11.264247815839534</c:v>
                </c:pt>
                <c:pt idx="26">
                  <c:v>11.5814896624002</c:v>
                </c:pt>
                <c:pt idx="27">
                  <c:v>11.898452664404935</c:v>
                </c:pt>
                <c:pt idx="28">
                  <c:v>12.220629697759794</c:v>
                </c:pt>
                <c:pt idx="29">
                  <c:v>13.88280471575956</c:v>
                </c:pt>
                <c:pt idx="30">
                  <c:v>15.387903174182719</c:v>
                </c:pt>
                <c:pt idx="31">
                  <c:v>15.387903174182719</c:v>
                </c:pt>
                <c:pt idx="32">
                  <c:v>15.387903174182719</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15.709765061783303</c:v>
                </c:pt>
                <c:pt idx="7">
                  <c:v>15.927714446786384</c:v>
                </c:pt>
                <c:pt idx="8">
                  <c:v>14.444988748320618</c:v>
                </c:pt>
                <c:pt idx="9">
                  <c:v>14.820807230266331</c:v>
                </c:pt>
                <c:pt idx="10">
                  <c:v>15.301380922146583</c:v>
                </c:pt>
                <c:pt idx="11">
                  <c:v>15.815348493806781</c:v>
                </c:pt>
                <c:pt idx="12">
                  <c:v>16.310954948004284</c:v>
                </c:pt>
                <c:pt idx="13">
                  <c:v>16.790745203475414</c:v>
                </c:pt>
                <c:pt idx="14">
                  <c:v>17.427848790491808</c:v>
                </c:pt>
                <c:pt idx="15">
                  <c:v>18.056079623721541</c:v>
                </c:pt>
                <c:pt idx="16">
                  <c:v>18.710328631694772</c:v>
                </c:pt>
                <c:pt idx="17">
                  <c:v>19.449802307118723</c:v>
                </c:pt>
                <c:pt idx="18">
                  <c:v>20.102659855290845</c:v>
                </c:pt>
                <c:pt idx="19">
                  <c:v>20.834622841629901</c:v>
                </c:pt>
                <c:pt idx="20">
                  <c:v>21.479002261369718</c:v>
                </c:pt>
                <c:pt idx="21">
                  <c:v>22.189031746854024</c:v>
                </c:pt>
                <c:pt idx="22">
                  <c:v>22.941142094995332</c:v>
                </c:pt>
                <c:pt idx="23">
                  <c:v>23.732202887847233</c:v>
                </c:pt>
                <c:pt idx="24">
                  <c:v>24.473774472315256</c:v>
                </c:pt>
                <c:pt idx="25">
                  <c:v>25.212057140857233</c:v>
                </c:pt>
                <c:pt idx="26">
                  <c:v>25.922119605188986</c:v>
                </c:pt>
                <c:pt idx="27">
                  <c:v>26.63155794929607</c:v>
                </c:pt>
                <c:pt idx="28">
                  <c:v>27.352666531707808</c:v>
                </c:pt>
                <c:pt idx="29">
                  <c:v>31.073008290612208</c:v>
                </c:pt>
                <c:pt idx="30">
                  <c:v>34.441775469457575</c:v>
                </c:pt>
                <c:pt idx="31">
                  <c:v>34.441775469457575</c:v>
                </c:pt>
                <c:pt idx="32">
                  <c:v>34.441775469457575</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17.976210697254331</c:v>
                </c:pt>
                <c:pt idx="1">
                  <c:v>18.474728708006445</c:v>
                </c:pt>
                <c:pt idx="2">
                  <c:v>17.381664585844597</c:v>
                </c:pt>
                <c:pt idx="3">
                  <c:v>17.672226072169018</c:v>
                </c:pt>
                <c:pt idx="4">
                  <c:v>20.48244861471408</c:v>
                </c:pt>
                <c:pt idx="5">
                  <c:v>25.633401816400347</c:v>
                </c:pt>
                <c:pt idx="6">
                  <c:v>33.146544753796483</c:v>
                </c:pt>
                <c:pt idx="8">
                  <c:v>17.976210697254331</c:v>
                </c:pt>
                <c:pt idx="9">
                  <c:v>18.474728708006445</c:v>
                </c:pt>
                <c:pt idx="10">
                  <c:v>17.381664585844597</c:v>
                </c:pt>
                <c:pt idx="11">
                  <c:v>17.672226072169018</c:v>
                </c:pt>
                <c:pt idx="12">
                  <c:v>20.48244861471408</c:v>
                </c:pt>
                <c:pt idx="13">
                  <c:v>25.633401816400347</c:v>
                </c:pt>
                <c:pt idx="14">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5.1484632519767128</c:v>
                </c:pt>
                <c:pt idx="1">
                  <c:v>5.2912409319912115</c:v>
                </c:pt>
                <c:pt idx="2">
                  <c:v>4.9781827152301004</c:v>
                </c:pt>
                <c:pt idx="3">
                  <c:v>5.0618873580717327</c:v>
                </c:pt>
                <c:pt idx="4">
                  <c:v>5.8662604582991227</c:v>
                </c:pt>
                <c:pt idx="5">
                  <c:v>7.3415153781574052</c:v>
                </c:pt>
                <c:pt idx="6">
                  <c:v>9.4933114920036061</c:v>
                </c:pt>
                <c:pt idx="8">
                  <c:v>5.1484632519767128</c:v>
                </c:pt>
                <c:pt idx="9">
                  <c:v>5.2912409319912115</c:v>
                </c:pt>
                <c:pt idx="10">
                  <c:v>4.9781827152301004</c:v>
                </c:pt>
                <c:pt idx="11">
                  <c:v>5.0618873580717327</c:v>
                </c:pt>
                <c:pt idx="12">
                  <c:v>5.5729474353841661</c:v>
                </c:pt>
                <c:pt idx="13">
                  <c:v>6.6257176287870569</c:v>
                </c:pt>
                <c:pt idx="14">
                  <c:v>8.1393279404565906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1.7163196641541021</c:v>
                </c:pt>
                <c:pt idx="1">
                  <c:v>1.7639150720127121</c:v>
                </c:pt>
                <c:pt idx="2">
                  <c:v>1.6595540198565115</c:v>
                </c:pt>
                <c:pt idx="3">
                  <c:v>1.6874565944917681</c:v>
                </c:pt>
                <c:pt idx="4">
                  <c:v>1.9556084382583021</c:v>
                </c:pt>
                <c:pt idx="5">
                  <c:v>2.4474074284949929</c:v>
                </c:pt>
                <c:pt idx="6">
                  <c:v>3.1647418645573753</c:v>
                </c:pt>
                <c:pt idx="8">
                  <c:v>1.7163196641541021</c:v>
                </c:pt>
                <c:pt idx="9">
                  <c:v>1.7639150720127121</c:v>
                </c:pt>
                <c:pt idx="10">
                  <c:v>1.6595540198565115</c:v>
                </c:pt>
                <c:pt idx="11">
                  <c:v>1.6874565944917681</c:v>
                </c:pt>
                <c:pt idx="12">
                  <c:v>1.8578280163453871</c:v>
                </c:pt>
                <c:pt idx="13">
                  <c:v>2.2087852042167313</c:v>
                </c:pt>
                <c:pt idx="14">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14.22875652315842</c:v>
                </c:pt>
                <c:pt idx="1">
                  <c:v>14.623335391060838</c:v>
                </c:pt>
                <c:pt idx="2">
                  <c:v>13.758153902644418</c:v>
                </c:pt>
                <c:pt idx="3">
                  <c:v>13.989473830479653</c:v>
                </c:pt>
                <c:pt idx="4">
                  <c:v>16.212525500793355</c:v>
                </c:pt>
                <c:pt idx="5">
                  <c:v>20.289672804155337</c:v>
                </c:pt>
                <c:pt idx="6">
                  <c:v>26.236570255475549</c:v>
                </c:pt>
                <c:pt idx="8">
                  <c:v>14.22875652315842</c:v>
                </c:pt>
                <c:pt idx="9">
                  <c:v>14.623335391060838</c:v>
                </c:pt>
                <c:pt idx="10">
                  <c:v>13.758153902644418</c:v>
                </c:pt>
                <c:pt idx="11">
                  <c:v>13.989473830479653</c:v>
                </c:pt>
                <c:pt idx="12">
                  <c:v>15.401899225753688</c:v>
                </c:pt>
                <c:pt idx="13">
                  <c:v>18.311429705750189</c:v>
                </c:pt>
                <c:pt idx="14">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4.7329719129281322</c:v>
                </c:pt>
                <c:pt idx="1">
                  <c:v>4.8642223631117147</c:v>
                </c:pt>
                <c:pt idx="2">
                  <c:v>4.5764333579660059</c:v>
                </c:pt>
                <c:pt idx="3">
                  <c:v>4.6533782912469155</c:v>
                </c:pt>
                <c:pt idx="4">
                  <c:v>5.3928414410631289</c:v>
                </c:pt>
                <c:pt idx="5">
                  <c:v>6.7490403218490576</c:v>
                </c:pt>
                <c:pt idx="6">
                  <c:v>8.7271821616051746</c:v>
                </c:pt>
                <c:pt idx="8">
                  <c:v>4.7329719129281322</c:v>
                </c:pt>
                <c:pt idx="9">
                  <c:v>4.8642223631117147</c:v>
                </c:pt>
                <c:pt idx="10">
                  <c:v>4.5764333579660059</c:v>
                </c:pt>
                <c:pt idx="11">
                  <c:v>4.6533782912469155</c:v>
                </c:pt>
                <c:pt idx="12">
                  <c:v>5.1231993690099724</c:v>
                </c:pt>
                <c:pt idx="13">
                  <c:v>6.0910088904687738</c:v>
                </c:pt>
                <c:pt idx="14">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3.1180001765104728</c:v>
                </c:pt>
                <c:pt idx="1">
                  <c:v>3.2044657069146676</c:v>
                </c:pt>
                <c:pt idx="2">
                  <c:v>3.0148752793038378</c:v>
                </c:pt>
                <c:pt idx="3">
                  <c:v>3.0655652728142861</c:v>
                </c:pt>
                <c:pt idx="4">
                  <c:v>3.552710828305977</c:v>
                </c:pt>
                <c:pt idx="5">
                  <c:v>4.4461512347709542</c:v>
                </c:pt>
                <c:pt idx="6">
                  <c:v>5.7493169241076743</c:v>
                </c:pt>
                <c:pt idx="8">
                  <c:v>3.1180001765104728</c:v>
                </c:pt>
                <c:pt idx="9">
                  <c:v>3.2044657069146676</c:v>
                </c:pt>
                <c:pt idx="10">
                  <c:v>3.0148752793038378</c:v>
                </c:pt>
                <c:pt idx="11">
                  <c:v>3.0655652728142861</c:v>
                </c:pt>
                <c:pt idx="12">
                  <c:v>3.3750752868906782</c:v>
                </c:pt>
                <c:pt idx="13">
                  <c:v>4.0126514893807856</c:v>
                </c:pt>
                <c:pt idx="14">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103.03413430720434</c:v>
                </c:pt>
                <c:pt idx="1">
                  <c:v>105.89138272550942</c:v>
                </c:pt>
                <c:pt idx="2">
                  <c:v>99.626378082797544</c:v>
                </c:pt>
                <c:pt idx="3">
                  <c:v>101.3014259672502</c:v>
                </c:pt>
                <c:pt idx="4">
                  <c:v>117.39912248754413</c:v>
                </c:pt>
                <c:pt idx="5">
                  <c:v>146.92280870433564</c:v>
                </c:pt>
                <c:pt idx="6">
                  <c:v>189.98584303999428</c:v>
                </c:pt>
                <c:pt idx="8">
                  <c:v>103.03413430720434</c:v>
                </c:pt>
                <c:pt idx="9">
                  <c:v>105.89138272550942</c:v>
                </c:pt>
                <c:pt idx="10">
                  <c:v>99.626378082797544</c:v>
                </c:pt>
                <c:pt idx="11">
                  <c:v>101.3014259672502</c:v>
                </c:pt>
                <c:pt idx="12">
                  <c:v>111.52916636316692</c:v>
                </c:pt>
                <c:pt idx="13">
                  <c:v>132.59783485566291</c:v>
                </c:pt>
                <c:pt idx="14">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29.349067786255869</c:v>
                </c:pt>
                <c:pt idx="1">
                  <c:v>30.162949303045053</c:v>
                </c:pt>
                <c:pt idx="2">
                  <c:v>28.378375218189547</c:v>
                </c:pt>
                <c:pt idx="3">
                  <c:v>28.855509269313302</c:v>
                </c:pt>
                <c:pt idx="4">
                  <c:v>33.440906036641188</c:v>
                </c:pt>
                <c:pt idx="5">
                  <c:v>41.85066920787574</c:v>
                </c:pt>
                <c:pt idx="6">
                  <c:v>54.117088703679066</c:v>
                </c:pt>
                <c:pt idx="8">
                  <c:v>29.349067786255869</c:v>
                </c:pt>
                <c:pt idx="9">
                  <c:v>30.162949303045053</c:v>
                </c:pt>
                <c:pt idx="10">
                  <c:v>28.378375218189547</c:v>
                </c:pt>
                <c:pt idx="11">
                  <c:v>28.855509269313302</c:v>
                </c:pt>
                <c:pt idx="12">
                  <c:v>31.768860734809127</c:v>
                </c:pt>
                <c:pt idx="13">
                  <c:v>37.77022896010785</c:v>
                </c:pt>
                <c:pt idx="14">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1.12804801559981</c:v>
                </c:pt>
                <c:pt idx="1">
                  <c:v>1.1593300119014898</c:v>
                </c:pt>
                <c:pt idx="2">
                  <c:v>1.0907388978745283</c:v>
                </c:pt>
                <c:pt idx="3">
                  <c:v>1.1090778149217437</c:v>
                </c:pt>
                <c:pt idx="4">
                  <c:v>1.2853201324560779</c:v>
                </c:pt>
                <c:pt idx="5">
                  <c:v>1.6085541351870973</c:v>
                </c:pt>
                <c:pt idx="6">
                  <c:v>2.0800209044735705</c:v>
                </c:pt>
                <c:pt idx="8">
                  <c:v>1.12804801559981</c:v>
                </c:pt>
                <c:pt idx="9">
                  <c:v>1.1593300119014898</c:v>
                </c:pt>
                <c:pt idx="10">
                  <c:v>1.0907388978745283</c:v>
                </c:pt>
                <c:pt idx="11">
                  <c:v>1.1090778149217437</c:v>
                </c:pt>
                <c:pt idx="12">
                  <c:v>1.2210541258332739</c:v>
                </c:pt>
                <c:pt idx="13">
                  <c:v>1.4517201070063552</c:v>
                </c:pt>
                <c:pt idx="14">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0.91769219759054577</c:v>
                </c:pt>
                <c:pt idx="1">
                  <c:v>0.94314079865549549</c:v>
                </c:pt>
                <c:pt idx="2">
                  <c:v>0.88734039894191019</c:v>
                </c:pt>
                <c:pt idx="3">
                  <c:v>0.9022595166157632</c:v>
                </c:pt>
                <c:pt idx="4">
                  <c:v>1.0456365692322114</c:v>
                </c:pt>
                <c:pt idx="5">
                  <c:v>1.3085946332508718</c:v>
                </c:pt>
                <c:pt idx="6">
                  <c:v>1.6921433560127854</c:v>
                </c:pt>
                <c:pt idx="8">
                  <c:v>0.91769219759054577</c:v>
                </c:pt>
                <c:pt idx="9">
                  <c:v>0.94314079865549549</c:v>
                </c:pt>
                <c:pt idx="10">
                  <c:v>0.88734039894191019</c:v>
                </c:pt>
                <c:pt idx="11">
                  <c:v>0.9022595166157632</c:v>
                </c:pt>
                <c:pt idx="12">
                  <c:v>0.99335474077060071</c:v>
                </c:pt>
                <c:pt idx="13">
                  <c:v>1.1810066565089117</c:v>
                </c:pt>
                <c:pt idx="14">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23.057336578097942</c:v>
                </c:pt>
                <c:pt idx="1">
                  <c:v>23.696741556953494</c:v>
                </c:pt>
                <c:pt idx="2">
                  <c:v>22.294737049596232</c:v>
                </c:pt>
                <c:pt idx="3">
                  <c:v>22.669585085307396</c:v>
                </c:pt>
                <c:pt idx="4">
                  <c:v>26.271983545742081</c:v>
                </c:pt>
                <c:pt idx="5">
                  <c:v>32.878896630458648</c:v>
                </c:pt>
                <c:pt idx="6">
                  <c:v>42.515692081090613</c:v>
                </c:pt>
                <c:pt idx="8">
                  <c:v>23.057336578097942</c:v>
                </c:pt>
                <c:pt idx="9">
                  <c:v>23.696741556953494</c:v>
                </c:pt>
                <c:pt idx="10">
                  <c:v>22.294737049596232</c:v>
                </c:pt>
                <c:pt idx="11">
                  <c:v>22.669585085307396</c:v>
                </c:pt>
                <c:pt idx="12">
                  <c:v>35.2862171174568</c:v>
                </c:pt>
                <c:pt idx="13">
                  <c:v>54.877129231275859</c:v>
                </c:pt>
                <c:pt idx="14">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26.306324914102674</c:v>
                </c:pt>
                <c:pt idx="1">
                  <c:v>27.035854456631917</c:v>
                </c:pt>
                <c:pt idx="2">
                  <c:v>25.436268179312091</c:v>
                </c:pt>
                <c:pt idx="3">
                  <c:v>25.863961147804282</c:v>
                </c:pt>
                <c:pt idx="4">
                  <c:v>29.973944863551218</c:v>
                </c:pt>
                <c:pt idx="5">
                  <c:v>37.511832064750571</c:v>
                </c:pt>
                <c:pt idx="6">
                  <c:v>48.506539601607955</c:v>
                </c:pt>
                <c:pt idx="8">
                  <c:v>26.306324914102674</c:v>
                </c:pt>
                <c:pt idx="9">
                  <c:v>27.035854456631917</c:v>
                </c:pt>
                <c:pt idx="10">
                  <c:v>25.436268179312091</c:v>
                </c:pt>
                <c:pt idx="11">
                  <c:v>25.863961147804282</c:v>
                </c:pt>
                <c:pt idx="12">
                  <c:v>30.267257886466176</c:v>
                </c:pt>
                <c:pt idx="13">
                  <c:v>38.227629814120924</c:v>
                </c:pt>
                <c:pt idx="14">
                  <c:v>49.860523153154979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82.000000000000014</c:v>
                </c:pt>
                <c:pt idx="1">
                  <c:v>82.000000000000014</c:v>
                </c:pt>
                <c:pt idx="2">
                  <c:v>82.000000000000014</c:v>
                </c:pt>
                <c:pt idx="3">
                  <c:v>83.472345553875925</c:v>
                </c:pt>
                <c:pt idx="4">
                  <c:v>75.296230147600653</c:v>
                </c:pt>
                <c:pt idx="5">
                  <c:v>79.105852655656591</c:v>
                </c:pt>
                <c:pt idx="6">
                  <c:v>88.040877070249095</c:v>
                </c:pt>
                <c:pt idx="8">
                  <c:v>82.000000000000014</c:v>
                </c:pt>
                <c:pt idx="9">
                  <c:v>82.000000000000014</c:v>
                </c:pt>
                <c:pt idx="10">
                  <c:v>82.000000000000014</c:v>
                </c:pt>
                <c:pt idx="11">
                  <c:v>83.472345553875925</c:v>
                </c:pt>
                <c:pt idx="12">
                  <c:v>75.296230147600653</c:v>
                </c:pt>
                <c:pt idx="13">
                  <c:v>79.105852655656591</c:v>
                </c:pt>
                <c:pt idx="14">
                  <c:v>88.040877070249095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FTRA!$L$132:$AR$132</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FTRA!$L$133:$AR$133</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FTRA!$L$134:$AR$134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FTRA!$L$135:$AR$135</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FTRA!$L$136:$AR$136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FTRA!$L$137:$AR$137</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FTRA!$L$138:$AR$138</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FTRA!$L$139:$AR$139</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FTRA!$L$140:$AR$140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FTRA!$L$141:$AR$141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FTRA!$L$142:$AR$142</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FTRA!$L$143:$AR$143</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FTRA!$L$144:$AR$144</c:f>
              <c:numCache>
                <c:formatCode>0.00</c:formatCode>
                <c:ptCount val="33"/>
                <c:pt idx="0">
                  <c:v>82.000000000000014</c:v>
                </c:pt>
                <c:pt idx="1">
                  <c:v>82.000000000000014</c:v>
                </c:pt>
                <c:pt idx="2">
                  <c:v>82.000000000000014</c:v>
                </c:pt>
                <c:pt idx="3">
                  <c:v>82.000000000000014</c:v>
                </c:pt>
                <c:pt idx="4">
                  <c:v>82.000000000000014</c:v>
                </c:pt>
                <c:pt idx="5">
                  <c:v>82.000000000000014</c:v>
                </c:pt>
                <c:pt idx="6">
                  <c:v>82.736172776937963</c:v>
                </c:pt>
                <c:pt idx="7">
                  <c:v>83.472345553875925</c:v>
                </c:pt>
                <c:pt idx="8">
                  <c:v>75.296230147600653</c:v>
                </c:pt>
                <c:pt idx="9">
                  <c:v>79.105852655656591</c:v>
                </c:pt>
                <c:pt idx="10">
                  <c:v>80.098633146166875</c:v>
                </c:pt>
                <c:pt idx="11">
                  <c:v>81.09141363667716</c:v>
                </c:pt>
                <c:pt idx="12">
                  <c:v>82.084194127187445</c:v>
                </c:pt>
                <c:pt idx="13">
                  <c:v>83.076974617697729</c:v>
                </c:pt>
                <c:pt idx="14">
                  <c:v>84.069755108208014</c:v>
                </c:pt>
                <c:pt idx="15">
                  <c:v>85.062535598718299</c:v>
                </c:pt>
                <c:pt idx="16">
                  <c:v>86.055316089228583</c:v>
                </c:pt>
                <c:pt idx="17">
                  <c:v>87.048096579738868</c:v>
                </c:pt>
                <c:pt idx="18">
                  <c:v>88.040877070249095</c:v>
                </c:pt>
                <c:pt idx="19">
                  <c:v>89.889451104345525</c:v>
                </c:pt>
                <c:pt idx="20">
                  <c:v>91.738025138441955</c:v>
                </c:pt>
                <c:pt idx="21">
                  <c:v>93.586599172538385</c:v>
                </c:pt>
                <c:pt idx="22">
                  <c:v>95.435173206634815</c:v>
                </c:pt>
                <c:pt idx="23">
                  <c:v>97.283747240731245</c:v>
                </c:pt>
                <c:pt idx="24">
                  <c:v>99.132321274827675</c:v>
                </c:pt>
                <c:pt idx="25">
                  <c:v>100.9808953089241</c:v>
                </c:pt>
                <c:pt idx="26">
                  <c:v>102.82946934302053</c:v>
                </c:pt>
                <c:pt idx="27">
                  <c:v>104.67804337711696</c:v>
                </c:pt>
                <c:pt idx="28">
                  <c:v>106.52661741121337</c:v>
                </c:pt>
                <c:pt idx="29">
                  <c:v>118.05685712150301</c:v>
                </c:pt>
                <c:pt idx="30">
                  <c:v>129.58709683179268</c:v>
                </c:pt>
                <c:pt idx="31">
                  <c:v>129.58709683179268</c:v>
                </c:pt>
                <c:pt idx="32">
                  <c:v>129.58709683179268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82.000000000000014</c:v>
                </c:pt>
                <c:pt idx="1">
                  <c:v>82.000000000000014</c:v>
                </c:pt>
                <c:pt idx="2">
                  <c:v>82.000000000000014</c:v>
                </c:pt>
                <c:pt idx="3">
                  <c:v>82.000000000000014</c:v>
                </c:pt>
                <c:pt idx="4">
                  <c:v>82.000000000000014</c:v>
                </c:pt>
                <c:pt idx="5">
                  <c:v>82.000000000000014</c:v>
                </c:pt>
                <c:pt idx="6">
                  <c:v>82.736172776937963</c:v>
                </c:pt>
                <c:pt idx="7">
                  <c:v>83.472345553875925</c:v>
                </c:pt>
                <c:pt idx="8">
                  <c:v>75.296230147600653</c:v>
                </c:pt>
                <c:pt idx="9">
                  <c:v>79.105852655656591</c:v>
                </c:pt>
                <c:pt idx="10">
                  <c:v>80.098633146166875</c:v>
                </c:pt>
                <c:pt idx="11">
                  <c:v>81.09141363667716</c:v>
                </c:pt>
                <c:pt idx="12">
                  <c:v>82.084194127187445</c:v>
                </c:pt>
                <c:pt idx="13">
                  <c:v>83.076974617697729</c:v>
                </c:pt>
                <c:pt idx="14">
                  <c:v>84.069755108208014</c:v>
                </c:pt>
                <c:pt idx="15">
                  <c:v>85.062535598718299</c:v>
                </c:pt>
                <c:pt idx="16">
                  <c:v>86.055316089228583</c:v>
                </c:pt>
                <c:pt idx="17">
                  <c:v>87.048096579738868</c:v>
                </c:pt>
                <c:pt idx="18">
                  <c:v>88.040877070249095</c:v>
                </c:pt>
                <c:pt idx="19">
                  <c:v>89.889451104345525</c:v>
                </c:pt>
                <c:pt idx="20">
                  <c:v>91.738025138441955</c:v>
                </c:pt>
                <c:pt idx="21">
                  <c:v>93.586599172538385</c:v>
                </c:pt>
                <c:pt idx="22">
                  <c:v>95.435173206634815</c:v>
                </c:pt>
                <c:pt idx="23">
                  <c:v>97.283747240731245</c:v>
                </c:pt>
                <c:pt idx="24">
                  <c:v>99.132321274827675</c:v>
                </c:pt>
                <c:pt idx="25">
                  <c:v>100.9808953089241</c:v>
                </c:pt>
                <c:pt idx="26">
                  <c:v>102.82946934302053</c:v>
                </c:pt>
                <c:pt idx="27">
                  <c:v>104.67804337711696</c:v>
                </c:pt>
                <c:pt idx="28">
                  <c:v>106.52661741121337</c:v>
                </c:pt>
                <c:pt idx="29">
                  <c:v>108.8326653532713</c:v>
                </c:pt>
                <c:pt idx="30">
                  <c:v>111.13871329532923</c:v>
                </c:pt>
                <c:pt idx="31">
                  <c:v>113.44476123738716</c:v>
                </c:pt>
                <c:pt idx="32">
                  <c:v>115.75080917944508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26.164390783448656</c:v>
                </c:pt>
                <c:pt idx="1">
                  <c:v>26.360993218184007</c:v>
                </c:pt>
                <c:pt idx="2">
                  <c:v>26.578764727799523</c:v>
                </c:pt>
                <c:pt idx="3">
                  <c:v>26.911307025844376</c:v>
                </c:pt>
                <c:pt idx="4">
                  <c:v>28.111589337230718</c:v>
                </c:pt>
                <c:pt idx="5">
                  <c:v>29.277268001984922</c:v>
                </c:pt>
                <c:pt idx="6">
                  <c:v>27.84457886154026</c:v>
                </c:pt>
                <c:pt idx="7">
                  <c:v>23.986195872849844</c:v>
                </c:pt>
                <c:pt idx="8">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15.698634470069196</c:v>
                </c:pt>
                <c:pt idx="1">
                  <c:v>16.60012737178209</c:v>
                </c:pt>
                <c:pt idx="2">
                  <c:v>17.298814732088275</c:v>
                </c:pt>
                <c:pt idx="3">
                  <c:v>18.226385675800731</c:v>
                </c:pt>
                <c:pt idx="4">
                  <c:v>19.201285369797056</c:v>
                </c:pt>
                <c:pt idx="5">
                  <c:v>18.406399362296234</c:v>
                </c:pt>
                <c:pt idx="6">
                  <c:v>21.41729290657965</c:v>
                </c:pt>
                <c:pt idx="7">
                  <c:v>24.674136706158219</c:v>
                </c:pt>
                <c:pt idx="8">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10.46240762855223</c:v>
                </c:pt>
                <c:pt idx="1">
                  <c:v>11.789370867355018</c:v>
                </c:pt>
                <c:pt idx="2">
                  <c:v>12.644368581760297</c:v>
                </c:pt>
                <c:pt idx="3">
                  <c:v>13.227142220174334</c:v>
                </c:pt>
                <c:pt idx="4">
                  <c:v>11.995815292972233</c:v>
                </c:pt>
                <c:pt idx="5">
                  <c:v>12.307913084923102</c:v>
                </c:pt>
                <c:pt idx="6">
                  <c:v>16.694218231880097</c:v>
                </c:pt>
                <c:pt idx="7">
                  <c:v>22.714973420991928</c:v>
                </c:pt>
                <c:pt idx="8">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131.87086488719498</c:v>
                </c:pt>
                <c:pt idx="2">
                  <c:v>137.95698930115148</c:v>
                </c:pt>
                <c:pt idx="3">
                  <c:v>132.08294064669849</c:v>
                </c:pt>
                <c:pt idx="4">
                  <c:v>132.88898445422311</c:v>
                </c:pt>
                <c:pt idx="5">
                  <c:v>170.00967027276161</c:v>
                </c:pt>
                <c:pt idx="6">
                  <c:v>225.14832408263294</c:v>
                </c:pt>
                <c:pt idx="7">
                  <c:v>284.76958855278491</c:v>
                </c:pt>
                <c:pt idx="9">
                  <c:v>124.74168661290844</c:v>
                </c:pt>
                <c:pt idx="10">
                  <c:v>131.87086488719498</c:v>
                </c:pt>
                <c:pt idx="11">
                  <c:v>137.95698930115148</c:v>
                </c:pt>
                <c:pt idx="12">
                  <c:v>132.08294064669849</c:v>
                </c:pt>
                <c:pt idx="13">
                  <c:v>132.88898445422311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15.141606794497473</c:v>
                </c:pt>
                <c:pt idx="2">
                  <c:v>15.840424557294059</c:v>
                </c:pt>
                <c:pt idx="3">
                  <c:v>15.165957645337752</c:v>
                </c:pt>
                <c:pt idx="4">
                  <c:v>15.258508781656737</c:v>
                </c:pt>
                <c:pt idx="5">
                  <c:v>19.520760561738651</c:v>
                </c:pt>
                <c:pt idx="6">
                  <c:v>25.851861945514145</c:v>
                </c:pt>
                <c:pt idx="7">
                  <c:v>32.697663282830199</c:v>
                </c:pt>
                <c:pt idx="9">
                  <c:v>14.323024052286286</c:v>
                </c:pt>
                <c:pt idx="10">
                  <c:v>15.141606794497473</c:v>
                </c:pt>
                <c:pt idx="11">
                  <c:v>15.840424557294059</c:v>
                </c:pt>
                <c:pt idx="12">
                  <c:v>15.165957645337752</c:v>
                </c:pt>
                <c:pt idx="13">
                  <c:v>15.258508781656737</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4.8825000892948616</c:v>
                </c:pt>
                <c:pt idx="1">
                  <c:v>5.1615424407809209</c:v>
                </c:pt>
                <c:pt idx="2">
                  <c:v>5.3997587404114826</c:v>
                </c:pt>
                <c:pt idx="3">
                  <c:v>5.169843273829029</c:v>
                </c:pt>
                <c:pt idx="4">
                  <c:v>5.2013925423139664</c:v>
                </c:pt>
                <c:pt idx="5">
                  <c:v>6.654329060529566</c:v>
                </c:pt>
                <c:pt idx="6">
                  <c:v>8.8125048032201931</c:v>
                </c:pt>
                <c:pt idx="7">
                  <c:v>11.146133897098952</c:v>
                </c:pt>
                <c:pt idx="9">
                  <c:v>4.8825000892948616</c:v>
                </c:pt>
                <c:pt idx="10">
                  <c:v>5.1615424407809209</c:v>
                </c:pt>
                <c:pt idx="11">
                  <c:v>5.3997587404114826</c:v>
                </c:pt>
                <c:pt idx="12">
                  <c:v>5.169843273829029</c:v>
                </c:pt>
                <c:pt idx="13">
                  <c:v>5.2013925423139664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20.379498709897536</c:v>
                </c:pt>
                <c:pt idx="2">
                  <c:v>20.853858870484746</c:v>
                </c:pt>
                <c:pt idx="3">
                  <c:v>21.570942866169869</c:v>
                </c:pt>
                <c:pt idx="4">
                  <c:v>21.390232987631908</c:v>
                </c:pt>
                <c:pt idx="5">
                  <c:v>21.725933098953536</c:v>
                </c:pt>
                <c:pt idx="6">
                  <c:v>20.353506480431257</c:v>
                </c:pt>
                <c:pt idx="7">
                  <c:v>18.271187540230414</c:v>
                </c:pt>
                <c:pt idx="9">
                  <c:v>27.514371206361059</c:v>
                </c:pt>
                <c:pt idx="10">
                  <c:v>20.379498709897536</c:v>
                </c:pt>
                <c:pt idx="11">
                  <c:v>20.853858870484746</c:v>
                </c:pt>
                <c:pt idx="12">
                  <c:v>21.570942866169869</c:v>
                </c:pt>
                <c:pt idx="13">
                  <c:v>21.390232987631908</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107.81856412060657</c:v>
                </c:pt>
                <c:pt idx="2">
                  <c:v>110.32818578101053</c:v>
                </c:pt>
                <c:pt idx="3">
                  <c:v>114.12194773115547</c:v>
                </c:pt>
                <c:pt idx="4">
                  <c:v>113.16589479267422</c:v>
                </c:pt>
                <c:pt idx="5">
                  <c:v>114.94192984108523</c:v>
                </c:pt>
                <c:pt idx="6">
                  <c:v>107.68105117687617</c:v>
                </c:pt>
                <c:pt idx="7">
                  <c:v>96.664458405408197</c:v>
                </c:pt>
                <c:pt idx="9">
                  <c:v>95.37878219517394</c:v>
                </c:pt>
                <c:pt idx="10">
                  <c:v>107.81856412060657</c:v>
                </c:pt>
                <c:pt idx="11">
                  <c:v>110.32818578101053</c:v>
                </c:pt>
                <c:pt idx="12">
                  <c:v>114.12194773115547</c:v>
                </c:pt>
                <c:pt idx="13">
                  <c:v>113.16589479267422</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9.5012527769116826</c:v>
                </c:pt>
                <c:pt idx="2">
                  <c:v>9.7224071761043689</c:v>
                </c:pt>
                <c:pt idx="3">
                  <c:v>10.056723363281892</c:v>
                </c:pt>
                <c:pt idx="4">
                  <c:v>9.9724734874770302</c:v>
                </c:pt>
                <c:pt idx="5">
                  <c:v>10.128982323160761</c:v>
                </c:pt>
                <c:pt idx="6">
                  <c:v>9.4891347780388884</c:v>
                </c:pt>
                <c:pt idx="7">
                  <c:v>8.5183239207830912</c:v>
                </c:pt>
                <c:pt idx="9">
                  <c:v>12.045661044795077</c:v>
                </c:pt>
                <c:pt idx="10">
                  <c:v>9.5012527769116826</c:v>
                </c:pt>
                <c:pt idx="11">
                  <c:v>9.7224071761043689</c:v>
                </c:pt>
                <c:pt idx="12">
                  <c:v>10.056723363281892</c:v>
                </c:pt>
                <c:pt idx="13">
                  <c:v>9.9724734874770302</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89.101204723506044</c:v>
                </c:pt>
                <c:pt idx="1">
                  <c:v>94.193474919425029</c:v>
                </c:pt>
                <c:pt idx="2">
                  <c:v>98.540706643679641</c:v>
                </c:pt>
                <c:pt idx="3">
                  <c:v>94.344957604784639</c:v>
                </c:pt>
                <c:pt idx="4">
                  <c:v>94.920703181587982</c:v>
                </c:pt>
                <c:pt idx="5">
                  <c:v>121.43547876625833</c:v>
                </c:pt>
                <c:pt idx="6">
                  <c:v>160.82023148759495</c:v>
                </c:pt>
                <c:pt idx="7">
                  <c:v>203.40684896627499</c:v>
                </c:pt>
                <c:pt idx="9">
                  <c:v>89.101204723506044</c:v>
                </c:pt>
                <c:pt idx="10">
                  <c:v>94.193474919425029</c:v>
                </c:pt>
                <c:pt idx="11">
                  <c:v>98.540706643679641</c:v>
                </c:pt>
                <c:pt idx="12">
                  <c:v>94.344957604784639</c:v>
                </c:pt>
                <c:pt idx="13">
                  <c:v>94.920703181587982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10.230731465918778</c:v>
                </c:pt>
                <c:pt idx="1">
                  <c:v>10.815433424641057</c:v>
                </c:pt>
                <c:pt idx="2">
                  <c:v>11.314588969495759</c:v>
                </c:pt>
                <c:pt idx="3">
                  <c:v>10.832826889526965</c:v>
                </c:pt>
                <c:pt idx="4">
                  <c:v>10.89893484404053</c:v>
                </c:pt>
                <c:pt idx="5">
                  <c:v>13.943400401241899</c:v>
                </c:pt>
                <c:pt idx="6">
                  <c:v>18.46561567536725</c:v>
                </c:pt>
                <c:pt idx="7">
                  <c:v>23.355473773450147</c:v>
                </c:pt>
                <c:pt idx="9">
                  <c:v>10.230731465918778</c:v>
                </c:pt>
                <c:pt idx="10">
                  <c:v>10.815433424641057</c:v>
                </c:pt>
                <c:pt idx="11">
                  <c:v>11.314588969495759</c:v>
                </c:pt>
                <c:pt idx="12">
                  <c:v>10.832826889526965</c:v>
                </c:pt>
                <c:pt idx="13">
                  <c:v>10.89893484404053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3.4875000637820444</c:v>
                </c:pt>
                <c:pt idx="1">
                  <c:v>3.6868160291292309</c:v>
                </c:pt>
                <c:pt idx="2">
                  <c:v>3.8569705288653453</c:v>
                </c:pt>
                <c:pt idx="3">
                  <c:v>3.6927451955921633</c:v>
                </c:pt>
                <c:pt idx="4">
                  <c:v>3.7152803873671201</c:v>
                </c:pt>
                <c:pt idx="5">
                  <c:v>4.753092186092549</c:v>
                </c:pt>
                <c:pt idx="6">
                  <c:v>6.2946462880144241</c:v>
                </c:pt>
                <c:pt idx="7">
                  <c:v>7.961524212213539</c:v>
                </c:pt>
                <c:pt idx="9">
                  <c:v>3.4875000637820444</c:v>
                </c:pt>
                <c:pt idx="10">
                  <c:v>3.6868160291292309</c:v>
                </c:pt>
                <c:pt idx="11">
                  <c:v>3.8569705288653453</c:v>
                </c:pt>
                <c:pt idx="12">
                  <c:v>3.6927451955921633</c:v>
                </c:pt>
                <c:pt idx="13">
                  <c:v>3.7152803873671201</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1.1005748482544424</c:v>
                </c:pt>
                <c:pt idx="1">
                  <c:v>0.81517994839590147</c:v>
                </c:pt>
                <c:pt idx="2">
                  <c:v>0.83415435481938982</c:v>
                </c:pt>
                <c:pt idx="3">
                  <c:v>0.86283771464679471</c:v>
                </c:pt>
                <c:pt idx="4">
                  <c:v>0.8556093195052763</c:v>
                </c:pt>
                <c:pt idx="5">
                  <c:v>0.86903732395814148</c:v>
                </c:pt>
                <c:pt idx="6">
                  <c:v>0.81414025921725031</c:v>
                </c:pt>
                <c:pt idx="7">
                  <c:v>0.73084750160921663</c:v>
                </c:pt>
                <c:pt idx="9">
                  <c:v>1.1005748482544424</c:v>
                </c:pt>
                <c:pt idx="10">
                  <c:v>0.81517994839590147</c:v>
                </c:pt>
                <c:pt idx="11">
                  <c:v>0.83415435481938982</c:v>
                </c:pt>
                <c:pt idx="12">
                  <c:v>0.86283771464679471</c:v>
                </c:pt>
                <c:pt idx="13">
                  <c:v>0.8556093195052763</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6.8127701567981385</c:v>
                </c:pt>
                <c:pt idx="1">
                  <c:v>7.701326008614755</c:v>
                </c:pt>
                <c:pt idx="2">
                  <c:v>7.8805846986436094</c:v>
                </c:pt>
                <c:pt idx="3">
                  <c:v>8.1515676950825338</c:v>
                </c:pt>
                <c:pt idx="4">
                  <c:v>8.0832781994767302</c:v>
                </c:pt>
                <c:pt idx="5">
                  <c:v>8.2101378457918024</c:v>
                </c:pt>
                <c:pt idx="6">
                  <c:v>7.6915036554911547</c:v>
                </c:pt>
                <c:pt idx="7">
                  <c:v>6.9046041718148716</c:v>
                </c:pt>
                <c:pt idx="9">
                  <c:v>6.8127701567981385</c:v>
                </c:pt>
                <c:pt idx="10">
                  <c:v>7.701326008614755</c:v>
                </c:pt>
                <c:pt idx="11">
                  <c:v>7.8805846986436094</c:v>
                </c:pt>
                <c:pt idx="12">
                  <c:v>8.1515676950825338</c:v>
                </c:pt>
                <c:pt idx="13">
                  <c:v>8.0832781994767302</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3.1269715527094177E-2</c:v>
                </c:pt>
                <c:pt idx="1">
                  <c:v>6.2919830609995675E-2</c:v>
                </c:pt>
                <c:pt idx="2">
                  <c:v>0.10155968711451488</c:v>
                </c:pt>
                <c:pt idx="3">
                  <c:v>0.10425069329756113</c:v>
                </c:pt>
                <c:pt idx="4">
                  <c:v>0.29374525410217339</c:v>
                </c:pt>
                <c:pt idx="5">
                  <c:v>0.56778336073069768</c:v>
                </c:pt>
                <c:pt idx="6">
                  <c:v>1.0794151821685656</c:v>
                </c:pt>
                <c:pt idx="7">
                  <c:v>1.5545745187505957</c:v>
                </c:pt>
                <c:pt idx="9">
                  <c:v>3.1269715527094177E-2</c:v>
                </c:pt>
                <c:pt idx="10">
                  <c:v>6.2919830609995675E-2</c:v>
                </c:pt>
                <c:pt idx="11">
                  <c:v>0.10155968711451488</c:v>
                </c:pt>
                <c:pt idx="12">
                  <c:v>0.10425069329756113</c:v>
                </c:pt>
                <c:pt idx="13">
                  <c:v>0.29374525410217339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131.87086488719498</c:v>
                </c:pt>
                <c:pt idx="2">
                  <c:v>137.95698930115148</c:v>
                </c:pt>
                <c:pt idx="3">
                  <c:v>132.08294064669849</c:v>
                </c:pt>
                <c:pt idx="4">
                  <c:v>132.88898445422311</c:v>
                </c:pt>
                <c:pt idx="5">
                  <c:v>170.00967027276161</c:v>
                </c:pt>
                <c:pt idx="6">
                  <c:v>225.14832408263294</c:v>
                </c:pt>
                <c:pt idx="7">
                  <c:v>284.76958855278491</c:v>
                </c:pt>
                <c:pt idx="9">
                  <c:v>124.74168661290844</c:v>
                </c:pt>
                <c:pt idx="10">
                  <c:v>131.87086488719498</c:v>
                </c:pt>
                <c:pt idx="11">
                  <c:v>137.95698930115148</c:v>
                </c:pt>
                <c:pt idx="12">
                  <c:v>132.08294064669849</c:v>
                </c:pt>
                <c:pt idx="13">
                  <c:v>132.88898445422311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15.141606794497473</c:v>
                </c:pt>
                <c:pt idx="2">
                  <c:v>15.840424557294059</c:v>
                </c:pt>
                <c:pt idx="3">
                  <c:v>15.165957645337752</c:v>
                </c:pt>
                <c:pt idx="4">
                  <c:v>15.258508781656737</c:v>
                </c:pt>
                <c:pt idx="5">
                  <c:v>19.520760561738651</c:v>
                </c:pt>
                <c:pt idx="6">
                  <c:v>25.851861945514145</c:v>
                </c:pt>
                <c:pt idx="7">
                  <c:v>32.697663282830199</c:v>
                </c:pt>
                <c:pt idx="9">
                  <c:v>14.323024052286286</c:v>
                </c:pt>
                <c:pt idx="10">
                  <c:v>15.141606794497473</c:v>
                </c:pt>
                <c:pt idx="11">
                  <c:v>15.840424557294059</c:v>
                </c:pt>
                <c:pt idx="12">
                  <c:v>15.165957645337752</c:v>
                </c:pt>
                <c:pt idx="13">
                  <c:v>15.258508781656737</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4.8825000892948616</c:v>
                </c:pt>
                <c:pt idx="1">
                  <c:v>5.1615424407809209</c:v>
                </c:pt>
                <c:pt idx="2">
                  <c:v>5.3997587404114826</c:v>
                </c:pt>
                <c:pt idx="3">
                  <c:v>5.169843273829029</c:v>
                </c:pt>
                <c:pt idx="4">
                  <c:v>5.2013925423139664</c:v>
                </c:pt>
                <c:pt idx="5">
                  <c:v>6.654329060529566</c:v>
                </c:pt>
                <c:pt idx="6">
                  <c:v>8.8125048032201931</c:v>
                </c:pt>
                <c:pt idx="7">
                  <c:v>11.146133897098952</c:v>
                </c:pt>
                <c:pt idx="9">
                  <c:v>4.8825000892948616</c:v>
                </c:pt>
                <c:pt idx="10">
                  <c:v>5.1615424407809209</c:v>
                </c:pt>
                <c:pt idx="11">
                  <c:v>5.3997587404114826</c:v>
                </c:pt>
                <c:pt idx="12">
                  <c:v>5.169843273829029</c:v>
                </c:pt>
                <c:pt idx="13">
                  <c:v>5.2013925423139664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20.379498709897536</c:v>
                </c:pt>
                <c:pt idx="2">
                  <c:v>20.853858870484746</c:v>
                </c:pt>
                <c:pt idx="3">
                  <c:v>21.570942866169869</c:v>
                </c:pt>
                <c:pt idx="4">
                  <c:v>21.390232987631908</c:v>
                </c:pt>
                <c:pt idx="5">
                  <c:v>21.725933098953536</c:v>
                </c:pt>
                <c:pt idx="6">
                  <c:v>20.353506480431257</c:v>
                </c:pt>
                <c:pt idx="7">
                  <c:v>18.271187540230414</c:v>
                </c:pt>
                <c:pt idx="9">
                  <c:v>27.514371206361059</c:v>
                </c:pt>
                <c:pt idx="10">
                  <c:v>20.379498709897536</c:v>
                </c:pt>
                <c:pt idx="11">
                  <c:v>20.853858870484746</c:v>
                </c:pt>
                <c:pt idx="12">
                  <c:v>21.570942866169869</c:v>
                </c:pt>
                <c:pt idx="13">
                  <c:v>21.390232987631908</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107.81856412060657</c:v>
                </c:pt>
                <c:pt idx="2">
                  <c:v>110.32818578101053</c:v>
                </c:pt>
                <c:pt idx="3">
                  <c:v>114.12194773115547</c:v>
                </c:pt>
                <c:pt idx="4">
                  <c:v>113.16589479267422</c:v>
                </c:pt>
                <c:pt idx="5">
                  <c:v>114.94192984108523</c:v>
                </c:pt>
                <c:pt idx="6">
                  <c:v>107.68105117687617</c:v>
                </c:pt>
                <c:pt idx="7">
                  <c:v>96.664458405408197</c:v>
                </c:pt>
                <c:pt idx="9">
                  <c:v>95.37878219517394</c:v>
                </c:pt>
                <c:pt idx="10">
                  <c:v>107.81856412060657</c:v>
                </c:pt>
                <c:pt idx="11">
                  <c:v>110.32818578101053</c:v>
                </c:pt>
                <c:pt idx="12">
                  <c:v>114.12194773115547</c:v>
                </c:pt>
                <c:pt idx="13">
                  <c:v>113.16589479267422</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9.5012527769116826</c:v>
                </c:pt>
                <c:pt idx="2">
                  <c:v>9.7224071761043689</c:v>
                </c:pt>
                <c:pt idx="3">
                  <c:v>10.056723363281892</c:v>
                </c:pt>
                <c:pt idx="4">
                  <c:v>9.9724734874770302</c:v>
                </c:pt>
                <c:pt idx="5">
                  <c:v>10.128982323160761</c:v>
                </c:pt>
                <c:pt idx="6">
                  <c:v>9.4891347780388884</c:v>
                </c:pt>
                <c:pt idx="7">
                  <c:v>8.5183239207830912</c:v>
                </c:pt>
                <c:pt idx="9">
                  <c:v>12.045661044795077</c:v>
                </c:pt>
                <c:pt idx="10">
                  <c:v>9.5012527769116826</c:v>
                </c:pt>
                <c:pt idx="11">
                  <c:v>9.7224071761043689</c:v>
                </c:pt>
                <c:pt idx="12">
                  <c:v>10.056723363281892</c:v>
                </c:pt>
                <c:pt idx="13">
                  <c:v>9.9724734874770302</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0.40790316676191524</c:v>
                </c:pt>
                <c:pt idx="4">
                  <c:v>0.41325154744498233</c:v>
                </c:pt>
                <c:pt idx="5">
                  <c:v>0.42080265545477441</c:v>
                </c:pt>
                <c:pt idx="6">
                  <c:v>0.4455787384984683</c:v>
                </c:pt>
                <c:pt idx="7">
                  <c:v>0.4757137128656545</c:v>
                </c:pt>
                <c:pt idx="9" formatCode="0%">
                  <c:v>0.41283463855351005</c:v>
                </c:pt>
                <c:pt idx="10" formatCode="0%">
                  <c:v>0.41283463855351005</c:v>
                </c:pt>
                <c:pt idx="11" formatCode="0%">
                  <c:v>0.41283463855351005</c:v>
                </c:pt>
                <c:pt idx="12" formatCode="0%">
                  <c:v>0.40790316676191524</c:v>
                </c:pt>
                <c:pt idx="13" formatCode="0%">
                  <c:v>0.41325154744498233</c:v>
                </c:pt>
                <c:pt idx="14" formatCode="0%">
                  <c:v>0.39770558759286734</c:v>
                </c:pt>
                <c:pt idx="15" formatCode="0%">
                  <c:v>0.38776294790304566</c:v>
                </c:pt>
                <c:pt idx="16"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8.0274119837508469</c:v>
                </c:pt>
                <c:pt idx="1">
                  <c:v>8.0274119837508469</c:v>
                </c:pt>
                <c:pt idx="2" formatCode="General">
                  <c:v>8.0274119837508469</c:v>
                </c:pt>
                <c:pt idx="3">
                  <c:v>8.0274119837508469</c:v>
                </c:pt>
                <c:pt idx="4">
                  <c:v>8.0274119837508469</c:v>
                </c:pt>
                <c:pt idx="5">
                  <c:v>8.0274119837508469</c:v>
                </c:pt>
                <c:pt idx="6">
                  <c:v>8.0274119837508469</c:v>
                </c:pt>
                <c:pt idx="7">
                  <c:v>8.0274119837508469</c:v>
                </c:pt>
                <c:pt idx="9">
                  <c:v>8.0274119837508469</c:v>
                </c:pt>
                <c:pt idx="10">
                  <c:v>8.0274119837508469</c:v>
                </c:pt>
                <c:pt idx="11">
                  <c:v>8.0274119837508469</c:v>
                </c:pt>
                <c:pt idx="12">
                  <c:v>8.0274119837508469</c:v>
                </c:pt>
                <c:pt idx="13">
                  <c:v>8.0274119837508469</c:v>
                </c:pt>
                <c:pt idx="14">
                  <c:v>7.6260413845633037</c:v>
                </c:pt>
                <c:pt idx="15">
                  <c:v>7.2447393153351385</c:v>
                </c:pt>
                <c:pt idx="16">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13.418073439870216</c:v>
                </c:pt>
                <c:pt idx="1">
                  <c:v>13.418073439870216</c:v>
                </c:pt>
                <c:pt idx="2" formatCode="General">
                  <c:v>13.418073439870216</c:v>
                </c:pt>
                <c:pt idx="3">
                  <c:v>13.418073439870216</c:v>
                </c:pt>
                <c:pt idx="4">
                  <c:v>13.418073439870216</c:v>
                </c:pt>
                <c:pt idx="5">
                  <c:v>13.418073439870216</c:v>
                </c:pt>
                <c:pt idx="6">
                  <c:v>13.418073439870216</c:v>
                </c:pt>
                <c:pt idx="7">
                  <c:v>13.418073439870216</c:v>
                </c:pt>
                <c:pt idx="9">
                  <c:v>13.418073439870216</c:v>
                </c:pt>
                <c:pt idx="10">
                  <c:v>13.418073439870216</c:v>
                </c:pt>
                <c:pt idx="11">
                  <c:v>13.418073439870216</c:v>
                </c:pt>
                <c:pt idx="12">
                  <c:v>13.418073439870216</c:v>
                </c:pt>
                <c:pt idx="13">
                  <c:v>13.418073439870216</c:v>
                </c:pt>
                <c:pt idx="14">
                  <c:v>12.747169767876706</c:v>
                </c:pt>
                <c:pt idx="15">
                  <c:v>12.109811279482869</c:v>
                </c:pt>
                <c:pt idx="16">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15.663966300310799</c:v>
                </c:pt>
                <c:pt idx="1">
                  <c:v>15.663966300310799</c:v>
                </c:pt>
                <c:pt idx="2" formatCode="General">
                  <c:v>15.663966300310799</c:v>
                </c:pt>
                <c:pt idx="3">
                  <c:v>15.663966300310799</c:v>
                </c:pt>
                <c:pt idx="4">
                  <c:v>15.663966300310799</c:v>
                </c:pt>
                <c:pt idx="5">
                  <c:v>15.663966300310799</c:v>
                </c:pt>
                <c:pt idx="6">
                  <c:v>15.663966300310799</c:v>
                </c:pt>
                <c:pt idx="7">
                  <c:v>15.663966300310799</c:v>
                </c:pt>
                <c:pt idx="9">
                  <c:v>15.663966300310799</c:v>
                </c:pt>
                <c:pt idx="10">
                  <c:v>15.663966300310799</c:v>
                </c:pt>
                <c:pt idx="11">
                  <c:v>15.663966300310799</c:v>
                </c:pt>
                <c:pt idx="12">
                  <c:v>15.663966300310799</c:v>
                </c:pt>
                <c:pt idx="13">
                  <c:v>15.663966300310799</c:v>
                </c:pt>
                <c:pt idx="14">
                  <c:v>15.272367142803029</c:v>
                </c:pt>
                <c:pt idx="15">
                  <c:v>14.890557964232952</c:v>
                </c:pt>
                <c:pt idx="16">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c:v>1</c:v>
                </c:pt>
                <c:pt idx="1">
                  <c:v>0.97610921501706494</c:v>
                </c:pt>
                <c:pt idx="2">
                  <c:v>0.97610921501706494</c:v>
                </c:pt>
                <c:pt idx="3">
                  <c:v>0.95221843003412987</c:v>
                </c:pt>
                <c:pt idx="4">
                  <c:v>1.0273037542662118</c:v>
                </c:pt>
                <c:pt idx="5">
                  <c:v>1.1023890784982937</c:v>
                </c:pt>
                <c:pt idx="6">
                  <c:v>1.3620156089042583</c:v>
                </c:pt>
                <c:pt idx="7">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7.0871562613617858</c:v>
                      </c:pt>
                      <c:pt idx="1">
                        <c:v>7.4801228657068002</c:v>
                      </c:pt>
                      <c:pt idx="2">
                        <c:v>7.82370468440077</c:v>
                      </c:pt>
                      <c:pt idx="3">
                        <c:v>7.5383434239180964</c:v>
                      </c:pt>
                      <c:pt idx="4">
                        <c:v>7.5653404514608189</c:v>
                      </c:pt>
                      <c:pt idx="5">
                        <c:v>9.593217805191923</c:v>
                      </c:pt>
                      <c:pt idx="6">
                        <c:v>12.574004165420568</c:v>
                      </c:pt>
                      <c:pt idx="7">
                        <c:v>15.778919097044399</c:v>
                      </c:pt>
                      <c:pt idx="9">
                        <c:v>7.0871562613617858</c:v>
                      </c:pt>
                      <c:pt idx="10">
                        <c:v>7.4801228657068002</c:v>
                      </c:pt>
                      <c:pt idx="11">
                        <c:v>7.82370468440077</c:v>
                      </c:pt>
                      <c:pt idx="12">
                        <c:v>7.5383434239180964</c:v>
                      </c:pt>
                      <c:pt idx="13">
                        <c:v>7.5653404514608189</c:v>
                      </c:pt>
                      <c:pt idx="14">
                        <c:v>9.0149227346886747</c:v>
                      </c:pt>
                      <c:pt idx="15">
                        <c:v>10.728033128523979</c:v>
                      </c:pt>
                      <c:pt idx="16">
                        <c:v>12.008828459068814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129.44461451795985</c:v>
                </c:pt>
                <c:pt idx="1">
                  <c:v>132.34014617109597</c:v>
                </c:pt>
                <c:pt idx="2">
                  <c:v>134.04826202079965</c:v>
                </c:pt>
                <c:pt idx="3">
                  <c:v>127.10352266958004</c:v>
                </c:pt>
                <c:pt idx="4">
                  <c:v>126.10670355428464</c:v>
                </c:pt>
                <c:pt idx="5">
                  <c:v>145.44855228974188</c:v>
                </c:pt>
                <c:pt idx="6">
                  <c:v>176.16742918651121</c:v>
                </c:pt>
                <c:pt idx="7">
                  <c:v>208.94274359535567</c:v>
                </c:pt>
                <c:pt idx="9">
                  <c:v>129.44461451795985</c:v>
                </c:pt>
                <c:pt idx="10">
                  <c:v>132.34014617109597</c:v>
                </c:pt>
                <c:pt idx="11">
                  <c:v>134.04826202079965</c:v>
                </c:pt>
                <c:pt idx="12">
                  <c:v>127.10352266958004</c:v>
                </c:pt>
                <c:pt idx="13">
                  <c:v>126.10670355428464</c:v>
                </c:pt>
                <c:pt idx="14">
                  <c:v>136.68067246995199</c:v>
                </c:pt>
                <c:pt idx="15">
                  <c:v>150.30454830588019</c:v>
                </c:pt>
                <c:pt idx="16">
                  <c:v>159.01961028964422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0.25414691943127965</c:v>
                </c:pt>
                <c:pt idx="1">
                  <c:v>0.25414691943127965</c:v>
                </c:pt>
                <c:pt idx="2">
                  <c:v>0.25414691943127965</c:v>
                </c:pt>
                <c:pt idx="3" formatCode="0.00">
                  <c:v>0.25414691943127965</c:v>
                </c:pt>
                <c:pt idx="4" formatCode="0.00">
                  <c:v>0.25414691943127965</c:v>
                </c:pt>
                <c:pt idx="5">
                  <c:v>0.25414691943127965</c:v>
                </c:pt>
                <c:pt idx="6">
                  <c:v>0.25414691943127965</c:v>
                </c:pt>
                <c:pt idx="7">
                  <c:v>0.25414691943127965</c:v>
                </c:pt>
                <c:pt idx="9">
                  <c:v>0.25414691943127965</c:v>
                </c:pt>
                <c:pt idx="10">
                  <c:v>0.25414691943127965</c:v>
                </c:pt>
                <c:pt idx="11">
                  <c:v>0.25414691943127965</c:v>
                </c:pt>
                <c:pt idx="12">
                  <c:v>0.25414691943127965</c:v>
                </c:pt>
                <c:pt idx="13">
                  <c:v>0.25414691943127965</c:v>
                </c:pt>
                <c:pt idx="14">
                  <c:v>0.22936759478672983</c:v>
                </c:pt>
                <c:pt idx="15">
                  <c:v>0.20700425429502367</c:v>
                </c:pt>
                <c:pt idx="16">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0.74085308056872035</c:v>
                </c:pt>
                <c:pt idx="1">
                  <c:v>0.74085308056872035</c:v>
                </c:pt>
                <c:pt idx="2">
                  <c:v>0.73585308056872034</c:v>
                </c:pt>
                <c:pt idx="3">
                  <c:v>0.73585308056872034</c:v>
                </c:pt>
                <c:pt idx="4">
                  <c:v>0.71335308056872027</c:v>
                </c:pt>
                <c:pt idx="5">
                  <c:v>0.6908530805687203</c:v>
                </c:pt>
                <c:pt idx="6">
                  <c:v>0.64085308056872037</c:v>
                </c:pt>
                <c:pt idx="7">
                  <c:v>0.59085308056872032</c:v>
                </c:pt>
                <c:pt idx="9" formatCode="0%">
                  <c:v>0.74085308056872035</c:v>
                </c:pt>
                <c:pt idx="10" formatCode="0%">
                  <c:v>0.74085308056872035</c:v>
                </c:pt>
                <c:pt idx="11" formatCode="0%">
                  <c:v>0.73585308056872034</c:v>
                </c:pt>
                <c:pt idx="12" formatCode="0%">
                  <c:v>0.73585308056872034</c:v>
                </c:pt>
                <c:pt idx="13" formatCode="0%">
                  <c:v>0.71335308056872027</c:v>
                </c:pt>
                <c:pt idx="14">
                  <c:v>0.70063240521327019</c:v>
                </c:pt>
                <c:pt idx="15">
                  <c:v>0.64299574570497631</c:v>
                </c:pt>
                <c:pt idx="16">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0.53206565737051803</c:v>
                </c:pt>
                <c:pt idx="1">
                  <c:v>0.53206565737051803</c:v>
                </c:pt>
                <c:pt idx="2">
                  <c:v>0.53206565737051803</c:v>
                </c:pt>
                <c:pt idx="3" formatCode="0.00">
                  <c:v>0.53206565737051803</c:v>
                </c:pt>
                <c:pt idx="4" formatCode="0.00">
                  <c:v>0.53206565737051803</c:v>
                </c:pt>
                <c:pt idx="5">
                  <c:v>0.53206565737051803</c:v>
                </c:pt>
                <c:pt idx="6">
                  <c:v>0.53206565737051803</c:v>
                </c:pt>
                <c:pt idx="7">
                  <c:v>0.53206565737051803</c:v>
                </c:pt>
                <c:pt idx="9">
                  <c:v>0.53206565737051803</c:v>
                </c:pt>
                <c:pt idx="10">
                  <c:v>0.53206565737051803</c:v>
                </c:pt>
                <c:pt idx="11">
                  <c:v>0.53206565737051803</c:v>
                </c:pt>
                <c:pt idx="12">
                  <c:v>0.53206565737051803</c:v>
                </c:pt>
                <c:pt idx="13">
                  <c:v>0.53206565737051803</c:v>
                </c:pt>
                <c:pt idx="14">
                  <c:v>0.48018925577689242</c:v>
                </c:pt>
                <c:pt idx="15">
                  <c:v>0.45617979298804778</c:v>
                </c:pt>
                <c:pt idx="16">
                  <c:v>0.41170226317171299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0.45593434262948196</c:v>
                </c:pt>
                <c:pt idx="1">
                  <c:v>0.45593434262948196</c:v>
                </c:pt>
                <c:pt idx="2">
                  <c:v>0.45593434262948196</c:v>
                </c:pt>
                <c:pt idx="3">
                  <c:v>0.45593434262948196</c:v>
                </c:pt>
                <c:pt idx="4">
                  <c:v>0.43593434262948194</c:v>
                </c:pt>
                <c:pt idx="5">
                  <c:v>0.41593434262948192</c:v>
                </c:pt>
                <c:pt idx="6">
                  <c:v>0.36593434262948199</c:v>
                </c:pt>
                <c:pt idx="7">
                  <c:v>0.31593434262948195</c:v>
                </c:pt>
                <c:pt idx="9" formatCode="0%">
                  <c:v>0.45593434262948196</c:v>
                </c:pt>
                <c:pt idx="10" formatCode="0%">
                  <c:v>0.45593434262948196</c:v>
                </c:pt>
                <c:pt idx="11" formatCode="0%">
                  <c:v>0.45593434262948196</c:v>
                </c:pt>
                <c:pt idx="12" formatCode="0%">
                  <c:v>0.45593434262948196</c:v>
                </c:pt>
                <c:pt idx="13" formatCode="0%">
                  <c:v>0.43593434262948194</c:v>
                </c:pt>
                <c:pt idx="14">
                  <c:v>0.43981074422310762</c:v>
                </c:pt>
                <c:pt idx="15">
                  <c:v>0.37382020701195218</c:v>
                </c:pt>
                <c:pt idx="16">
                  <c:v>0.30829773682828698</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0.81893071119533589</c:v>
                </c:pt>
                <c:pt idx="1">
                  <c:v>0.81893071119533589</c:v>
                </c:pt>
                <c:pt idx="2">
                  <c:v>0.81893071119533589</c:v>
                </c:pt>
                <c:pt idx="3" formatCode="0.00">
                  <c:v>0.80914826242679105</c:v>
                </c:pt>
                <c:pt idx="4" formatCode="0.00">
                  <c:v>0.81975772390965984</c:v>
                </c:pt>
                <c:pt idx="5">
                  <c:v>0.83473668564222858</c:v>
                </c:pt>
                <c:pt idx="6">
                  <c:v>0.88388443976164699</c:v>
                </c:pt>
                <c:pt idx="7">
                  <c:v>0.94366250508300986</c:v>
                </c:pt>
                <c:pt idx="9">
                  <c:v>0.81893071119533589</c:v>
                </c:pt>
                <c:pt idx="10">
                  <c:v>0.81893071119533589</c:v>
                </c:pt>
                <c:pt idx="11">
                  <c:v>0.81893071119533589</c:v>
                </c:pt>
                <c:pt idx="12">
                  <c:v>0.80914826242679105</c:v>
                </c:pt>
                <c:pt idx="13">
                  <c:v>0.81975772390965984</c:v>
                </c:pt>
                <c:pt idx="14">
                  <c:v>0.76919656696946803</c:v>
                </c:pt>
                <c:pt idx="15">
                  <c:v>0.73121748647535068</c:v>
                </c:pt>
                <c:pt idx="16">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0.1710692888046641</c:v>
                </c:pt>
                <c:pt idx="1">
                  <c:v>0.1710692888046641</c:v>
                </c:pt>
                <c:pt idx="2">
                  <c:v>0.1710692888046641</c:v>
                </c:pt>
                <c:pt idx="3">
                  <c:v>0.18085173757320894</c:v>
                </c:pt>
                <c:pt idx="4">
                  <c:v>0.17024227609034015</c:v>
                </c:pt>
                <c:pt idx="5">
                  <c:v>0.13026331435777139</c:v>
                </c:pt>
                <c:pt idx="6">
                  <c:v>7.6115560238352975E-2</c:v>
                </c:pt>
                <c:pt idx="7">
                  <c:v>1.1337494916990098E-2</c:v>
                </c:pt>
                <c:pt idx="9" formatCode="0%">
                  <c:v>0.1710692888046641</c:v>
                </c:pt>
                <c:pt idx="10" formatCode="0%">
                  <c:v>0.1710692888046641</c:v>
                </c:pt>
                <c:pt idx="11" formatCode="0%">
                  <c:v>0.1710692888046641</c:v>
                </c:pt>
                <c:pt idx="12" formatCode="0%">
                  <c:v>0.18085173757320894</c:v>
                </c:pt>
                <c:pt idx="13" formatCode="0%">
                  <c:v>0.17024227609034015</c:v>
                </c:pt>
                <c:pt idx="14">
                  <c:v>0.19080343303053193</c:v>
                </c:pt>
                <c:pt idx="15">
                  <c:v>0.18878251352464925</c:v>
                </c:pt>
                <c:pt idx="16">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PTRA!$L$214:$AR$214</c:f>
              <c:numCache>
                <c:formatCode>0.00</c:formatCode>
                <c:ptCount val="33"/>
                <c:pt idx="0">
                  <c:v>81.484814157071753</c:v>
                </c:pt>
                <c:pt idx="1">
                  <c:v>84.02361101254985</c:v>
                </c:pt>
                <c:pt idx="2">
                  <c:v>86.562407868027947</c:v>
                </c:pt>
                <c:pt idx="3">
                  <c:v>89.101204723506044</c:v>
                </c:pt>
                <c:pt idx="4">
                  <c:v>91.647339821465536</c:v>
                </c:pt>
                <c:pt idx="5">
                  <c:v>94.193474919425029</c:v>
                </c:pt>
                <c:pt idx="6">
                  <c:v>96.367090781552335</c:v>
                </c:pt>
                <c:pt idx="7">
                  <c:v>98.540706643679641</c:v>
                </c:pt>
                <c:pt idx="8">
                  <c:v>94.344957604784639</c:v>
                </c:pt>
                <c:pt idx="9">
                  <c:v>94.920703181587982</c:v>
                </c:pt>
                <c:pt idx="10">
                  <c:v>97.866789357662469</c:v>
                </c:pt>
                <c:pt idx="11">
                  <c:v>100.81287553373696</c:v>
                </c:pt>
                <c:pt idx="12">
                  <c:v>103.75896170981144</c:v>
                </c:pt>
                <c:pt idx="13">
                  <c:v>106.70504788588593</c:v>
                </c:pt>
                <c:pt idx="14">
                  <c:v>109.65113406196042</c:v>
                </c:pt>
                <c:pt idx="15">
                  <c:v>112.59722023803491</c:v>
                </c:pt>
                <c:pt idx="16">
                  <c:v>115.5433064141094</c:v>
                </c:pt>
                <c:pt idx="17">
                  <c:v>118.48939259018388</c:v>
                </c:pt>
                <c:pt idx="18">
                  <c:v>121.43547876625833</c:v>
                </c:pt>
                <c:pt idx="19">
                  <c:v>125.37395403839199</c:v>
                </c:pt>
                <c:pt idx="20">
                  <c:v>129.31242931052566</c:v>
                </c:pt>
                <c:pt idx="21">
                  <c:v>133.25090458265933</c:v>
                </c:pt>
                <c:pt idx="22">
                  <c:v>137.189379854793</c:v>
                </c:pt>
                <c:pt idx="23">
                  <c:v>141.12785512692668</c:v>
                </c:pt>
                <c:pt idx="24">
                  <c:v>145.06633039906035</c:v>
                </c:pt>
                <c:pt idx="25">
                  <c:v>149.00480567119402</c:v>
                </c:pt>
                <c:pt idx="26">
                  <c:v>152.94328094332769</c:v>
                </c:pt>
                <c:pt idx="27">
                  <c:v>156.88175621546137</c:v>
                </c:pt>
                <c:pt idx="28">
                  <c:v>160.82023148759495</c:v>
                </c:pt>
                <c:pt idx="29">
                  <c:v>182.11354022693496</c:v>
                </c:pt>
                <c:pt idx="30">
                  <c:v>203.40684896627499</c:v>
                </c:pt>
                <c:pt idx="31">
                  <c:v>203.40684896627499</c:v>
                </c:pt>
                <c:pt idx="32">
                  <c:v>203.40684896627499</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PTRA!$L$215:$AR$215</c:f>
              <c:numCache>
                <c:formatCode>0.00</c:formatCode>
                <c:ptCount val="33"/>
                <c:pt idx="0">
                  <c:v>9.3562062912418789</c:v>
                </c:pt>
                <c:pt idx="1">
                  <c:v>9.6477146828008458</c:v>
                </c:pt>
                <c:pt idx="2">
                  <c:v>9.9392230743598127</c:v>
                </c:pt>
                <c:pt idx="3">
                  <c:v>10.230731465918778</c:v>
                </c:pt>
                <c:pt idx="4">
                  <c:v>10.523082445279918</c:v>
                </c:pt>
                <c:pt idx="5">
                  <c:v>10.815433424641057</c:v>
                </c:pt>
                <c:pt idx="6">
                  <c:v>11.065011197068408</c:v>
                </c:pt>
                <c:pt idx="7">
                  <c:v>11.314588969495759</c:v>
                </c:pt>
                <c:pt idx="8">
                  <c:v>10.832826889526965</c:v>
                </c:pt>
                <c:pt idx="9">
                  <c:v>10.89893484404053</c:v>
                </c:pt>
                <c:pt idx="10">
                  <c:v>11.237208794840683</c:v>
                </c:pt>
                <c:pt idx="11">
                  <c:v>11.575482745640835</c:v>
                </c:pt>
                <c:pt idx="12">
                  <c:v>11.913756696440988</c:v>
                </c:pt>
                <c:pt idx="13">
                  <c:v>12.25203064724114</c:v>
                </c:pt>
                <c:pt idx="14">
                  <c:v>12.590304598041293</c:v>
                </c:pt>
                <c:pt idx="15">
                  <c:v>12.928578548841445</c:v>
                </c:pt>
                <c:pt idx="16">
                  <c:v>13.266852499641598</c:v>
                </c:pt>
                <c:pt idx="17">
                  <c:v>13.60512645044175</c:v>
                </c:pt>
                <c:pt idx="18">
                  <c:v>13.943400401241899</c:v>
                </c:pt>
                <c:pt idx="19">
                  <c:v>14.395621928654434</c:v>
                </c:pt>
                <c:pt idx="20">
                  <c:v>14.847843456066968</c:v>
                </c:pt>
                <c:pt idx="21">
                  <c:v>15.300064983479503</c:v>
                </c:pt>
                <c:pt idx="22">
                  <c:v>15.752286510892038</c:v>
                </c:pt>
                <c:pt idx="23">
                  <c:v>16.204508038304574</c:v>
                </c:pt>
                <c:pt idx="24">
                  <c:v>16.656729565717111</c:v>
                </c:pt>
                <c:pt idx="25">
                  <c:v>17.108951093129647</c:v>
                </c:pt>
                <c:pt idx="26">
                  <c:v>17.561172620542184</c:v>
                </c:pt>
                <c:pt idx="27">
                  <c:v>18.01339414795472</c:v>
                </c:pt>
                <c:pt idx="28">
                  <c:v>18.46561567536725</c:v>
                </c:pt>
                <c:pt idx="29">
                  <c:v>20.910544724408698</c:v>
                </c:pt>
                <c:pt idx="30">
                  <c:v>23.355473773450147</c:v>
                </c:pt>
                <c:pt idx="31">
                  <c:v>23.355473773450147</c:v>
                </c:pt>
                <c:pt idx="32">
                  <c:v>23.355473773450147</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PTRA!$L$216:$AR$216</c:f>
              <c:numCache>
                <c:formatCode>0.00</c:formatCode>
                <c:ptCount val="33"/>
                <c:pt idx="0">
                  <c:v>3.1893877916903843</c:v>
                </c:pt>
                <c:pt idx="1">
                  <c:v>3.288758549054271</c:v>
                </c:pt>
                <c:pt idx="2">
                  <c:v>3.3881293064181577</c:v>
                </c:pt>
                <c:pt idx="3">
                  <c:v>3.4875000637820444</c:v>
                </c:pt>
                <c:pt idx="4">
                  <c:v>3.5871580464556376</c:v>
                </c:pt>
                <c:pt idx="5">
                  <c:v>3.6868160291292309</c:v>
                </c:pt>
                <c:pt idx="6">
                  <c:v>3.7718932789972879</c:v>
                </c:pt>
                <c:pt idx="7">
                  <c:v>3.8569705288653453</c:v>
                </c:pt>
                <c:pt idx="8">
                  <c:v>3.6927451955921633</c:v>
                </c:pt>
                <c:pt idx="9">
                  <c:v>3.7152803873671201</c:v>
                </c:pt>
                <c:pt idx="10">
                  <c:v>3.8305928094477233</c:v>
                </c:pt>
                <c:pt idx="11">
                  <c:v>3.9459052315283265</c:v>
                </c:pt>
                <c:pt idx="12">
                  <c:v>4.0612176536089297</c:v>
                </c:pt>
                <c:pt idx="13">
                  <c:v>4.1765300756895325</c:v>
                </c:pt>
                <c:pt idx="14">
                  <c:v>4.2918424977701353</c:v>
                </c:pt>
                <c:pt idx="15">
                  <c:v>4.407154919850738</c:v>
                </c:pt>
                <c:pt idx="16">
                  <c:v>4.5224673419313408</c:v>
                </c:pt>
                <c:pt idx="17">
                  <c:v>4.6377797640119436</c:v>
                </c:pt>
                <c:pt idx="18">
                  <c:v>4.753092186092549</c:v>
                </c:pt>
                <c:pt idx="19">
                  <c:v>4.9072475962847362</c:v>
                </c:pt>
                <c:pt idx="20">
                  <c:v>5.0614030064769233</c:v>
                </c:pt>
                <c:pt idx="21">
                  <c:v>5.2155584166691105</c:v>
                </c:pt>
                <c:pt idx="22">
                  <c:v>5.3697138268612976</c:v>
                </c:pt>
                <c:pt idx="23">
                  <c:v>5.5238692370534848</c:v>
                </c:pt>
                <c:pt idx="24">
                  <c:v>5.6780246472456719</c:v>
                </c:pt>
                <c:pt idx="25">
                  <c:v>5.8321800574378591</c:v>
                </c:pt>
                <c:pt idx="26">
                  <c:v>5.9863354676300462</c:v>
                </c:pt>
                <c:pt idx="27">
                  <c:v>6.1404908778222334</c:v>
                </c:pt>
                <c:pt idx="28">
                  <c:v>6.2946462880144241</c:v>
                </c:pt>
                <c:pt idx="29">
                  <c:v>7.1280852501139815</c:v>
                </c:pt>
                <c:pt idx="30">
                  <c:v>7.961524212213539</c:v>
                </c:pt>
                <c:pt idx="31">
                  <c:v>7.961524212213539</c:v>
                </c:pt>
                <c:pt idx="32">
                  <c:v>7.961524212213539</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PTRA!$L$217:$AR$217</c:f>
              <c:numCache>
                <c:formatCode>0.00</c:formatCode>
                <c:ptCount val="33"/>
                <c:pt idx="0">
                  <c:v>1.4990333520535337</c:v>
                </c:pt>
                <c:pt idx="1">
                  <c:v>0.77885260922987343</c:v>
                </c:pt>
                <c:pt idx="2">
                  <c:v>0.93971372874215786</c:v>
                </c:pt>
                <c:pt idx="3">
                  <c:v>1.1005748482544424</c:v>
                </c:pt>
                <c:pt idx="4">
                  <c:v>0.95787739832517194</c:v>
                </c:pt>
                <c:pt idx="5">
                  <c:v>0.81517994839590147</c:v>
                </c:pt>
                <c:pt idx="6">
                  <c:v>0.82466715160764559</c:v>
                </c:pt>
                <c:pt idx="7">
                  <c:v>0.83415435481938982</c:v>
                </c:pt>
                <c:pt idx="8">
                  <c:v>0.86283771464679471</c:v>
                </c:pt>
                <c:pt idx="9">
                  <c:v>0.8556093195052763</c:v>
                </c:pt>
                <c:pt idx="10">
                  <c:v>0.85710132000003914</c:v>
                </c:pt>
                <c:pt idx="11">
                  <c:v>0.85859332049480197</c:v>
                </c:pt>
                <c:pt idx="12">
                  <c:v>0.86008532098956481</c:v>
                </c:pt>
                <c:pt idx="13">
                  <c:v>0.86157732148432764</c:v>
                </c:pt>
                <c:pt idx="14">
                  <c:v>0.86306932197909048</c:v>
                </c:pt>
                <c:pt idx="15">
                  <c:v>0.86456132247385331</c:v>
                </c:pt>
                <c:pt idx="16">
                  <c:v>0.86605332296861615</c:v>
                </c:pt>
                <c:pt idx="17">
                  <c:v>0.86754532346337898</c:v>
                </c:pt>
                <c:pt idx="18">
                  <c:v>0.86903732395814148</c:v>
                </c:pt>
                <c:pt idx="19">
                  <c:v>0.8635476174840524</c:v>
                </c:pt>
                <c:pt idx="20">
                  <c:v>0.85805791100996331</c:v>
                </c:pt>
                <c:pt idx="21">
                  <c:v>0.85256820453587423</c:v>
                </c:pt>
                <c:pt idx="22">
                  <c:v>0.84707849806178515</c:v>
                </c:pt>
                <c:pt idx="23">
                  <c:v>0.84158879158769606</c:v>
                </c:pt>
                <c:pt idx="24">
                  <c:v>0.83609908511360698</c:v>
                </c:pt>
                <c:pt idx="25">
                  <c:v>0.83060937863951789</c:v>
                </c:pt>
                <c:pt idx="26">
                  <c:v>0.82511967216542881</c:v>
                </c:pt>
                <c:pt idx="27">
                  <c:v>0.81962996569133972</c:v>
                </c:pt>
                <c:pt idx="28">
                  <c:v>0.81414025921725031</c:v>
                </c:pt>
                <c:pt idx="29">
                  <c:v>0.77249388041323352</c:v>
                </c:pt>
                <c:pt idx="30">
                  <c:v>0.73084750160921663</c:v>
                </c:pt>
                <c:pt idx="31">
                  <c:v>0.73084750160921663</c:v>
                </c:pt>
                <c:pt idx="32">
                  <c:v>0.73084750160921663</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PTRA!$L$218:$AR$218</c:f>
              <c:numCache>
                <c:formatCode>0.00</c:formatCode>
                <c:ptCount val="33"/>
                <c:pt idx="0">
                  <c:v>6.4978638621089795</c:v>
                </c:pt>
                <c:pt idx="1">
                  <c:v>6.2129452564268437</c:v>
                </c:pt>
                <c:pt idx="2">
                  <c:v>6.5128577066124906</c:v>
                </c:pt>
                <c:pt idx="3">
                  <c:v>6.8127701567981385</c:v>
                </c:pt>
                <c:pt idx="4">
                  <c:v>7.2570480827064472</c:v>
                </c:pt>
                <c:pt idx="5">
                  <c:v>7.701326008614755</c:v>
                </c:pt>
                <c:pt idx="6">
                  <c:v>7.7909553536291822</c:v>
                </c:pt>
                <c:pt idx="7">
                  <c:v>7.8805846986436094</c:v>
                </c:pt>
                <c:pt idx="8">
                  <c:v>8.1515676950825338</c:v>
                </c:pt>
                <c:pt idx="9">
                  <c:v>8.0832781994767302</c:v>
                </c:pt>
                <c:pt idx="10">
                  <c:v>8.0973737157339603</c:v>
                </c:pt>
                <c:pt idx="11">
                  <c:v>8.1114692319911903</c:v>
                </c:pt>
                <c:pt idx="12">
                  <c:v>8.1255647482484203</c:v>
                </c:pt>
                <c:pt idx="13">
                  <c:v>8.1396602645056504</c:v>
                </c:pt>
                <c:pt idx="14">
                  <c:v>8.1537557807628804</c:v>
                </c:pt>
                <c:pt idx="15">
                  <c:v>8.1678512970201105</c:v>
                </c:pt>
                <c:pt idx="16">
                  <c:v>8.1819468132773405</c:v>
                </c:pt>
                <c:pt idx="17">
                  <c:v>8.1960423295345706</c:v>
                </c:pt>
                <c:pt idx="18">
                  <c:v>8.2101378457918024</c:v>
                </c:pt>
                <c:pt idx="19">
                  <c:v>8.1582744267617375</c:v>
                </c:pt>
                <c:pt idx="20">
                  <c:v>8.1064110077316727</c:v>
                </c:pt>
                <c:pt idx="21">
                  <c:v>8.0545475887016078</c:v>
                </c:pt>
                <c:pt idx="22">
                  <c:v>8.0026841696715429</c:v>
                </c:pt>
                <c:pt idx="23">
                  <c:v>7.9508207506414781</c:v>
                </c:pt>
                <c:pt idx="24">
                  <c:v>7.8989573316114132</c:v>
                </c:pt>
                <c:pt idx="25">
                  <c:v>7.8470939125813484</c:v>
                </c:pt>
                <c:pt idx="26">
                  <c:v>7.7952304935512835</c:v>
                </c:pt>
                <c:pt idx="27">
                  <c:v>7.7433670745212186</c:v>
                </c:pt>
                <c:pt idx="28">
                  <c:v>7.6915036554911547</c:v>
                </c:pt>
                <c:pt idx="29">
                  <c:v>7.2980539136530131</c:v>
                </c:pt>
                <c:pt idx="30">
                  <c:v>6.9046041718148716</c:v>
                </c:pt>
                <c:pt idx="31">
                  <c:v>6.9046041718148716</c:v>
                </c:pt>
                <c:pt idx="32">
                  <c:v>6.9046041718148716</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PTRA!$L$219:$AR$219</c:f>
              <c:numCache>
                <c:formatCode>0.00</c:formatCode>
                <c:ptCount val="33"/>
                <c:pt idx="0">
                  <c:v>0</c:v>
                </c:pt>
                <c:pt idx="1">
                  <c:v>2.4481641737668241E-2</c:v>
                </c:pt>
                <c:pt idx="2">
                  <c:v>2.7875678632381207E-2</c:v>
                </c:pt>
                <c:pt idx="3">
                  <c:v>3.1269715527094177E-2</c:v>
                </c:pt>
                <c:pt idx="4">
                  <c:v>4.7094773068544926E-2</c:v>
                </c:pt>
                <c:pt idx="5">
                  <c:v>6.2919830609995675E-2</c:v>
                </c:pt>
                <c:pt idx="6">
                  <c:v>8.2239758862255277E-2</c:v>
                </c:pt>
                <c:pt idx="7">
                  <c:v>0.10155968711451488</c:v>
                </c:pt>
                <c:pt idx="8">
                  <c:v>0.10425069329756113</c:v>
                </c:pt>
                <c:pt idx="9">
                  <c:v>0.29374525410217339</c:v>
                </c:pt>
                <c:pt idx="10">
                  <c:v>0.32419393261645385</c:v>
                </c:pt>
                <c:pt idx="11">
                  <c:v>0.35464261113073431</c:v>
                </c:pt>
                <c:pt idx="12">
                  <c:v>0.38509128964501477</c:v>
                </c:pt>
                <c:pt idx="13">
                  <c:v>0.41553996815929523</c:v>
                </c:pt>
                <c:pt idx="14">
                  <c:v>0.44598864667357568</c:v>
                </c:pt>
                <c:pt idx="15">
                  <c:v>0.47643732518785614</c:v>
                </c:pt>
                <c:pt idx="16">
                  <c:v>0.50688600370213666</c:v>
                </c:pt>
                <c:pt idx="17">
                  <c:v>0.53733468221641711</c:v>
                </c:pt>
                <c:pt idx="18">
                  <c:v>0.56778336073069768</c:v>
                </c:pt>
                <c:pt idx="19">
                  <c:v>0.61894654287448447</c:v>
                </c:pt>
                <c:pt idx="20">
                  <c:v>0.67010972501827126</c:v>
                </c:pt>
                <c:pt idx="21">
                  <c:v>0.72127290716205805</c:v>
                </c:pt>
                <c:pt idx="22">
                  <c:v>0.77243608930584484</c:v>
                </c:pt>
                <c:pt idx="23">
                  <c:v>0.82359927144963163</c:v>
                </c:pt>
                <c:pt idx="24">
                  <c:v>0.87476245359341842</c:v>
                </c:pt>
                <c:pt idx="25">
                  <c:v>0.92592563573720521</c:v>
                </c:pt>
                <c:pt idx="26">
                  <c:v>0.977088817880992</c:v>
                </c:pt>
                <c:pt idx="27">
                  <c:v>1.0282520000247788</c:v>
                </c:pt>
                <c:pt idx="28">
                  <c:v>1.0794151821685656</c:v>
                </c:pt>
                <c:pt idx="29">
                  <c:v>1.3169948504595808</c:v>
                </c:pt>
                <c:pt idx="30">
                  <c:v>1.5545745187505957</c:v>
                </c:pt>
                <c:pt idx="31">
                  <c:v>1.5545745187505957</c:v>
                </c:pt>
                <c:pt idx="32">
                  <c:v>1.5545745187505957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PTRA!$L$220:$AR$220</c:f>
              <c:numCache>
                <c:formatCode>0.00</c:formatCode>
                <c:ptCount val="33"/>
                <c:pt idx="0">
                  <c:v>15.8</c:v>
                </c:pt>
                <c:pt idx="1">
                  <c:v>13.600515897817941</c:v>
                </c:pt>
                <c:pt idx="2">
                  <c:v>12.823088471306509</c:v>
                </c:pt>
                <c:pt idx="3">
                  <c:v>12.045661044795077</c:v>
                </c:pt>
                <c:pt idx="4">
                  <c:v>10.77345691085338</c:v>
                </c:pt>
                <c:pt idx="5">
                  <c:v>9.5012527769116826</c:v>
                </c:pt>
                <c:pt idx="6">
                  <c:v>9.6118299765080266</c:v>
                </c:pt>
                <c:pt idx="7">
                  <c:v>9.7224071761043689</c:v>
                </c:pt>
                <c:pt idx="8">
                  <c:v>10.056723363281892</c:v>
                </c:pt>
                <c:pt idx="9">
                  <c:v>9.9724734874770302</c:v>
                </c:pt>
                <c:pt idx="10">
                  <c:v>9.9898633581085559</c:v>
                </c:pt>
                <c:pt idx="11">
                  <c:v>10.007253228740081</c:v>
                </c:pt>
                <c:pt idx="12">
                  <c:v>10.024643099371607</c:v>
                </c:pt>
                <c:pt idx="13">
                  <c:v>10.042032970003133</c:v>
                </c:pt>
                <c:pt idx="14">
                  <c:v>10.059422840634658</c:v>
                </c:pt>
                <c:pt idx="15">
                  <c:v>10.076812711266184</c:v>
                </c:pt>
                <c:pt idx="16">
                  <c:v>10.09420258189771</c:v>
                </c:pt>
                <c:pt idx="17">
                  <c:v>10.111592452529235</c:v>
                </c:pt>
                <c:pt idx="18">
                  <c:v>10.128982323160761</c:v>
                </c:pt>
                <c:pt idx="19">
                  <c:v>10.064997568648574</c:v>
                </c:pt>
                <c:pt idx="20">
                  <c:v>10.001012814136386</c:v>
                </c:pt>
                <c:pt idx="21">
                  <c:v>9.9370280596241987</c:v>
                </c:pt>
                <c:pt idx="22">
                  <c:v>9.8730433051120112</c:v>
                </c:pt>
                <c:pt idx="23">
                  <c:v>9.8090585505998238</c:v>
                </c:pt>
                <c:pt idx="24">
                  <c:v>9.7450737960876364</c:v>
                </c:pt>
                <c:pt idx="25">
                  <c:v>9.6810890415754489</c:v>
                </c:pt>
                <c:pt idx="26">
                  <c:v>9.6171042870632615</c:v>
                </c:pt>
                <c:pt idx="27">
                  <c:v>9.553119532551074</c:v>
                </c:pt>
                <c:pt idx="28">
                  <c:v>9.4891347780388884</c:v>
                </c:pt>
                <c:pt idx="29">
                  <c:v>9.0037293494109889</c:v>
                </c:pt>
                <c:pt idx="30">
                  <c:v>8.5183239207830912</c:v>
                </c:pt>
                <c:pt idx="31">
                  <c:v>8.5183239207830912</c:v>
                </c:pt>
                <c:pt idx="32">
                  <c:v>8.5183239207830912</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PTRA!$L$221:$AR$221</c:f>
              <c:numCache>
                <c:formatCode>0.00</c:formatCode>
                <c:ptCount val="33"/>
                <c:pt idx="0">
                  <c:v>0</c:v>
                </c:pt>
                <c:pt idx="1">
                  <c:v>0.55248564192940541</c:v>
                </c:pt>
                <c:pt idx="2">
                  <c:v>0.57044550348095591</c:v>
                </c:pt>
                <c:pt idx="3">
                  <c:v>0.58840536503250629</c:v>
                </c:pt>
                <c:pt idx="4">
                  <c:v>0.60651580293507878</c:v>
                </c:pt>
                <c:pt idx="5">
                  <c:v>0.62462624083765128</c:v>
                </c:pt>
                <c:pt idx="6">
                  <c:v>0.64844460531963566</c:v>
                </c:pt>
                <c:pt idx="7">
                  <c:v>0.67226296980162004</c:v>
                </c:pt>
                <c:pt idx="8">
                  <c:v>0.64616666359533781</c:v>
                </c:pt>
                <c:pt idx="9">
                  <c:v>0.64672402075743496</c:v>
                </c:pt>
                <c:pt idx="10">
                  <c:v>0.66645524691108848</c:v>
                </c:pt>
                <c:pt idx="11">
                  <c:v>0.68618647306474201</c:v>
                </c:pt>
                <c:pt idx="12">
                  <c:v>0.70591769921839553</c:v>
                </c:pt>
                <c:pt idx="13">
                  <c:v>0.72564892537204906</c:v>
                </c:pt>
                <c:pt idx="14">
                  <c:v>0.74538015152570258</c:v>
                </c:pt>
                <c:pt idx="15">
                  <c:v>0.76511137767935611</c:v>
                </c:pt>
                <c:pt idx="16">
                  <c:v>0.78484260383300963</c:v>
                </c:pt>
                <c:pt idx="17">
                  <c:v>0.80457382998666316</c:v>
                </c:pt>
                <c:pt idx="18">
                  <c:v>0.82430505614031691</c:v>
                </c:pt>
                <c:pt idx="19">
                  <c:v>0.84744076044105265</c:v>
                </c:pt>
                <c:pt idx="20">
                  <c:v>0.8705764647417884</c:v>
                </c:pt>
                <c:pt idx="21">
                  <c:v>0.89371216904252415</c:v>
                </c:pt>
                <c:pt idx="22">
                  <c:v>0.9168478733432599</c:v>
                </c:pt>
                <c:pt idx="23">
                  <c:v>0.93998357764399565</c:v>
                </c:pt>
                <c:pt idx="24">
                  <c:v>0.9631192819447314</c:v>
                </c:pt>
                <c:pt idx="25">
                  <c:v>0.98625498624546715</c:v>
                </c:pt>
                <c:pt idx="26">
                  <c:v>1.0093906905462029</c:v>
                </c:pt>
                <c:pt idx="27">
                  <c:v>1.0325263948469388</c:v>
                </c:pt>
                <c:pt idx="28">
                  <c:v>1.0556620991476746</c:v>
                </c:pt>
                <c:pt idx="29">
                  <c:v>1.1651513669786351</c:v>
                </c:pt>
                <c:pt idx="30">
                  <c:v>1.2746406348095956</c:v>
                </c:pt>
                <c:pt idx="31">
                  <c:v>1.2746406348095956</c:v>
                </c:pt>
                <c:pt idx="32">
                  <c:v>1.2746406348095956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0.52101728438928796</c:v>
                </c:pt>
                <c:pt idx="1">
                  <c:v>0.52486123511268079</c:v>
                </c:pt>
                <c:pt idx="2">
                  <c:v>0.50566764756776761</c:v>
                </c:pt>
                <c:pt idx="3">
                  <c:v>0.50135667929412664</c:v>
                </c:pt>
                <c:pt idx="4">
                  <c:v>0.54800136607505456</c:v>
                </c:pt>
                <c:pt idx="5">
                  <c:v>0.61078156858038191</c:v>
                </c:pt>
                <c:pt idx="6">
                  <c:v>0.66763336065997048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0.47898271561071204</c:v>
                </c:pt>
                <c:pt idx="1">
                  <c:v>0.47513876488731921</c:v>
                </c:pt>
                <c:pt idx="2">
                  <c:v>0.49433235243223239</c:v>
                </c:pt>
                <c:pt idx="3">
                  <c:v>0.49864332070587336</c:v>
                </c:pt>
                <c:pt idx="4">
                  <c:v>0.45199863392494544</c:v>
                </c:pt>
                <c:pt idx="5">
                  <c:v>0.38921843141961809</c:v>
                </c:pt>
                <c:pt idx="6">
                  <c:v>0.33236663934002952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94.193474919425029</c:v>
                </c:pt>
                <c:pt idx="1">
                  <c:v>98.540706643679641</c:v>
                </c:pt>
                <c:pt idx="2">
                  <c:v>94.344957604784639</c:v>
                </c:pt>
                <c:pt idx="3">
                  <c:v>94.920703181587982</c:v>
                </c:pt>
                <c:pt idx="4">
                  <c:v>121.43547876625833</c:v>
                </c:pt>
                <c:pt idx="5">
                  <c:v>160.82023148759495</c:v>
                </c:pt>
                <c:pt idx="6">
                  <c:v>203.40684896627499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94.193474919425029</c:v>
                </c:pt>
                <c:pt idx="1">
                  <c:v>98.540706643679641</c:v>
                </c:pt>
                <c:pt idx="2">
                  <c:v>94.344957604784639</c:v>
                </c:pt>
                <c:pt idx="3">
                  <c:v>94.920703181587982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243</xdr:row>
      <xdr:rowOff>91633</xdr:rowOff>
    </xdr:from>
    <xdr:to>
      <xdr:col>35</xdr:col>
      <xdr:colOff>439862</xdr:colOff>
      <xdr:row>265</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276976</xdr:colOff>
      <xdr:row>177</xdr:row>
      <xdr:rowOff>142374</xdr:rowOff>
    </xdr:from>
    <xdr:to>
      <xdr:col>4</xdr:col>
      <xdr:colOff>562476</xdr:colOff>
      <xdr:row>192</xdr:row>
      <xdr:rowOff>99762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82.000000000000014</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8" t="s">
        <v>216</v>
      </c>
      <c r="B1" s="88" t="s">
        <v>32</v>
      </c>
      <c r="C1" s="88" t="s">
        <v>218</v>
      </c>
      <c r="D1" s="88" t="s">
        <v>214</v>
      </c>
    </row>
    <row r="2" spans="1:4">
      <c r="A2" s="87">
        <v>41499</v>
      </c>
      <c r="B2" s="86" t="s">
        <v>217</v>
      </c>
      <c r="C2" s="86" t="s">
        <v>219</v>
      </c>
      <c r="D2" t="s">
        <v>215</v>
      </c>
    </row>
    <row r="3" spans="1:4">
      <c r="A3" s="87">
        <v>41500</v>
      </c>
      <c r="B3" t="s">
        <v>222</v>
      </c>
      <c r="C3" s="4" t="s">
        <v>223</v>
      </c>
      <c r="D3" s="4" t="s">
        <v>215</v>
      </c>
    </row>
    <row r="4" spans="1:4">
      <c r="A4" s="87">
        <v>41502</v>
      </c>
      <c r="B4" t="s">
        <v>224</v>
      </c>
      <c r="C4" s="4" t="s">
        <v>223</v>
      </c>
      <c r="D4" s="4" t="s">
        <v>215</v>
      </c>
    </row>
    <row r="5" spans="1:4">
      <c r="A5" s="87">
        <v>41505</v>
      </c>
      <c r="B5" t="s">
        <v>226</v>
      </c>
      <c r="C5" s="4" t="s">
        <v>261</v>
      </c>
      <c r="D5" t="s">
        <v>225</v>
      </c>
    </row>
    <row r="7" spans="1:4">
      <c r="A7" s="87">
        <v>41599</v>
      </c>
      <c r="B7" t="s">
        <v>267</v>
      </c>
      <c r="C7" s="4" t="s">
        <v>4</v>
      </c>
      <c r="D7" t="s">
        <v>225</v>
      </c>
    </row>
    <row r="9" spans="1:4">
      <c r="A9" s="87" t="s">
        <v>407</v>
      </c>
      <c r="B9" t="s">
        <v>408</v>
      </c>
      <c r="D9" t="s">
        <v>409</v>
      </c>
    </row>
    <row r="11" spans="1:4">
      <c r="A11" s="87">
        <v>42467</v>
      </c>
      <c r="B11" t="s">
        <v>430</v>
      </c>
      <c r="C11" s="4" t="s">
        <v>431</v>
      </c>
      <c r="D11" t="s">
        <v>432</v>
      </c>
    </row>
    <row r="13" spans="1:4">
      <c r="A13" s="148">
        <v>42963</v>
      </c>
      <c r="B13" t="s">
        <v>447</v>
      </c>
      <c r="C13" s="4" t="s">
        <v>446</v>
      </c>
      <c r="D13" t="s">
        <v>225</v>
      </c>
    </row>
    <row r="14" spans="1:4">
      <c r="B14" t="s">
        <v>448</v>
      </c>
      <c r="D14" s="4"/>
    </row>
    <row r="15" spans="1:4">
      <c r="B15" t="s">
        <v>449</v>
      </c>
    </row>
    <row r="17" spans="1:4">
      <c r="A17" s="148">
        <v>43007</v>
      </c>
      <c r="B17" t="s">
        <v>501</v>
      </c>
      <c r="D17" t="s">
        <v>225</v>
      </c>
    </row>
    <row r="18" spans="1:4">
      <c r="B18" t="s">
        <v>502</v>
      </c>
    </row>
    <row r="20" spans="1:4">
      <c r="A20" s="148">
        <v>43039</v>
      </c>
      <c r="B20" t="s">
        <v>518</v>
      </c>
      <c r="C20" s="4" t="s">
        <v>519</v>
      </c>
      <c r="D20" t="s">
        <v>520</v>
      </c>
    </row>
    <row r="21" spans="1:4">
      <c r="B21" t="s">
        <v>521</v>
      </c>
      <c r="C21" s="4" t="s">
        <v>4</v>
      </c>
      <c r="D21" t="s">
        <v>520</v>
      </c>
    </row>
    <row r="24" spans="1:4" s="194" customFormat="1">
      <c r="A24" s="226">
        <v>44007.756886921299</v>
      </c>
      <c r="B24" s="194" t="s">
        <v>606</v>
      </c>
      <c r="C24" s="194" t="s">
        <v>607</v>
      </c>
      <c r="D24" s="194" t="s">
        <v>608</v>
      </c>
    </row>
    <row r="25" spans="1:4" s="194" customFormat="1"/>
    <row r="26" spans="1:4" s="194" customFormat="1"/>
    <row r="27" spans="1:4" s="194" customFormat="1"/>
    <row r="28" spans="1:4" s="194" customFormat="1"/>
    <row r="29" spans="1:4" s="194" customFormat="1"/>
    <row r="30" spans="1:4" s="194" customFormat="1"/>
    <row r="31" spans="1:4" s="194" customFormat="1"/>
    <row r="32" spans="1:4" s="194" customFormat="1"/>
    <row r="33" spans="1:2" s="194" customFormat="1"/>
    <row r="34" spans="1:2" s="194" customFormat="1"/>
    <row r="35" spans="1:2" s="194" customFormat="1"/>
    <row r="37" spans="1:2">
      <c r="A37" s="226">
        <f ca="1">NOW()</f>
        <v>44049.737346180555</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8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4"/>
      <c r="D10" s="4"/>
      <c r="E10" s="4"/>
    </row>
    <row r="11" spans="1:5">
      <c r="D11" s="4"/>
      <c r="E11" s="4"/>
    </row>
    <row r="13" spans="1:5">
      <c r="C13" s="4"/>
      <c r="D13" s="4"/>
      <c r="E13" s="4"/>
    </row>
    <row r="14" spans="1:5" s="4" customFormat="1">
      <c r="A14" s="194"/>
      <c r="B14" s="194"/>
      <c r="C14" s="36"/>
      <c r="D14" s="1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34" workbookViewId="0">
      <selection activeCell="C163" sqref="C163"/>
    </sheetView>
  </sheetViews>
  <sheetFormatPr defaultColWidth="8.7109375" defaultRowHeight="15"/>
  <cols>
    <col min="1" max="16384" width="8.7109375" style="194"/>
  </cols>
  <sheetData>
    <row r="4" spans="1:40">
      <c r="A4" s="194"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194">
        <v>1833.85</v>
      </c>
      <c r="C6" s="194">
        <v>1884.55</v>
      </c>
      <c r="D6" s="194">
        <v>1927.88</v>
      </c>
      <c r="E6" s="194">
        <v>1957.41</v>
      </c>
      <c r="F6" s="194">
        <v>1982.72</v>
      </c>
      <c r="G6" s="194">
        <v>2007.4</v>
      </c>
      <c r="H6" s="194">
        <v>2036.6</v>
      </c>
      <c r="I6" s="194">
        <v>2071.14</v>
      </c>
      <c r="J6" s="194">
        <v>1915.6</v>
      </c>
      <c r="K6" s="194">
        <v>1960.19</v>
      </c>
      <c r="L6" s="194">
        <v>2004.23</v>
      </c>
      <c r="M6" s="194">
        <v>2048.11</v>
      </c>
      <c r="N6" s="194">
        <v>2091.16</v>
      </c>
      <c r="O6" s="194">
        <v>2135.91</v>
      </c>
      <c r="P6" s="194">
        <v>2188.48</v>
      </c>
      <c r="Q6" s="194">
        <v>2240.58</v>
      </c>
      <c r="R6" s="194">
        <v>2295.15</v>
      </c>
      <c r="S6" s="194">
        <v>2351.59</v>
      </c>
      <c r="T6" s="194">
        <v>2409.79</v>
      </c>
      <c r="U6" s="194">
        <v>2477.56</v>
      </c>
      <c r="V6" s="194">
        <v>2544.31</v>
      </c>
      <c r="W6" s="194">
        <v>2617.34</v>
      </c>
      <c r="X6" s="10">
        <v>2695.68</v>
      </c>
      <c r="Y6" s="24">
        <v>2779.08</v>
      </c>
      <c r="Z6" s="194">
        <v>2866.42</v>
      </c>
      <c r="AA6" s="194">
        <v>2957.38</v>
      </c>
      <c r="AB6" s="194">
        <v>3050.01</v>
      </c>
      <c r="AC6" s="194">
        <v>3146.53</v>
      </c>
      <c r="AD6" s="194">
        <v>3249.04</v>
      </c>
      <c r="AE6" s="194">
        <v>3355.38</v>
      </c>
      <c r="AF6" s="194">
        <v>3466.6</v>
      </c>
      <c r="AG6" s="194">
        <v>3582.52</v>
      </c>
      <c r="AH6" s="194">
        <v>3703.15</v>
      </c>
      <c r="AI6" s="194">
        <v>3831.42</v>
      </c>
      <c r="AJ6" s="194">
        <v>3966.01</v>
      </c>
      <c r="AK6" s="194">
        <v>4107.3999999999996</v>
      </c>
      <c r="AL6" s="194">
        <v>4251</v>
      </c>
      <c r="AM6" s="194">
        <v>4401.6400000000003</v>
      </c>
      <c r="AN6" s="194">
        <v>4560.04</v>
      </c>
    </row>
    <row r="7" spans="1:40">
      <c r="A7" s="36" t="s">
        <v>647</v>
      </c>
      <c r="B7" s="194">
        <v>69.819999999999993</v>
      </c>
      <c r="C7" s="194">
        <v>72.77</v>
      </c>
      <c r="D7" s="194">
        <v>75.510000000000005</v>
      </c>
      <c r="E7" s="194">
        <v>74.36</v>
      </c>
      <c r="F7" s="194">
        <v>73.55</v>
      </c>
      <c r="G7" s="194">
        <v>76</v>
      </c>
      <c r="H7" s="194">
        <v>74.78</v>
      </c>
      <c r="I7" s="194">
        <v>73.53</v>
      </c>
      <c r="J7" s="194">
        <v>70.959999999999994</v>
      </c>
      <c r="K7" s="194">
        <v>72.959999999999994</v>
      </c>
      <c r="L7" s="194">
        <v>75</v>
      </c>
      <c r="M7" s="194">
        <v>76.52</v>
      </c>
      <c r="N7" s="194">
        <v>77.900000000000006</v>
      </c>
      <c r="O7" s="194">
        <v>79.13</v>
      </c>
      <c r="P7" s="194">
        <v>81.150000000000006</v>
      </c>
      <c r="Q7" s="194">
        <v>83.06</v>
      </c>
      <c r="R7" s="194">
        <v>85</v>
      </c>
      <c r="S7" s="194">
        <v>86.79</v>
      </c>
      <c r="T7" s="194">
        <v>88.61</v>
      </c>
      <c r="U7" s="194">
        <v>90.52</v>
      </c>
      <c r="V7" s="194">
        <v>92.22</v>
      </c>
      <c r="W7" s="194">
        <v>94</v>
      </c>
      <c r="X7" s="194">
        <v>95.83</v>
      </c>
      <c r="Y7" s="194">
        <v>97.69</v>
      </c>
      <c r="Z7" s="194">
        <v>99.72</v>
      </c>
      <c r="AA7" s="194">
        <v>101.85</v>
      </c>
      <c r="AB7" s="194">
        <v>104.02</v>
      </c>
      <c r="AC7" s="194">
        <v>106.26</v>
      </c>
      <c r="AD7" s="194">
        <v>108.6</v>
      </c>
      <c r="AE7" s="194">
        <v>110.85</v>
      </c>
      <c r="AF7" s="194">
        <v>113.14</v>
      </c>
      <c r="AG7" s="194">
        <v>115.46</v>
      </c>
      <c r="AH7" s="194">
        <v>117.97</v>
      </c>
      <c r="AI7" s="194">
        <v>120.7</v>
      </c>
      <c r="AJ7" s="194">
        <v>123.56</v>
      </c>
      <c r="AK7" s="194">
        <v>126.62</v>
      </c>
      <c r="AL7" s="194">
        <v>129.62</v>
      </c>
      <c r="AM7" s="194">
        <v>132.85</v>
      </c>
      <c r="AN7" s="194">
        <v>136.25</v>
      </c>
    </row>
    <row r="8" spans="1:40">
      <c r="A8" s="36" t="s">
        <v>387</v>
      </c>
      <c r="B8" s="194">
        <v>205.45</v>
      </c>
      <c r="C8" s="194">
        <v>210.29</v>
      </c>
      <c r="D8" s="194">
        <v>210.09</v>
      </c>
      <c r="E8" s="194">
        <v>214.84</v>
      </c>
      <c r="F8" s="194">
        <v>210.99</v>
      </c>
      <c r="G8" s="194">
        <v>215.85</v>
      </c>
      <c r="H8" s="194">
        <v>213.65</v>
      </c>
      <c r="I8" s="194">
        <v>210.07</v>
      </c>
      <c r="J8" s="194">
        <v>193.07</v>
      </c>
      <c r="K8" s="194">
        <v>196.38</v>
      </c>
      <c r="L8" s="194">
        <v>199.05</v>
      </c>
      <c r="M8" s="194">
        <v>201.54</v>
      </c>
      <c r="N8" s="194">
        <v>203.91</v>
      </c>
      <c r="O8" s="194">
        <v>207.14</v>
      </c>
      <c r="P8" s="194">
        <v>212.19</v>
      </c>
      <c r="Q8" s="194">
        <v>217.65</v>
      </c>
      <c r="R8" s="194">
        <v>223.52</v>
      </c>
      <c r="S8" s="194">
        <v>228.69</v>
      </c>
      <c r="T8" s="194">
        <v>234.66</v>
      </c>
      <c r="U8" s="194">
        <v>240.3</v>
      </c>
      <c r="V8" s="194">
        <v>245.53</v>
      </c>
      <c r="W8" s="194">
        <v>251.1</v>
      </c>
      <c r="X8" s="194">
        <v>256.91000000000003</v>
      </c>
      <c r="Y8" s="194">
        <v>262.83</v>
      </c>
      <c r="Z8" s="194">
        <v>269.37</v>
      </c>
      <c r="AA8" s="194">
        <v>276.17</v>
      </c>
      <c r="AB8" s="194">
        <v>282.98</v>
      </c>
      <c r="AC8" s="194">
        <v>290.05</v>
      </c>
      <c r="AD8" s="194">
        <v>297.62</v>
      </c>
      <c r="AE8" s="194">
        <v>304.49</v>
      </c>
      <c r="AF8" s="194">
        <v>311.5</v>
      </c>
      <c r="AG8" s="194">
        <v>318.7</v>
      </c>
      <c r="AH8" s="194">
        <v>326.24</v>
      </c>
      <c r="AI8" s="194">
        <v>334.31</v>
      </c>
      <c r="AJ8" s="194">
        <v>342.67</v>
      </c>
      <c r="AK8" s="194">
        <v>351.49</v>
      </c>
      <c r="AL8" s="194">
        <v>360.41</v>
      </c>
      <c r="AM8" s="194">
        <v>369.89</v>
      </c>
      <c r="AN8" s="194">
        <v>380</v>
      </c>
    </row>
    <row r="9" spans="1:40">
      <c r="A9" s="36" t="s">
        <v>523</v>
      </c>
      <c r="B9" s="194">
        <v>93.1</v>
      </c>
      <c r="C9" s="194">
        <v>94.81</v>
      </c>
      <c r="D9" s="194">
        <v>96.04</v>
      </c>
      <c r="E9" s="194">
        <v>96.13</v>
      </c>
      <c r="F9" s="194">
        <v>97.44</v>
      </c>
      <c r="G9" s="194">
        <v>97.81</v>
      </c>
      <c r="H9" s="194">
        <v>98.48</v>
      </c>
      <c r="I9" s="194">
        <v>97.71</v>
      </c>
      <c r="J9" s="194">
        <v>92.79</v>
      </c>
      <c r="K9" s="194">
        <v>95.58</v>
      </c>
      <c r="L9" s="194">
        <v>98.13</v>
      </c>
      <c r="M9" s="194">
        <v>100.22</v>
      </c>
      <c r="N9" s="194">
        <v>102.18</v>
      </c>
      <c r="O9" s="194">
        <v>104.28</v>
      </c>
      <c r="P9" s="194">
        <v>107.16</v>
      </c>
      <c r="Q9" s="194">
        <v>109.9</v>
      </c>
      <c r="R9" s="194">
        <v>112.65</v>
      </c>
      <c r="S9" s="194">
        <v>115.22</v>
      </c>
      <c r="T9" s="194">
        <v>117.84</v>
      </c>
      <c r="U9" s="194">
        <v>120.44</v>
      </c>
      <c r="V9" s="194">
        <v>122.85</v>
      </c>
      <c r="W9" s="194">
        <v>125.47</v>
      </c>
      <c r="X9" s="194">
        <v>128.21</v>
      </c>
      <c r="Y9" s="194">
        <v>131.01</v>
      </c>
      <c r="Z9" s="194">
        <v>134.12</v>
      </c>
      <c r="AA9" s="194">
        <v>137.33000000000001</v>
      </c>
      <c r="AB9" s="194">
        <v>140.49</v>
      </c>
      <c r="AC9" s="194">
        <v>143.72</v>
      </c>
      <c r="AD9" s="194">
        <v>147.09</v>
      </c>
      <c r="AE9" s="194">
        <v>150.19</v>
      </c>
      <c r="AF9" s="194">
        <v>153.37</v>
      </c>
      <c r="AG9" s="194">
        <v>156.65</v>
      </c>
      <c r="AH9" s="194">
        <v>160.22</v>
      </c>
      <c r="AI9" s="194">
        <v>164.01</v>
      </c>
      <c r="AJ9" s="194">
        <v>167.91</v>
      </c>
      <c r="AK9" s="194">
        <v>171.93</v>
      </c>
      <c r="AL9" s="194">
        <v>175.86</v>
      </c>
      <c r="AM9" s="194">
        <v>180.05</v>
      </c>
      <c r="AN9" s="194">
        <v>184.39</v>
      </c>
    </row>
    <row r="10" spans="1:40">
      <c r="A10" s="36" t="s">
        <v>524</v>
      </c>
      <c r="B10" s="194">
        <v>235.5</v>
      </c>
      <c r="C10" s="194">
        <v>241.63</v>
      </c>
      <c r="D10" s="194">
        <v>245.65</v>
      </c>
      <c r="E10" s="194">
        <v>248.47</v>
      </c>
      <c r="F10" s="194">
        <v>251.07</v>
      </c>
      <c r="G10" s="194">
        <v>252.54</v>
      </c>
      <c r="H10" s="194">
        <v>254.74</v>
      </c>
      <c r="I10" s="194">
        <v>254.67</v>
      </c>
      <c r="J10" s="194">
        <v>230.24</v>
      </c>
      <c r="K10" s="194">
        <v>236.69</v>
      </c>
      <c r="L10" s="194">
        <v>242.59</v>
      </c>
      <c r="M10" s="194">
        <v>248.33</v>
      </c>
      <c r="N10" s="194">
        <v>253.83</v>
      </c>
      <c r="O10" s="194">
        <v>259.61</v>
      </c>
      <c r="P10" s="194">
        <v>266.92</v>
      </c>
      <c r="Q10" s="194">
        <v>274.13</v>
      </c>
      <c r="R10" s="194">
        <v>281.63</v>
      </c>
      <c r="S10" s="194">
        <v>289.23</v>
      </c>
      <c r="T10" s="194">
        <v>297.02</v>
      </c>
      <c r="U10" s="194">
        <v>305.64</v>
      </c>
      <c r="V10" s="194">
        <v>313.91000000000003</v>
      </c>
      <c r="W10" s="194">
        <v>323.06</v>
      </c>
      <c r="X10" s="194">
        <v>332.87</v>
      </c>
      <c r="Y10" s="194">
        <v>343.27</v>
      </c>
      <c r="Z10" s="194">
        <v>354.09</v>
      </c>
      <c r="AA10" s="194">
        <v>365.3</v>
      </c>
      <c r="AB10" s="194">
        <v>376.62</v>
      </c>
      <c r="AC10" s="194">
        <v>388.36</v>
      </c>
      <c r="AD10" s="194">
        <v>400.79</v>
      </c>
      <c r="AE10" s="194">
        <v>413.32</v>
      </c>
      <c r="AF10" s="194">
        <v>426.43</v>
      </c>
      <c r="AG10" s="194">
        <v>440.09</v>
      </c>
      <c r="AH10" s="194">
        <v>454.44</v>
      </c>
      <c r="AI10" s="194">
        <v>469.74</v>
      </c>
      <c r="AJ10" s="194">
        <v>485.82</v>
      </c>
      <c r="AK10" s="194">
        <v>502.71</v>
      </c>
      <c r="AL10" s="194">
        <v>519.79999999999995</v>
      </c>
      <c r="AM10" s="194">
        <v>537.78</v>
      </c>
      <c r="AN10" s="194">
        <v>556.72</v>
      </c>
    </row>
    <row r="11" spans="1:40">
      <c r="A11" s="36" t="s">
        <v>525</v>
      </c>
      <c r="B11" s="194">
        <v>17.78</v>
      </c>
      <c r="C11" s="194">
        <v>18.190000000000001</v>
      </c>
      <c r="D11" s="194">
        <v>18.54</v>
      </c>
      <c r="E11" s="194">
        <v>18.73</v>
      </c>
      <c r="F11" s="194">
        <v>19.13</v>
      </c>
      <c r="G11" s="194">
        <v>19.23</v>
      </c>
      <c r="H11" s="194">
        <v>19.5</v>
      </c>
      <c r="I11" s="194">
        <v>19.52</v>
      </c>
      <c r="J11" s="194">
        <v>18.16</v>
      </c>
      <c r="K11" s="194">
        <v>18.68</v>
      </c>
      <c r="L11" s="194">
        <v>19.149999999999999</v>
      </c>
      <c r="M11" s="194">
        <v>19.61</v>
      </c>
      <c r="N11" s="194">
        <v>20.04</v>
      </c>
      <c r="O11" s="194">
        <v>20.51</v>
      </c>
      <c r="P11" s="194">
        <v>21.11</v>
      </c>
      <c r="Q11" s="194">
        <v>21.69</v>
      </c>
      <c r="R11" s="194">
        <v>22.28</v>
      </c>
      <c r="S11" s="194">
        <v>22.83</v>
      </c>
      <c r="T11" s="194">
        <v>23.42</v>
      </c>
      <c r="U11" s="194">
        <v>24.02</v>
      </c>
      <c r="V11" s="194">
        <v>24.61</v>
      </c>
      <c r="W11" s="194">
        <v>25.26</v>
      </c>
      <c r="X11" s="194">
        <v>25.94</v>
      </c>
      <c r="Y11" s="194">
        <v>26.65</v>
      </c>
      <c r="Z11" s="194">
        <v>27.42</v>
      </c>
      <c r="AA11" s="194">
        <v>28.22</v>
      </c>
      <c r="AB11" s="194">
        <v>29.03</v>
      </c>
      <c r="AC11" s="194">
        <v>29.88</v>
      </c>
      <c r="AD11" s="194">
        <v>30.78</v>
      </c>
      <c r="AE11" s="194">
        <v>31.65</v>
      </c>
      <c r="AF11" s="194">
        <v>32.57</v>
      </c>
      <c r="AG11" s="194">
        <v>33.53</v>
      </c>
      <c r="AH11" s="194">
        <v>34.54</v>
      </c>
      <c r="AI11" s="194">
        <v>35.619999999999997</v>
      </c>
      <c r="AJ11" s="194">
        <v>36.75</v>
      </c>
      <c r="AK11" s="194">
        <v>37.93</v>
      </c>
      <c r="AL11" s="194">
        <v>39.130000000000003</v>
      </c>
      <c r="AM11" s="194">
        <v>40.380000000000003</v>
      </c>
      <c r="AN11" s="194">
        <v>41.7</v>
      </c>
    </row>
    <row r="12" spans="1:40">
      <c r="A12" s="36" t="s">
        <v>526</v>
      </c>
      <c r="B12" s="194">
        <v>52.81</v>
      </c>
      <c r="C12" s="194">
        <v>54.31</v>
      </c>
      <c r="D12" s="194">
        <v>55.26</v>
      </c>
      <c r="E12" s="194">
        <v>55.73</v>
      </c>
      <c r="F12" s="194">
        <v>56.3</v>
      </c>
      <c r="G12" s="194">
        <v>56.6</v>
      </c>
      <c r="H12" s="194">
        <v>57.09</v>
      </c>
      <c r="I12" s="194">
        <v>56.96</v>
      </c>
      <c r="J12" s="194">
        <v>52.37</v>
      </c>
      <c r="K12" s="194">
        <v>53.76</v>
      </c>
      <c r="L12" s="194">
        <v>55.02</v>
      </c>
      <c r="M12" s="194">
        <v>56.21</v>
      </c>
      <c r="N12" s="194">
        <v>57.35</v>
      </c>
      <c r="O12" s="194">
        <v>58.59</v>
      </c>
      <c r="P12" s="194">
        <v>60.17</v>
      </c>
      <c r="Q12" s="194">
        <v>61.72</v>
      </c>
      <c r="R12" s="194">
        <v>63.31</v>
      </c>
      <c r="S12" s="194">
        <v>65.09</v>
      </c>
      <c r="T12" s="194">
        <v>66.930000000000007</v>
      </c>
      <c r="U12" s="194">
        <v>68.83</v>
      </c>
      <c r="V12" s="194">
        <v>70.67</v>
      </c>
      <c r="W12" s="194">
        <v>72.69</v>
      </c>
      <c r="X12" s="194">
        <v>74.849999999999994</v>
      </c>
      <c r="Y12" s="194">
        <v>77.23</v>
      </c>
      <c r="Z12" s="194">
        <v>79.680000000000007</v>
      </c>
      <c r="AA12" s="194">
        <v>82.2</v>
      </c>
      <c r="AB12" s="194">
        <v>84.75</v>
      </c>
      <c r="AC12" s="194">
        <v>87.38</v>
      </c>
      <c r="AD12" s="194">
        <v>90.15</v>
      </c>
      <c r="AE12" s="194">
        <v>92.83</v>
      </c>
      <c r="AF12" s="194">
        <v>95.65</v>
      </c>
      <c r="AG12" s="194">
        <v>98.6</v>
      </c>
      <c r="AH12" s="194">
        <v>101.7</v>
      </c>
      <c r="AI12" s="194">
        <v>105</v>
      </c>
      <c r="AJ12" s="194">
        <v>108.37</v>
      </c>
      <c r="AK12" s="194">
        <v>111.9</v>
      </c>
      <c r="AL12" s="194">
        <v>115.47</v>
      </c>
      <c r="AM12" s="194">
        <v>119.23</v>
      </c>
      <c r="AN12" s="194">
        <v>123.19</v>
      </c>
    </row>
    <row r="13" spans="1:40">
      <c r="A13" s="36" t="s">
        <v>527</v>
      </c>
      <c r="B13" s="194">
        <v>14.11</v>
      </c>
      <c r="C13" s="194">
        <v>14.52</v>
      </c>
      <c r="D13" s="194">
        <v>14.79</v>
      </c>
      <c r="E13" s="194">
        <v>15.03</v>
      </c>
      <c r="F13" s="194">
        <v>15.21</v>
      </c>
      <c r="G13" s="194">
        <v>15.35</v>
      </c>
      <c r="H13" s="194">
        <v>15.51</v>
      </c>
      <c r="I13" s="194">
        <v>15.54</v>
      </c>
      <c r="J13" s="194">
        <v>14.21</v>
      </c>
      <c r="K13" s="194">
        <v>14.6</v>
      </c>
      <c r="L13" s="194">
        <v>14.95</v>
      </c>
      <c r="M13" s="194">
        <v>15.3</v>
      </c>
      <c r="N13" s="194">
        <v>15.64</v>
      </c>
      <c r="O13" s="194">
        <v>16</v>
      </c>
      <c r="P13" s="194">
        <v>16.440000000000001</v>
      </c>
      <c r="Q13" s="194">
        <v>16.88</v>
      </c>
      <c r="R13" s="194">
        <v>17.34</v>
      </c>
      <c r="S13" s="194">
        <v>17.8</v>
      </c>
      <c r="T13" s="194">
        <v>18.27</v>
      </c>
      <c r="U13" s="194">
        <v>18.809999999999999</v>
      </c>
      <c r="V13" s="194">
        <v>19.32</v>
      </c>
      <c r="W13" s="194">
        <v>19.88</v>
      </c>
      <c r="X13" s="194">
        <v>20.49</v>
      </c>
      <c r="Y13" s="194">
        <v>21.14</v>
      </c>
      <c r="Z13" s="194">
        <v>21.81</v>
      </c>
      <c r="AA13" s="194">
        <v>22.5</v>
      </c>
      <c r="AB13" s="194">
        <v>23.19</v>
      </c>
      <c r="AC13" s="194">
        <v>23.92</v>
      </c>
      <c r="AD13" s="194">
        <v>24.68</v>
      </c>
      <c r="AE13" s="194">
        <v>25.46</v>
      </c>
      <c r="AF13" s="194">
        <v>26.29</v>
      </c>
      <c r="AG13" s="194">
        <v>27.15</v>
      </c>
      <c r="AH13" s="194">
        <v>28.04</v>
      </c>
      <c r="AI13" s="194">
        <v>28.99</v>
      </c>
      <c r="AJ13" s="194">
        <v>30</v>
      </c>
      <c r="AK13" s="194">
        <v>31.06</v>
      </c>
      <c r="AL13" s="194">
        <v>32.130000000000003</v>
      </c>
      <c r="AM13" s="194">
        <v>33.26</v>
      </c>
      <c r="AN13" s="194">
        <v>34.44</v>
      </c>
    </row>
    <row r="14" spans="1:40">
      <c r="A14" s="36" t="s">
        <v>388</v>
      </c>
      <c r="B14" s="194">
        <v>13.35</v>
      </c>
      <c r="C14" s="194">
        <v>13.74</v>
      </c>
      <c r="D14" s="194">
        <v>13.91</v>
      </c>
      <c r="E14" s="194">
        <v>14.13</v>
      </c>
      <c r="F14" s="194">
        <v>14.15</v>
      </c>
      <c r="G14" s="194">
        <v>14.18</v>
      </c>
      <c r="H14" s="194">
        <v>14.21</v>
      </c>
      <c r="I14" s="194">
        <v>14.08</v>
      </c>
      <c r="J14" s="194">
        <v>12.26</v>
      </c>
      <c r="K14" s="194">
        <v>12.65</v>
      </c>
      <c r="L14" s="194">
        <v>12.9</v>
      </c>
      <c r="M14" s="194">
        <v>13.13</v>
      </c>
      <c r="N14" s="194">
        <v>13.34</v>
      </c>
      <c r="O14" s="194">
        <v>13.63</v>
      </c>
      <c r="P14" s="194">
        <v>14.12</v>
      </c>
      <c r="Q14" s="194">
        <v>14.6</v>
      </c>
      <c r="R14" s="194">
        <v>15.08</v>
      </c>
      <c r="S14" s="194">
        <v>15.43</v>
      </c>
      <c r="T14" s="194">
        <v>15.88</v>
      </c>
      <c r="U14" s="194">
        <v>16.239999999999998</v>
      </c>
      <c r="V14" s="194">
        <v>16.559999999999999</v>
      </c>
      <c r="W14" s="194">
        <v>16.93</v>
      </c>
      <c r="X14" s="194">
        <v>17.34</v>
      </c>
      <c r="Y14" s="194">
        <v>17.73</v>
      </c>
      <c r="Z14" s="194">
        <v>18.190000000000001</v>
      </c>
      <c r="AA14" s="194">
        <v>18.670000000000002</v>
      </c>
      <c r="AB14" s="194">
        <v>19.14</v>
      </c>
      <c r="AC14" s="194">
        <v>19.63</v>
      </c>
      <c r="AD14" s="194">
        <v>20.14</v>
      </c>
      <c r="AE14" s="194">
        <v>20.57</v>
      </c>
      <c r="AF14" s="194">
        <v>21.03</v>
      </c>
      <c r="AG14" s="194">
        <v>21.51</v>
      </c>
      <c r="AH14" s="194">
        <v>22.03</v>
      </c>
      <c r="AI14" s="194">
        <v>22.59</v>
      </c>
      <c r="AJ14" s="194">
        <v>23.19</v>
      </c>
      <c r="AK14" s="194">
        <v>23.82</v>
      </c>
      <c r="AL14" s="194">
        <v>24.47</v>
      </c>
      <c r="AM14" s="194">
        <v>25.16</v>
      </c>
      <c r="AN14" s="194">
        <v>25.89</v>
      </c>
    </row>
    <row r="15" spans="1:40">
      <c r="A15" s="36" t="s">
        <v>528</v>
      </c>
      <c r="B15" s="194">
        <v>10.11</v>
      </c>
      <c r="C15" s="194">
        <v>8.43</v>
      </c>
      <c r="D15" s="194">
        <v>7.26</v>
      </c>
      <c r="E15" s="194">
        <v>6.85</v>
      </c>
      <c r="F15" s="194">
        <v>6.43</v>
      </c>
      <c r="G15" s="194">
        <v>5.96</v>
      </c>
      <c r="H15" s="194">
        <v>5.84</v>
      </c>
      <c r="I15" s="194">
        <v>5.52</v>
      </c>
      <c r="J15" s="194">
        <v>4.53</v>
      </c>
      <c r="K15" s="194">
        <v>4.6900000000000004</v>
      </c>
      <c r="L15" s="194">
        <v>4.71</v>
      </c>
      <c r="M15" s="194">
        <v>4.74</v>
      </c>
      <c r="N15" s="194">
        <v>4.7699999999999996</v>
      </c>
      <c r="O15" s="194">
        <v>4.84</v>
      </c>
      <c r="P15" s="194">
        <v>5.01</v>
      </c>
      <c r="Q15" s="194">
        <v>5.21</v>
      </c>
      <c r="R15" s="194">
        <v>5.45</v>
      </c>
      <c r="S15" s="194">
        <v>5.64</v>
      </c>
      <c r="T15" s="194">
        <v>5.88</v>
      </c>
      <c r="U15" s="194">
        <v>6.08</v>
      </c>
      <c r="V15" s="194">
        <v>6.21</v>
      </c>
      <c r="W15" s="194">
        <v>6.36</v>
      </c>
      <c r="X15" s="194">
        <v>6.52</v>
      </c>
      <c r="Y15" s="194">
        <v>6.66</v>
      </c>
      <c r="Z15" s="194">
        <v>6.83</v>
      </c>
      <c r="AA15" s="194">
        <v>7</v>
      </c>
      <c r="AB15" s="194">
        <v>7.17</v>
      </c>
      <c r="AC15" s="194">
        <v>7.34</v>
      </c>
      <c r="AD15" s="194">
        <v>7.52</v>
      </c>
      <c r="AE15" s="194">
        <v>7.63</v>
      </c>
      <c r="AF15" s="194">
        <v>7.74</v>
      </c>
      <c r="AG15" s="194">
        <v>7.85</v>
      </c>
      <c r="AH15" s="194">
        <v>7.96</v>
      </c>
      <c r="AI15" s="194">
        <v>8.08</v>
      </c>
      <c r="AJ15" s="194">
        <v>8.2100000000000009</v>
      </c>
      <c r="AK15" s="194">
        <v>8.35</v>
      </c>
      <c r="AL15" s="194">
        <v>8.49</v>
      </c>
      <c r="AM15" s="194">
        <v>8.65</v>
      </c>
      <c r="AN15" s="194">
        <v>8.82</v>
      </c>
    </row>
    <row r="16" spans="1:40">
      <c r="A16" s="36" t="s">
        <v>603</v>
      </c>
      <c r="S16" s="194">
        <v>0.63</v>
      </c>
      <c r="T16" s="194">
        <v>1.1000000000000001</v>
      </c>
      <c r="U16" s="194">
        <v>1.62</v>
      </c>
      <c r="V16" s="194">
        <v>2.14</v>
      </c>
      <c r="W16" s="194">
        <v>2.65</v>
      </c>
      <c r="X16" s="194">
        <v>3.15</v>
      </c>
      <c r="Y16" s="194">
        <v>3.95</v>
      </c>
      <c r="Z16" s="194">
        <v>4.43</v>
      </c>
      <c r="AA16" s="194">
        <v>4.9000000000000004</v>
      </c>
      <c r="AB16" s="194">
        <v>5.38</v>
      </c>
      <c r="AC16" s="194">
        <v>5.86</v>
      </c>
      <c r="AD16" s="194">
        <v>6.34</v>
      </c>
      <c r="AE16" s="194">
        <v>6.79</v>
      </c>
      <c r="AF16" s="194">
        <v>7.25</v>
      </c>
      <c r="AG16" s="194">
        <v>7.7</v>
      </c>
      <c r="AH16" s="194">
        <v>8.15</v>
      </c>
      <c r="AI16" s="194">
        <v>8.6</v>
      </c>
      <c r="AJ16" s="194">
        <v>8.86</v>
      </c>
      <c r="AK16" s="194">
        <v>9.1199999999999992</v>
      </c>
      <c r="AL16" s="194">
        <v>9.3800000000000008</v>
      </c>
      <c r="AM16" s="194">
        <v>9.64</v>
      </c>
      <c r="AN16" s="194">
        <v>9.9</v>
      </c>
    </row>
    <row r="17" spans="1:40">
      <c r="A17" s="36" t="s">
        <v>529</v>
      </c>
      <c r="B17" s="194">
        <v>84.25</v>
      </c>
      <c r="C17" s="194">
        <v>83.73</v>
      </c>
      <c r="D17" s="194">
        <v>83.25</v>
      </c>
      <c r="E17" s="194">
        <v>82.69</v>
      </c>
      <c r="F17" s="194">
        <v>81.209999999999994</v>
      </c>
      <c r="G17" s="194">
        <v>80.83</v>
      </c>
      <c r="H17" s="194">
        <v>80.180000000000007</v>
      </c>
      <c r="I17" s="194">
        <v>78.209999999999994</v>
      </c>
      <c r="J17" s="194">
        <v>76.040000000000006</v>
      </c>
      <c r="K17" s="194">
        <v>77.260000000000005</v>
      </c>
      <c r="L17" s="194">
        <v>76.540000000000006</v>
      </c>
      <c r="M17" s="194">
        <v>77.84</v>
      </c>
      <c r="N17" s="194">
        <v>78.83</v>
      </c>
      <c r="O17" s="194">
        <v>79.89</v>
      </c>
      <c r="P17" s="194">
        <v>81.33</v>
      </c>
      <c r="Q17" s="194">
        <v>83.16</v>
      </c>
      <c r="R17" s="194">
        <v>84.74</v>
      </c>
      <c r="S17" s="194">
        <v>87.09</v>
      </c>
      <c r="T17" s="194">
        <v>89.18</v>
      </c>
      <c r="U17" s="194">
        <v>91.58</v>
      </c>
      <c r="V17" s="194">
        <v>93.3</v>
      </c>
      <c r="W17" s="194">
        <v>95.88</v>
      </c>
      <c r="X17" s="194">
        <v>98.58</v>
      </c>
      <c r="Y17" s="194">
        <v>102.12</v>
      </c>
      <c r="Z17" s="194">
        <v>104.15</v>
      </c>
      <c r="AA17" s="194">
        <v>106.44</v>
      </c>
      <c r="AB17" s="194">
        <v>108.7</v>
      </c>
      <c r="AC17" s="194">
        <v>110.96</v>
      </c>
      <c r="AD17" s="194">
        <v>113.25</v>
      </c>
      <c r="AE17" s="194">
        <v>116.13</v>
      </c>
      <c r="AF17" s="194">
        <v>119.11</v>
      </c>
      <c r="AG17" s="194">
        <v>122.09</v>
      </c>
      <c r="AH17" s="194">
        <v>125.09</v>
      </c>
      <c r="AI17" s="194">
        <v>128.13</v>
      </c>
      <c r="AJ17" s="194">
        <v>131.97</v>
      </c>
      <c r="AK17" s="194">
        <v>135.72</v>
      </c>
      <c r="AL17" s="194">
        <v>139.46</v>
      </c>
      <c r="AM17" s="194">
        <v>143.13999999999999</v>
      </c>
      <c r="AN17" s="194">
        <v>146.85</v>
      </c>
    </row>
    <row r="18" spans="1:40">
      <c r="A18" s="36" t="s">
        <v>597</v>
      </c>
      <c r="B18" s="194">
        <v>21.15</v>
      </c>
      <c r="C18" s="194">
        <v>22.37</v>
      </c>
      <c r="D18" s="194">
        <v>23.86</v>
      </c>
      <c r="E18" s="194">
        <v>24.79</v>
      </c>
      <c r="F18" s="194">
        <v>25.39</v>
      </c>
      <c r="G18" s="194">
        <v>26.91</v>
      </c>
      <c r="H18" s="194">
        <v>28.69</v>
      </c>
      <c r="I18" s="194">
        <v>29.81</v>
      </c>
      <c r="J18" s="194">
        <v>28.74</v>
      </c>
      <c r="K18" s="194">
        <v>30.06</v>
      </c>
      <c r="L18" s="194">
        <v>31.41</v>
      </c>
      <c r="M18" s="194">
        <v>32.79</v>
      </c>
      <c r="N18" s="194">
        <v>34.18</v>
      </c>
      <c r="O18" s="194">
        <v>35.74</v>
      </c>
      <c r="P18" s="194">
        <v>37.880000000000003</v>
      </c>
      <c r="Q18" s="194">
        <v>40.24</v>
      </c>
      <c r="R18" s="194">
        <v>42.9</v>
      </c>
      <c r="S18" s="194">
        <v>45.9</v>
      </c>
      <c r="T18" s="194">
        <v>49.13</v>
      </c>
      <c r="U18" s="194">
        <v>52.76</v>
      </c>
      <c r="V18" s="194">
        <v>56.4</v>
      </c>
      <c r="W18" s="194">
        <v>60.42</v>
      </c>
      <c r="X18" s="194">
        <v>64.709999999999994</v>
      </c>
      <c r="Y18" s="194">
        <v>69.47</v>
      </c>
      <c r="Z18" s="194">
        <v>74.56</v>
      </c>
      <c r="AA18" s="194">
        <v>79.92</v>
      </c>
      <c r="AB18" s="194">
        <v>85.44</v>
      </c>
      <c r="AC18" s="194">
        <v>91.27</v>
      </c>
      <c r="AD18" s="194">
        <v>97.47</v>
      </c>
      <c r="AE18" s="194">
        <v>103.66</v>
      </c>
      <c r="AF18" s="194">
        <v>109.94</v>
      </c>
      <c r="AG18" s="194">
        <v>116.29</v>
      </c>
      <c r="AH18" s="194">
        <v>122.76</v>
      </c>
      <c r="AI18" s="194">
        <v>129.41999999999999</v>
      </c>
      <c r="AJ18" s="194">
        <v>136.13999999999999</v>
      </c>
      <c r="AK18" s="194">
        <v>142.99</v>
      </c>
      <c r="AL18" s="194">
        <v>149.66</v>
      </c>
      <c r="AM18" s="194">
        <v>156.57</v>
      </c>
      <c r="AN18" s="194">
        <v>163.72</v>
      </c>
    </row>
    <row r="19" spans="1:40">
      <c r="A19" s="36" t="s">
        <v>598</v>
      </c>
      <c r="B19" s="194">
        <v>135.96</v>
      </c>
      <c r="C19" s="194">
        <v>139.72999999999999</v>
      </c>
      <c r="D19" s="194">
        <v>142.69999999999999</v>
      </c>
      <c r="E19" s="194">
        <v>144.16</v>
      </c>
      <c r="F19" s="194">
        <v>145.31</v>
      </c>
      <c r="G19" s="194">
        <v>147.16</v>
      </c>
      <c r="H19" s="194">
        <v>148.75</v>
      </c>
      <c r="I19" s="194">
        <v>149.16999999999999</v>
      </c>
      <c r="J19" s="194">
        <v>138.22</v>
      </c>
      <c r="K19" s="194">
        <v>141.11000000000001</v>
      </c>
      <c r="L19" s="194">
        <v>144.02000000000001</v>
      </c>
      <c r="M19" s="194">
        <v>146.85</v>
      </c>
      <c r="N19" s="194">
        <v>149.56</v>
      </c>
      <c r="O19" s="194">
        <v>152.32</v>
      </c>
      <c r="P19" s="194">
        <v>155.71</v>
      </c>
      <c r="Q19" s="194">
        <v>158.9</v>
      </c>
      <c r="R19" s="194">
        <v>162.26</v>
      </c>
      <c r="S19" s="194">
        <v>165.94</v>
      </c>
      <c r="T19" s="194">
        <v>169.63</v>
      </c>
      <c r="U19" s="194">
        <v>174.19</v>
      </c>
      <c r="V19" s="194">
        <v>178.43</v>
      </c>
      <c r="W19" s="194">
        <v>183.19</v>
      </c>
      <c r="X19" s="194">
        <v>188.3</v>
      </c>
      <c r="Y19" s="194">
        <v>193.91</v>
      </c>
      <c r="Z19" s="194">
        <v>199.62</v>
      </c>
      <c r="AA19" s="194">
        <v>205.55</v>
      </c>
      <c r="AB19" s="194">
        <v>211.53</v>
      </c>
      <c r="AC19" s="194">
        <v>217.76</v>
      </c>
      <c r="AD19" s="194">
        <v>224.36</v>
      </c>
      <c r="AE19" s="194">
        <v>231.21</v>
      </c>
      <c r="AF19" s="194">
        <v>238.37</v>
      </c>
      <c r="AG19" s="194">
        <v>245.82</v>
      </c>
      <c r="AH19" s="194">
        <v>253.64</v>
      </c>
      <c r="AI19" s="194">
        <v>261.98</v>
      </c>
      <c r="AJ19" s="194">
        <v>270.7</v>
      </c>
      <c r="AK19" s="194">
        <v>279.86</v>
      </c>
      <c r="AL19" s="194">
        <v>289.08</v>
      </c>
      <c r="AM19" s="194">
        <v>298.81</v>
      </c>
      <c r="AN19" s="194">
        <v>309.06</v>
      </c>
    </row>
    <row r="20" spans="1:40">
      <c r="A20" s="36" t="s">
        <v>599</v>
      </c>
      <c r="B20" s="194">
        <v>11.26</v>
      </c>
      <c r="C20" s="194">
        <v>11.57</v>
      </c>
      <c r="D20" s="194">
        <v>11.91</v>
      </c>
      <c r="E20" s="194">
        <v>12.12</v>
      </c>
      <c r="F20" s="194">
        <v>12.2</v>
      </c>
      <c r="G20" s="194">
        <v>12.36</v>
      </c>
      <c r="H20" s="194">
        <v>12.64</v>
      </c>
      <c r="I20" s="194">
        <v>12.79</v>
      </c>
      <c r="J20" s="194">
        <v>12</v>
      </c>
      <c r="K20" s="194">
        <v>12.34</v>
      </c>
      <c r="L20" s="194">
        <v>12.61</v>
      </c>
      <c r="M20" s="194">
        <v>12.86</v>
      </c>
      <c r="N20" s="194">
        <v>13.09</v>
      </c>
      <c r="O20" s="194">
        <v>13.32</v>
      </c>
      <c r="P20" s="194">
        <v>13.6</v>
      </c>
      <c r="Q20" s="194">
        <v>13.87</v>
      </c>
      <c r="R20" s="194">
        <v>14.15</v>
      </c>
      <c r="S20" s="194">
        <v>14.45</v>
      </c>
      <c r="T20" s="194">
        <v>14.74</v>
      </c>
      <c r="U20" s="194">
        <v>15.11</v>
      </c>
      <c r="V20" s="194">
        <v>15.46</v>
      </c>
      <c r="W20" s="194">
        <v>15.83</v>
      </c>
      <c r="X20" s="194">
        <v>16.22</v>
      </c>
      <c r="Y20" s="194">
        <v>16.63</v>
      </c>
      <c r="Z20" s="194">
        <v>17.04</v>
      </c>
      <c r="AA20" s="194">
        <v>17.47</v>
      </c>
      <c r="AB20" s="194">
        <v>17.89</v>
      </c>
      <c r="AC20" s="194">
        <v>18.329999999999998</v>
      </c>
      <c r="AD20" s="194">
        <v>18.8</v>
      </c>
      <c r="AE20" s="194">
        <v>19.29</v>
      </c>
      <c r="AF20" s="194">
        <v>19.79</v>
      </c>
      <c r="AG20" s="194">
        <v>20.29</v>
      </c>
      <c r="AH20" s="194">
        <v>20.8</v>
      </c>
      <c r="AI20" s="194">
        <v>21.32</v>
      </c>
      <c r="AJ20" s="194">
        <v>21.84</v>
      </c>
      <c r="AK20" s="194">
        <v>22.38</v>
      </c>
      <c r="AL20" s="194">
        <v>22.91</v>
      </c>
      <c r="AM20" s="194">
        <v>23.46</v>
      </c>
      <c r="AN20" s="194">
        <v>24.05</v>
      </c>
    </row>
    <row r="21" spans="1:40">
      <c r="A21" s="36" t="s">
        <v>600</v>
      </c>
      <c r="B21" s="194">
        <v>1.1399999999999999</v>
      </c>
      <c r="C21" s="194">
        <v>1.1599999999999999</v>
      </c>
      <c r="D21" s="194">
        <v>1.1399999999999999</v>
      </c>
      <c r="E21" s="194">
        <v>1.1299999999999999</v>
      </c>
      <c r="F21" s="194">
        <v>1.1499999999999999</v>
      </c>
      <c r="G21" s="194">
        <v>1.1499999999999999</v>
      </c>
      <c r="H21" s="194">
        <v>1.1200000000000001</v>
      </c>
      <c r="I21" s="194">
        <v>1.0900000000000001</v>
      </c>
      <c r="J21" s="194">
        <v>0.99</v>
      </c>
      <c r="K21" s="194">
        <v>0.99</v>
      </c>
      <c r="L21" s="194">
        <v>1</v>
      </c>
      <c r="M21" s="194">
        <v>1.02</v>
      </c>
      <c r="N21" s="194">
        <v>1.03</v>
      </c>
      <c r="O21" s="194">
        <v>1.05</v>
      </c>
      <c r="P21" s="194">
        <v>1.07</v>
      </c>
      <c r="Q21" s="194">
        <v>1.0900000000000001</v>
      </c>
      <c r="R21" s="194">
        <v>1.1100000000000001</v>
      </c>
      <c r="S21" s="194">
        <v>1.1399999999999999</v>
      </c>
      <c r="T21" s="194">
        <v>1.1599999999999999</v>
      </c>
      <c r="U21" s="194">
        <v>1.2</v>
      </c>
      <c r="V21" s="194">
        <v>1.23</v>
      </c>
      <c r="W21" s="194">
        <v>1.27</v>
      </c>
      <c r="X21" s="194">
        <v>1.31</v>
      </c>
      <c r="Y21" s="194">
        <v>1.36</v>
      </c>
      <c r="Z21" s="194">
        <v>1.42</v>
      </c>
      <c r="AA21" s="194">
        <v>1.47</v>
      </c>
      <c r="AB21" s="194">
        <v>1.53</v>
      </c>
      <c r="AC21" s="194">
        <v>1.58</v>
      </c>
      <c r="AD21" s="194">
        <v>1.65</v>
      </c>
      <c r="AE21" s="194">
        <v>1.71</v>
      </c>
      <c r="AF21" s="194">
        <v>1.79</v>
      </c>
      <c r="AG21" s="194">
        <v>1.87</v>
      </c>
      <c r="AH21" s="194">
        <v>1.95</v>
      </c>
      <c r="AI21" s="194">
        <v>2.0499999999999998</v>
      </c>
      <c r="AJ21" s="194">
        <v>2.16</v>
      </c>
      <c r="AK21" s="194">
        <v>2.2799999999999998</v>
      </c>
      <c r="AL21" s="194">
        <v>2.4</v>
      </c>
      <c r="AM21" s="194">
        <v>2.5299999999999998</v>
      </c>
      <c r="AN21" s="194">
        <v>2.66</v>
      </c>
    </row>
    <row r="22" spans="1:40">
      <c r="A22" s="36" t="s">
        <v>530</v>
      </c>
      <c r="B22" s="194">
        <v>27.52</v>
      </c>
      <c r="C22" s="194">
        <v>27.49</v>
      </c>
      <c r="D22" s="194">
        <v>27.45</v>
      </c>
      <c r="E22" s="194">
        <v>27.42</v>
      </c>
      <c r="F22" s="194">
        <v>27.39</v>
      </c>
      <c r="G22" s="194">
        <v>27.36</v>
      </c>
      <c r="H22" s="194">
        <v>27.33</v>
      </c>
      <c r="I22" s="194">
        <v>27.24</v>
      </c>
      <c r="J22" s="194">
        <v>27.16</v>
      </c>
      <c r="K22" s="194">
        <v>26.07</v>
      </c>
      <c r="L22" s="194">
        <v>25.79</v>
      </c>
      <c r="M22" s="194">
        <v>25.7</v>
      </c>
      <c r="N22" s="194">
        <v>25.62</v>
      </c>
      <c r="O22" s="194">
        <v>24.83</v>
      </c>
      <c r="P22" s="194">
        <v>22.54</v>
      </c>
      <c r="Q22" s="194">
        <v>20.239999999999998</v>
      </c>
      <c r="R22" s="194">
        <v>17.95</v>
      </c>
      <c r="S22" s="194">
        <v>15.66</v>
      </c>
      <c r="T22" s="194">
        <v>13.37</v>
      </c>
      <c r="U22" s="194">
        <v>12.37</v>
      </c>
      <c r="V22" s="194">
        <v>11.37</v>
      </c>
      <c r="W22" s="194">
        <v>10.37</v>
      </c>
      <c r="X22" s="194">
        <v>9.3699999999999992</v>
      </c>
      <c r="Y22" s="194">
        <v>8.41</v>
      </c>
      <c r="Z22" s="194">
        <v>7.24</v>
      </c>
      <c r="AA22" s="194">
        <v>6.06</v>
      </c>
      <c r="AB22" s="194">
        <v>4.88</v>
      </c>
      <c r="AC22" s="194">
        <v>3.7</v>
      </c>
      <c r="AD22" s="194">
        <v>2.52</v>
      </c>
      <c r="AE22" s="194">
        <v>2.52</v>
      </c>
      <c r="AF22" s="194">
        <v>2.52</v>
      </c>
      <c r="AG22" s="194">
        <v>2.52</v>
      </c>
      <c r="AH22" s="194">
        <v>2.52</v>
      </c>
      <c r="AI22" s="194">
        <v>2.52</v>
      </c>
      <c r="AJ22" s="194">
        <v>2.52</v>
      </c>
      <c r="AK22" s="194">
        <v>2.52</v>
      </c>
      <c r="AL22" s="194">
        <v>2.52</v>
      </c>
      <c r="AM22" s="194">
        <v>2.52</v>
      </c>
      <c r="AN22" s="194">
        <v>2.52</v>
      </c>
    </row>
    <row r="23" spans="1:40">
      <c r="A23" s="36" t="s">
        <v>604</v>
      </c>
      <c r="B23" s="194">
        <v>66.42</v>
      </c>
      <c r="C23" s="194">
        <v>65.98</v>
      </c>
      <c r="D23" s="194">
        <v>65.72</v>
      </c>
      <c r="E23" s="194">
        <v>65.459999999999994</v>
      </c>
      <c r="F23" s="194">
        <v>64.28</v>
      </c>
      <c r="G23" s="194">
        <v>63.85</v>
      </c>
      <c r="H23" s="194">
        <v>63.13</v>
      </c>
      <c r="I23" s="194">
        <v>62.24</v>
      </c>
      <c r="J23" s="194">
        <v>61.58</v>
      </c>
      <c r="K23" s="194">
        <v>60.37</v>
      </c>
      <c r="L23" s="194">
        <v>60.1</v>
      </c>
      <c r="M23" s="194">
        <v>59.84</v>
      </c>
      <c r="N23" s="194">
        <v>59.34</v>
      </c>
      <c r="O23" s="194">
        <v>58.75</v>
      </c>
      <c r="P23" s="194">
        <v>56.4</v>
      </c>
      <c r="Q23" s="194">
        <v>53.36</v>
      </c>
      <c r="R23" s="194">
        <v>50.36</v>
      </c>
      <c r="S23" s="194">
        <v>46.96</v>
      </c>
      <c r="T23" s="194">
        <v>43.51</v>
      </c>
      <c r="U23" s="194">
        <v>43.76</v>
      </c>
      <c r="V23" s="194">
        <v>42.68</v>
      </c>
      <c r="W23" s="194">
        <v>42.31</v>
      </c>
      <c r="X23" s="194">
        <v>41.94</v>
      </c>
      <c r="Y23" s="194">
        <v>41.15</v>
      </c>
      <c r="Z23" s="194">
        <v>39.86</v>
      </c>
      <c r="AA23" s="194">
        <v>38.57</v>
      </c>
      <c r="AB23" s="194">
        <v>37.28</v>
      </c>
      <c r="AC23" s="194">
        <v>36</v>
      </c>
      <c r="AD23" s="194">
        <v>34.71</v>
      </c>
      <c r="AE23" s="194">
        <v>34.86</v>
      </c>
      <c r="AF23" s="194">
        <v>35.01</v>
      </c>
      <c r="AG23" s="194">
        <v>35.15</v>
      </c>
      <c r="AH23" s="194">
        <v>35.299999999999997</v>
      </c>
      <c r="AI23" s="194">
        <v>35.450000000000003</v>
      </c>
      <c r="AJ23" s="194">
        <v>35.75</v>
      </c>
      <c r="AK23" s="194">
        <v>36.04</v>
      </c>
      <c r="AL23" s="194">
        <v>36.340000000000003</v>
      </c>
      <c r="AM23" s="194">
        <v>36.64</v>
      </c>
      <c r="AN23" s="194">
        <v>36.93</v>
      </c>
    </row>
    <row r="41" spans="1:39">
      <c r="A41" s="139"/>
      <c r="B41" s="139"/>
      <c r="C41" s="139"/>
      <c r="D41" s="139"/>
      <c r="E41" s="139"/>
      <c r="F41" s="139"/>
      <c r="G41" s="139"/>
      <c r="H41" s="139"/>
      <c r="I41" s="139"/>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4">
        <v>52325.432882070083</v>
      </c>
      <c r="B43" s="194">
        <v>53104.386458423345</v>
      </c>
      <c r="C43" s="194">
        <v>53912.365691429273</v>
      </c>
      <c r="D43" s="194">
        <v>54750.491457321114</v>
      </c>
      <c r="E43" s="194">
        <v>55619.940469824825</v>
      </c>
      <c r="F43" s="194">
        <v>56521.948041648095</v>
      </c>
      <c r="G43" s="194">
        <v>57436.000617299658</v>
      </c>
      <c r="H43" s="194">
        <v>58364.834921819442</v>
      </c>
      <c r="I43" s="194">
        <v>59308.69</v>
      </c>
      <c r="J43" s="194">
        <v>59991.580449204266</v>
      </c>
      <c r="K43" s="194">
        <v>60682.333816399376</v>
      </c>
      <c r="L43" s="194">
        <v>61381.040636574369</v>
      </c>
      <c r="M43" s="194">
        <v>62087.792487153696</v>
      </c>
      <c r="N43" s="194">
        <v>62802.682000000023</v>
      </c>
      <c r="O43" s="194">
        <v>63421.065342005146</v>
      </c>
      <c r="P43" s="194">
        <v>64045.537563425794</v>
      </c>
      <c r="Q43" s="194">
        <v>64676.158618096451</v>
      </c>
      <c r="R43" s="194">
        <v>65312.989050183925</v>
      </c>
      <c r="S43" s="194">
        <v>65956.09</v>
      </c>
      <c r="T43" s="194">
        <v>66518.97719068767</v>
      </c>
      <c r="U43" s="194">
        <v>67086.668213583107</v>
      </c>
      <c r="V43" s="194">
        <v>67659.20406589545</v>
      </c>
      <c r="W43" s="194">
        <v>68236.62609471516</v>
      </c>
      <c r="X43" s="194">
        <v>68818.97600000001</v>
      </c>
      <c r="Y43" s="194">
        <v>69322.810489383541</v>
      </c>
      <c r="Z43" s="194">
        <v>69830.333629884059</v>
      </c>
      <c r="AA43" s="194">
        <v>70341.572426693441</v>
      </c>
      <c r="AB43" s="194">
        <v>70856.554082712813</v>
      </c>
      <c r="AC43" s="194">
        <v>71375.305999999997</v>
      </c>
      <c r="AD43" s="194">
        <v>71818.612994947311</v>
      </c>
      <c r="AE43" s="194">
        <v>72264.673338395412</v>
      </c>
      <c r="AF43" s="194">
        <v>72713.504131197798</v>
      </c>
      <c r="AG43" s="194">
        <v>73165.122580420139</v>
      </c>
      <c r="AH43" s="194">
        <v>73619.545999999973</v>
      </c>
      <c r="AI43" s="194">
        <v>73995.362001779533</v>
      </c>
      <c r="AJ43" s="194">
        <v>74373.096484110356</v>
      </c>
      <c r="AK43" s="194">
        <v>74752.759240528656</v>
      </c>
      <c r="AL43" s="194">
        <v>75134.360114565105</v>
      </c>
      <c r="AM43" s="194">
        <v>75517.908999999985</v>
      </c>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4">
        <v>0.50003199863472492</v>
      </c>
      <c r="C61" s="194">
        <v>0.49674335943460585</v>
      </c>
      <c r="D61" s="194">
        <v>0.48822868689454441</v>
      </c>
      <c r="E61" s="194">
        <v>0.48147500627885365</v>
      </c>
      <c r="F61" s="194">
        <v>0.47737656478533347</v>
      </c>
      <c r="G61" s="194">
        <v>0.47023794558911891</v>
      </c>
      <c r="H61" s="194">
        <v>0.46353394236211087</v>
      </c>
      <c r="I61" s="194">
        <v>0.46108769196199162</v>
      </c>
      <c r="J61" s="194">
        <v>0.47398769619141334</v>
      </c>
      <c r="K61" s="194">
        <v>0.48802294893321585</v>
      </c>
      <c r="L61" s="194">
        <v>0.48160744524963783</v>
      </c>
      <c r="M61" s="194">
        <v>0.47529731801684205</v>
      </c>
      <c r="N61" s="194">
        <v>0.4689535605229086</v>
      </c>
      <c r="O61" s="194">
        <v>0.46306118439391969</v>
      </c>
      <c r="P61" s="194">
        <v>0.4555068405538002</v>
      </c>
      <c r="Q61" s="194">
        <v>0.44739940977174142</v>
      </c>
      <c r="R61" s="194">
        <v>0.43930961502928784</v>
      </c>
      <c r="S61" s="194">
        <v>0.43052643049427919</v>
      </c>
      <c r="T61" s="194">
        <v>0.42216842844292707</v>
      </c>
      <c r="U61" s="194">
        <v>0.4135496006513194</v>
      </c>
      <c r="V61" s="194">
        <v>0.40521721442606407</v>
      </c>
      <c r="W61" s="194">
        <v>0.39683874390439688</v>
      </c>
      <c r="X61" s="194">
        <v>0.38789767317654972</v>
      </c>
      <c r="Y61" s="194">
        <v>0.37860953755372506</v>
      </c>
      <c r="Z61" s="194">
        <v>0.3694539819598327</v>
      </c>
      <c r="AA61" s="194">
        <v>0.36068644391934845</v>
      </c>
      <c r="AB61" s="194">
        <v>0.35227821304680329</v>
      </c>
      <c r="AC61" s="194">
        <v>0.34415250138874304</v>
      </c>
      <c r="AD61" s="194">
        <v>0.33605734555939903</v>
      </c>
      <c r="AE61" s="194">
        <v>0.32771224641837343</v>
      </c>
      <c r="AF61" s="194">
        <v>0.3195955838917251</v>
      </c>
      <c r="AG61" s="194">
        <v>0.31161667472449101</v>
      </c>
      <c r="AH61" s="194">
        <v>0.30376621559511952</v>
      </c>
      <c r="AI61" s="194">
        <v>0.29595650938485324</v>
      </c>
      <c r="AJ61" s="194">
        <v>0.28826782153236025</v>
      </c>
      <c r="AK61" s="194">
        <v>0.28068634430159989</v>
      </c>
      <c r="AL61" s="194">
        <v>0.27343643787439709</v>
      </c>
      <c r="AM61" s="194">
        <v>0.2664185400721153</v>
      </c>
      <c r="AN61" s="194">
        <v>0.25945257650105208</v>
      </c>
    </row>
    <row r="62" spans="1:40">
      <c r="A62" s="36" t="s">
        <v>276</v>
      </c>
      <c r="B62" s="194">
        <v>0.30001919918083497</v>
      </c>
      <c r="C62" s="194">
        <v>0.29644362454654938</v>
      </c>
      <c r="D62" s="194">
        <v>0.29989890368726985</v>
      </c>
      <c r="E62" s="194">
        <v>0.30319595185227072</v>
      </c>
      <c r="F62" s="194">
        <v>0.30522800836475233</v>
      </c>
      <c r="G62" s="194">
        <v>0.30605482173653453</v>
      </c>
      <c r="H62" s="194">
        <v>0.30932373575545163</v>
      </c>
      <c r="I62" s="194">
        <v>0.31228368417755731</v>
      </c>
      <c r="J62" s="194">
        <v>0.32375163521226069</v>
      </c>
      <c r="K62" s="194">
        <v>0.30681637697278535</v>
      </c>
      <c r="L62" s="194">
        <v>0.30899051207902728</v>
      </c>
      <c r="M62" s="194">
        <v>0.31073061540438202</v>
      </c>
      <c r="N62" s="194">
        <v>0.31288111144304859</v>
      </c>
      <c r="O62" s="194">
        <v>0.31491255593475925</v>
      </c>
      <c r="P62" s="194">
        <v>0.31628939074725432</v>
      </c>
      <c r="Q62" s="194">
        <v>0.31847593645969752</v>
      </c>
      <c r="R62" s="194">
        <v>0.32044792827503243</v>
      </c>
      <c r="S62" s="194">
        <v>0.32217124766279381</v>
      </c>
      <c r="T62" s="194">
        <v>0.32472047549482769</v>
      </c>
      <c r="U62" s="194">
        <v>0.32634303861147274</v>
      </c>
      <c r="V62" s="194">
        <v>0.32889986401097365</v>
      </c>
      <c r="W62" s="194">
        <v>0.33081335717795152</v>
      </c>
      <c r="X62" s="194">
        <v>0.33290577410474198</v>
      </c>
      <c r="Y62" s="194">
        <v>0.3350106446536113</v>
      </c>
      <c r="Z62" s="194">
        <v>0.33736398356282593</v>
      </c>
      <c r="AA62" s="194">
        <v>0.33948242167787424</v>
      </c>
      <c r="AB62" s="194">
        <v>0.34168685597597181</v>
      </c>
      <c r="AC62" s="194">
        <v>0.34372210155141747</v>
      </c>
      <c r="AD62" s="194">
        <v>0.34569570470434441</v>
      </c>
      <c r="AE62" s="194">
        <v>0.3473542306386222</v>
      </c>
      <c r="AF62" s="194">
        <v>0.34891157351144181</v>
      </c>
      <c r="AG62" s="194">
        <v>0.35047596741434678</v>
      </c>
      <c r="AH62" s="194">
        <v>0.3520351033371365</v>
      </c>
      <c r="AI62" s="194">
        <v>0.35353162196051169</v>
      </c>
      <c r="AJ62" s="194">
        <v>0.35519503153173082</v>
      </c>
      <c r="AK62" s="194">
        <v>0.35685939070599704</v>
      </c>
      <c r="AL62" s="194">
        <v>0.35861453802253224</v>
      </c>
      <c r="AM62" s="194">
        <v>0.36021589852188485</v>
      </c>
      <c r="AN62" s="194">
        <v>0.36180135191051532</v>
      </c>
    </row>
    <row r="63" spans="1:40">
      <c r="A63" s="36" t="s">
        <v>277</v>
      </c>
      <c r="B63" s="194">
        <v>0.19994880218444011</v>
      </c>
      <c r="C63" s="194">
        <v>0.20681301601884478</v>
      </c>
      <c r="D63" s="194">
        <v>0.21187240941818569</v>
      </c>
      <c r="E63" s="194">
        <v>0.21532904186887569</v>
      </c>
      <c r="F63" s="194">
        <v>0.21739542684991425</v>
      </c>
      <c r="G63" s="194">
        <v>0.22370723267434656</v>
      </c>
      <c r="H63" s="194">
        <v>0.22714232188243744</v>
      </c>
      <c r="I63" s="194">
        <v>0.22662862386045102</v>
      </c>
      <c r="J63" s="194">
        <v>0.20226066859632597</v>
      </c>
      <c r="K63" s="194">
        <v>0.20516067409399874</v>
      </c>
      <c r="L63" s="194">
        <v>0.20940204267133489</v>
      </c>
      <c r="M63" s="194">
        <v>0.21397206657877588</v>
      </c>
      <c r="N63" s="194">
        <v>0.21816532803404287</v>
      </c>
      <c r="O63" s="194">
        <v>0.22202625967132111</v>
      </c>
      <c r="P63" s="194">
        <v>0.22820376869894543</v>
      </c>
      <c r="Q63" s="194">
        <v>0.23412465376856106</v>
      </c>
      <c r="R63" s="194">
        <v>0.24024245669567973</v>
      </c>
      <c r="S63" s="194">
        <v>0.247302321842927</v>
      </c>
      <c r="T63" s="194">
        <v>0.2531110960622453</v>
      </c>
      <c r="U63" s="194">
        <v>0.26010736073720786</v>
      </c>
      <c r="V63" s="194">
        <v>0.26588292156296223</v>
      </c>
      <c r="W63" s="194">
        <v>0.27234789891765165</v>
      </c>
      <c r="X63" s="194">
        <v>0.2791965527187083</v>
      </c>
      <c r="Y63" s="194">
        <v>0.28637981779266364</v>
      </c>
      <c r="Z63" s="194">
        <v>0.29318203447734137</v>
      </c>
      <c r="AA63" s="194">
        <v>0.29983113440277731</v>
      </c>
      <c r="AB63" s="194">
        <v>0.30603493097722489</v>
      </c>
      <c r="AC63" s="194">
        <v>0.31212539705983949</v>
      </c>
      <c r="AD63" s="194">
        <v>0.31824694973625656</v>
      </c>
      <c r="AE63" s="194">
        <v>0.32493352294300443</v>
      </c>
      <c r="AF63" s="194">
        <v>0.33149284259683304</v>
      </c>
      <c r="AG63" s="194">
        <v>0.33790735786116227</v>
      </c>
      <c r="AH63" s="194">
        <v>0.34419868106774398</v>
      </c>
      <c r="AI63" s="194">
        <v>0.35051186865463507</v>
      </c>
      <c r="AJ63" s="194">
        <v>0.35653714693590893</v>
      </c>
      <c r="AK63" s="194">
        <v>0.36245426499240307</v>
      </c>
      <c r="AL63" s="194">
        <v>0.36794902410307062</v>
      </c>
      <c r="AM63" s="194">
        <v>0.37336556140599986</v>
      </c>
      <c r="AN63" s="194">
        <v>0.3787460715884326</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194">
        <v>0.29299999999999998</v>
      </c>
      <c r="B71" s="194">
        <v>0.29799999999999999</v>
      </c>
      <c r="C71" s="194">
        <v>0.30099999999999999</v>
      </c>
      <c r="D71" s="194">
        <v>0.30299999999999999</v>
      </c>
      <c r="E71" s="194">
        <v>0.30299999999999999</v>
      </c>
      <c r="F71" s="194">
        <v>0.307</v>
      </c>
      <c r="G71" s="194">
        <v>0.308</v>
      </c>
      <c r="H71" s="194">
        <v>0.30599999999999999</v>
      </c>
      <c r="I71" s="194">
        <v>0.27900000000000003</v>
      </c>
      <c r="J71" s="194">
        <v>0.28599999999999998</v>
      </c>
      <c r="K71" s="194">
        <v>0.28899999999999998</v>
      </c>
      <c r="L71" s="194">
        <v>0.29299999999999998</v>
      </c>
      <c r="M71" s="194">
        <v>0.29599999999999999</v>
      </c>
      <c r="N71" s="194">
        <v>0.29899999999999999</v>
      </c>
      <c r="O71" s="194">
        <v>0.30399999999999999</v>
      </c>
      <c r="P71" s="194">
        <v>0.308</v>
      </c>
      <c r="Q71" s="194">
        <v>0.313</v>
      </c>
      <c r="R71" s="194">
        <v>0.31900000000000001</v>
      </c>
      <c r="S71" s="194">
        <v>0.32300000000000001</v>
      </c>
      <c r="T71" s="194">
        <v>0.33</v>
      </c>
      <c r="U71" s="194">
        <v>0.33600000000000002</v>
      </c>
      <c r="V71" s="194">
        <v>0.34300000000000003</v>
      </c>
      <c r="W71" s="194">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6" t="s">
        <v>275</v>
      </c>
      <c r="B102" s="36" t="s">
        <v>531</v>
      </c>
      <c r="C102" s="194" t="s">
        <v>395</v>
      </c>
      <c r="D102" s="194" t="s">
        <v>395</v>
      </c>
      <c r="E102" s="194" t="s">
        <v>395</v>
      </c>
      <c r="F102" s="194" t="s">
        <v>395</v>
      </c>
      <c r="G102" s="194" t="s">
        <v>395</v>
      </c>
      <c r="H102" s="194" t="s">
        <v>395</v>
      </c>
      <c r="I102" s="194" t="s">
        <v>395</v>
      </c>
      <c r="J102" s="194" t="s">
        <v>395</v>
      </c>
      <c r="K102" s="194" t="s">
        <v>395</v>
      </c>
      <c r="L102" s="194" t="s">
        <v>395</v>
      </c>
      <c r="M102" s="194" t="s">
        <v>395</v>
      </c>
      <c r="N102" s="194" t="s">
        <v>395</v>
      </c>
      <c r="O102" s="194" t="s">
        <v>395</v>
      </c>
      <c r="P102" s="194" t="s">
        <v>395</v>
      </c>
      <c r="Q102" s="194" t="s">
        <v>395</v>
      </c>
      <c r="R102" s="194" t="s">
        <v>395</v>
      </c>
      <c r="S102" s="194" t="s">
        <v>395</v>
      </c>
      <c r="T102" s="194" t="s">
        <v>395</v>
      </c>
      <c r="U102" s="194" t="s">
        <v>395</v>
      </c>
      <c r="V102" s="194" t="s">
        <v>395</v>
      </c>
      <c r="W102" s="194" t="s">
        <v>395</v>
      </c>
      <c r="X102" s="194" t="s">
        <v>395</v>
      </c>
      <c r="Y102" s="194" t="s">
        <v>395</v>
      </c>
      <c r="Z102" s="194" t="s">
        <v>395</v>
      </c>
      <c r="AA102" s="194" t="s">
        <v>395</v>
      </c>
      <c r="AB102" s="194" t="s">
        <v>395</v>
      </c>
      <c r="AC102" s="194" t="s">
        <v>395</v>
      </c>
      <c r="AD102" s="194" t="s">
        <v>395</v>
      </c>
      <c r="AE102" s="194" t="s">
        <v>395</v>
      </c>
      <c r="AF102" s="194" t="s">
        <v>395</v>
      </c>
      <c r="AG102" s="194" t="s">
        <v>395</v>
      </c>
      <c r="AH102" s="194" t="s">
        <v>395</v>
      </c>
      <c r="AI102" s="194" t="s">
        <v>395</v>
      </c>
      <c r="AJ102" s="194" t="s">
        <v>395</v>
      </c>
      <c r="AK102" s="194" t="s">
        <v>395</v>
      </c>
      <c r="AL102" s="194" t="s">
        <v>395</v>
      </c>
      <c r="AM102" s="194" t="s">
        <v>395</v>
      </c>
      <c r="AN102" s="194" t="s">
        <v>395</v>
      </c>
      <c r="AO102" s="194" t="s">
        <v>395</v>
      </c>
    </row>
    <row r="103" spans="1:47">
      <c r="A103" s="36" t="s">
        <v>275</v>
      </c>
      <c r="B103" s="36" t="s">
        <v>532</v>
      </c>
      <c r="C103" s="194" t="s">
        <v>395</v>
      </c>
      <c r="D103" s="194" t="s">
        <v>395</v>
      </c>
      <c r="E103" s="194" t="s">
        <v>395</v>
      </c>
      <c r="F103" s="194" t="s">
        <v>395</v>
      </c>
      <c r="G103" s="194" t="s">
        <v>395</v>
      </c>
      <c r="H103" s="194" t="s">
        <v>395</v>
      </c>
      <c r="I103" s="194" t="s">
        <v>395</v>
      </c>
      <c r="J103" s="194" t="s">
        <v>395</v>
      </c>
      <c r="K103" s="194" t="s">
        <v>395</v>
      </c>
      <c r="L103" s="194" t="s">
        <v>395</v>
      </c>
      <c r="M103" s="194" t="s">
        <v>395</v>
      </c>
      <c r="N103" s="194" t="s">
        <v>395</v>
      </c>
      <c r="O103" s="194" t="s">
        <v>395</v>
      </c>
      <c r="P103" s="194" t="s">
        <v>395</v>
      </c>
      <c r="Q103" s="194" t="s">
        <v>395</v>
      </c>
      <c r="R103" s="194" t="s">
        <v>395</v>
      </c>
      <c r="S103" s="194" t="s">
        <v>395</v>
      </c>
      <c r="T103" s="194" t="s">
        <v>395</v>
      </c>
      <c r="U103" s="194" t="s">
        <v>395</v>
      </c>
      <c r="V103" s="194" t="s">
        <v>395</v>
      </c>
      <c r="W103" s="194" t="s">
        <v>395</v>
      </c>
      <c r="X103" s="194" t="s">
        <v>395</v>
      </c>
      <c r="Y103" s="194" t="s">
        <v>395</v>
      </c>
      <c r="Z103" s="194" t="s">
        <v>395</v>
      </c>
      <c r="AA103" s="194" t="s">
        <v>395</v>
      </c>
      <c r="AB103" s="194" t="s">
        <v>395</v>
      </c>
      <c r="AC103" s="194" t="s">
        <v>395</v>
      </c>
      <c r="AD103" s="194" t="s">
        <v>395</v>
      </c>
      <c r="AE103" s="194" t="s">
        <v>395</v>
      </c>
      <c r="AF103" s="194" t="s">
        <v>395</v>
      </c>
      <c r="AG103" s="194" t="s">
        <v>395</v>
      </c>
      <c r="AH103" s="194" t="s">
        <v>395</v>
      </c>
      <c r="AI103" s="194" t="s">
        <v>395</v>
      </c>
      <c r="AJ103" s="194" t="s">
        <v>395</v>
      </c>
      <c r="AK103" s="194" t="s">
        <v>395</v>
      </c>
      <c r="AL103" s="194" t="s">
        <v>395</v>
      </c>
      <c r="AM103" s="194" t="s">
        <v>395</v>
      </c>
      <c r="AN103" s="194" t="s">
        <v>395</v>
      </c>
      <c r="AO103" s="194" t="s">
        <v>395</v>
      </c>
    </row>
    <row r="104" spans="1:47">
      <c r="A104" s="36" t="s">
        <v>275</v>
      </c>
      <c r="B104" s="36" t="s">
        <v>533</v>
      </c>
      <c r="C104" s="194" t="s">
        <v>395</v>
      </c>
      <c r="D104" s="194" t="s">
        <v>395</v>
      </c>
      <c r="E104" s="194" t="s">
        <v>395</v>
      </c>
      <c r="F104" s="194" t="s">
        <v>395</v>
      </c>
      <c r="G104" s="194" t="s">
        <v>395</v>
      </c>
      <c r="H104" s="194" t="s">
        <v>395</v>
      </c>
      <c r="I104" s="194" t="s">
        <v>395</v>
      </c>
      <c r="J104" s="194" t="s">
        <v>395</v>
      </c>
      <c r="K104" s="194" t="s">
        <v>395</v>
      </c>
      <c r="L104" s="194" t="s">
        <v>395</v>
      </c>
      <c r="M104" s="194" t="s">
        <v>395</v>
      </c>
      <c r="N104" s="194" t="s">
        <v>395</v>
      </c>
      <c r="O104" s="194" t="s">
        <v>395</v>
      </c>
      <c r="P104" s="194" t="s">
        <v>395</v>
      </c>
      <c r="Q104" s="194" t="s">
        <v>395</v>
      </c>
      <c r="R104" s="194" t="s">
        <v>395</v>
      </c>
      <c r="S104" s="194" t="s">
        <v>395</v>
      </c>
      <c r="T104" s="194" t="s">
        <v>395</v>
      </c>
      <c r="U104" s="194" t="s">
        <v>395</v>
      </c>
      <c r="V104" s="194" t="s">
        <v>395</v>
      </c>
      <c r="W104" s="194" t="s">
        <v>395</v>
      </c>
      <c r="X104" s="194" t="s">
        <v>395</v>
      </c>
      <c r="Y104" s="194" t="s">
        <v>395</v>
      </c>
      <c r="Z104" s="194" t="s">
        <v>395</v>
      </c>
      <c r="AA104" s="194" t="s">
        <v>395</v>
      </c>
      <c r="AB104" s="194" t="s">
        <v>395</v>
      </c>
      <c r="AC104" s="194" t="s">
        <v>395</v>
      </c>
      <c r="AD104" s="194" t="s">
        <v>395</v>
      </c>
      <c r="AE104" s="194" t="s">
        <v>395</v>
      </c>
      <c r="AF104" s="194" t="s">
        <v>395</v>
      </c>
      <c r="AG104" s="194" t="s">
        <v>395</v>
      </c>
      <c r="AH104" s="194" t="s">
        <v>395</v>
      </c>
      <c r="AI104" s="194" t="s">
        <v>395</v>
      </c>
      <c r="AJ104" s="194" t="s">
        <v>395</v>
      </c>
      <c r="AK104" s="194" t="s">
        <v>395</v>
      </c>
      <c r="AL104" s="194" t="s">
        <v>395</v>
      </c>
      <c r="AM104" s="194" t="s">
        <v>395</v>
      </c>
      <c r="AN104" s="194" t="s">
        <v>395</v>
      </c>
      <c r="AO104" s="194" t="s">
        <v>395</v>
      </c>
    </row>
    <row r="105" spans="1:47">
      <c r="A105" s="36" t="s">
        <v>275</v>
      </c>
      <c r="B105" s="36" t="s">
        <v>534</v>
      </c>
      <c r="C105" s="194" t="s">
        <v>395</v>
      </c>
      <c r="D105" s="194" t="s">
        <v>395</v>
      </c>
      <c r="E105" s="194" t="s">
        <v>395</v>
      </c>
      <c r="F105" s="194" t="s">
        <v>395</v>
      </c>
      <c r="G105" s="194" t="s">
        <v>395</v>
      </c>
      <c r="H105" s="194" t="s">
        <v>395</v>
      </c>
      <c r="I105" s="194" t="s">
        <v>395</v>
      </c>
      <c r="J105" s="194" t="s">
        <v>395</v>
      </c>
      <c r="K105" s="194" t="s">
        <v>395</v>
      </c>
      <c r="L105" s="194" t="s">
        <v>395</v>
      </c>
      <c r="M105" s="194" t="s">
        <v>395</v>
      </c>
      <c r="N105" s="194" t="s">
        <v>395</v>
      </c>
      <c r="O105" s="194" t="s">
        <v>395</v>
      </c>
      <c r="P105" s="194" t="s">
        <v>395</v>
      </c>
      <c r="Q105" s="194" t="s">
        <v>395</v>
      </c>
      <c r="R105" s="194" t="s">
        <v>395</v>
      </c>
      <c r="S105" s="194" t="s">
        <v>395</v>
      </c>
      <c r="T105" s="194" t="s">
        <v>395</v>
      </c>
      <c r="U105" s="194" t="s">
        <v>395</v>
      </c>
      <c r="V105" s="194" t="s">
        <v>395</v>
      </c>
      <c r="W105" s="194" t="s">
        <v>395</v>
      </c>
      <c r="X105" s="194" t="s">
        <v>395</v>
      </c>
      <c r="Y105" s="194" t="s">
        <v>395</v>
      </c>
      <c r="Z105" s="194" t="s">
        <v>395</v>
      </c>
    </row>
    <row r="106" spans="1:47">
      <c r="A106" s="36" t="s">
        <v>275</v>
      </c>
      <c r="B106" s="36" t="s">
        <v>535</v>
      </c>
      <c r="C106" s="194" t="s">
        <v>395</v>
      </c>
      <c r="D106" s="194" t="s">
        <v>395</v>
      </c>
      <c r="E106" s="194" t="s">
        <v>395</v>
      </c>
      <c r="F106" s="194" t="s">
        <v>395</v>
      </c>
      <c r="G106" s="194" t="s">
        <v>395</v>
      </c>
      <c r="H106" s="194" t="s">
        <v>395</v>
      </c>
      <c r="I106" s="194" t="s">
        <v>395</v>
      </c>
      <c r="J106" s="194" t="s">
        <v>395</v>
      </c>
      <c r="K106" s="194" t="s">
        <v>395</v>
      </c>
    </row>
    <row r="107" spans="1:47">
      <c r="A107" s="36" t="s">
        <v>276</v>
      </c>
      <c r="B107" s="36" t="s">
        <v>534</v>
      </c>
      <c r="AA107" s="194" t="s">
        <v>395</v>
      </c>
      <c r="AB107" s="194" t="s">
        <v>395</v>
      </c>
      <c r="AC107" s="194" t="s">
        <v>395</v>
      </c>
      <c r="AD107" s="194" t="s">
        <v>395</v>
      </c>
      <c r="AE107" s="194" t="s">
        <v>395</v>
      </c>
      <c r="AF107" s="194" t="s">
        <v>395</v>
      </c>
      <c r="AG107" s="194" t="s">
        <v>395</v>
      </c>
      <c r="AH107" s="194" t="s">
        <v>395</v>
      </c>
      <c r="AI107" s="194" t="s">
        <v>395</v>
      </c>
      <c r="AJ107" s="194" t="s">
        <v>395</v>
      </c>
      <c r="AK107" s="194" t="s">
        <v>395</v>
      </c>
      <c r="AL107" s="194" t="s">
        <v>395</v>
      </c>
      <c r="AM107" s="194" t="s">
        <v>395</v>
      </c>
      <c r="AN107" s="194" t="s">
        <v>395</v>
      </c>
      <c r="AO107" s="194" t="s">
        <v>395</v>
      </c>
    </row>
    <row r="108" spans="1:47">
      <c r="A108" s="36" t="s">
        <v>276</v>
      </c>
      <c r="B108" s="36" t="s">
        <v>535</v>
      </c>
      <c r="L108" s="194" t="s">
        <v>395</v>
      </c>
      <c r="M108" s="194" t="s">
        <v>395</v>
      </c>
      <c r="N108" s="194" t="s">
        <v>395</v>
      </c>
      <c r="O108" s="194" t="s">
        <v>395</v>
      </c>
      <c r="P108" s="194" t="s">
        <v>395</v>
      </c>
      <c r="Q108" s="194" t="s">
        <v>395</v>
      </c>
      <c r="R108" s="194" t="s">
        <v>395</v>
      </c>
      <c r="S108" s="194" t="s">
        <v>395</v>
      </c>
      <c r="T108" s="194" t="s">
        <v>395</v>
      </c>
      <c r="U108" s="194" t="s">
        <v>395</v>
      </c>
      <c r="V108" s="194" t="s">
        <v>395</v>
      </c>
      <c r="W108" s="194" t="s">
        <v>395</v>
      </c>
      <c r="X108" s="194" t="s">
        <v>395</v>
      </c>
      <c r="Y108" s="194" t="s">
        <v>395</v>
      </c>
      <c r="Z108" s="194" t="s">
        <v>395</v>
      </c>
      <c r="AA108" s="194" t="s">
        <v>395</v>
      </c>
      <c r="AB108" s="194" t="s">
        <v>395</v>
      </c>
      <c r="AC108" s="194" t="s">
        <v>395</v>
      </c>
      <c r="AD108" s="194" t="s">
        <v>395</v>
      </c>
      <c r="AE108" s="194" t="s">
        <v>395</v>
      </c>
      <c r="AF108" s="194" t="s">
        <v>395</v>
      </c>
      <c r="AG108" s="194" t="s">
        <v>395</v>
      </c>
      <c r="AH108" s="194" t="s">
        <v>395</v>
      </c>
      <c r="AI108" s="194" t="s">
        <v>395</v>
      </c>
      <c r="AJ108" s="194" t="s">
        <v>395</v>
      </c>
      <c r="AK108" s="194" t="s">
        <v>395</v>
      </c>
      <c r="AL108" s="194" t="s">
        <v>395</v>
      </c>
      <c r="AM108" s="194" t="s">
        <v>395</v>
      </c>
      <c r="AN108" s="194" t="s">
        <v>395</v>
      </c>
      <c r="AO108" s="194" t="s">
        <v>395</v>
      </c>
    </row>
    <row r="109" spans="1:47">
      <c r="A109" s="36" t="s">
        <v>276</v>
      </c>
      <c r="B109" s="36" t="s">
        <v>536</v>
      </c>
      <c r="C109" s="194" t="s">
        <v>395</v>
      </c>
      <c r="D109" s="194" t="s">
        <v>395</v>
      </c>
      <c r="E109" s="194" t="s">
        <v>395</v>
      </c>
      <c r="F109" s="194" t="s">
        <v>395</v>
      </c>
      <c r="G109" s="194" t="s">
        <v>395</v>
      </c>
      <c r="H109" s="194" t="s">
        <v>395</v>
      </c>
      <c r="I109" s="194" t="s">
        <v>395</v>
      </c>
      <c r="J109" s="194" t="s">
        <v>395</v>
      </c>
      <c r="K109" s="194" t="s">
        <v>395</v>
      </c>
      <c r="L109" s="194" t="s">
        <v>395</v>
      </c>
      <c r="M109" s="194" t="s">
        <v>395</v>
      </c>
      <c r="N109" s="194" t="s">
        <v>395</v>
      </c>
      <c r="O109" s="194" t="s">
        <v>395</v>
      </c>
      <c r="P109" s="194" t="s">
        <v>395</v>
      </c>
      <c r="Q109" s="194" t="s">
        <v>395</v>
      </c>
      <c r="R109" s="194" t="s">
        <v>395</v>
      </c>
      <c r="S109" s="194" t="s">
        <v>395</v>
      </c>
      <c r="T109" s="194" t="s">
        <v>395</v>
      </c>
      <c r="U109" s="194" t="s">
        <v>395</v>
      </c>
      <c r="V109" s="194" t="s">
        <v>395</v>
      </c>
      <c r="W109" s="194" t="s">
        <v>395</v>
      </c>
      <c r="X109" s="194" t="s">
        <v>395</v>
      </c>
      <c r="Y109" s="194" t="s">
        <v>395</v>
      </c>
      <c r="Z109" s="194" t="s">
        <v>395</v>
      </c>
      <c r="AA109" s="194" t="s">
        <v>395</v>
      </c>
      <c r="AB109" s="194" t="s">
        <v>395</v>
      </c>
      <c r="AC109" s="194" t="s">
        <v>395</v>
      </c>
      <c r="AD109" s="194" t="s">
        <v>395</v>
      </c>
      <c r="AE109" s="194" t="s">
        <v>395</v>
      </c>
      <c r="AF109" s="194" t="s">
        <v>395</v>
      </c>
      <c r="AG109" s="194" t="s">
        <v>395</v>
      </c>
      <c r="AH109" s="194" t="s">
        <v>395</v>
      </c>
      <c r="AI109" s="194" t="s">
        <v>395</v>
      </c>
      <c r="AJ109" s="194" t="s">
        <v>395</v>
      </c>
      <c r="AK109" s="194" t="s">
        <v>395</v>
      </c>
      <c r="AL109" s="194" t="s">
        <v>395</v>
      </c>
      <c r="AM109" s="194" t="s">
        <v>395</v>
      </c>
      <c r="AN109" s="194" t="s">
        <v>395</v>
      </c>
      <c r="AO109" s="194" t="s">
        <v>395</v>
      </c>
    </row>
    <row r="110" spans="1:47">
      <c r="A110" s="36" t="s">
        <v>276</v>
      </c>
      <c r="B110" s="36" t="s">
        <v>537</v>
      </c>
      <c r="C110" s="194" t="s">
        <v>395</v>
      </c>
      <c r="D110" s="194" t="s">
        <v>395</v>
      </c>
      <c r="E110" s="194" t="s">
        <v>395</v>
      </c>
      <c r="F110" s="194" t="s">
        <v>395</v>
      </c>
      <c r="G110" s="194" t="s">
        <v>395</v>
      </c>
      <c r="H110" s="194" t="s">
        <v>395</v>
      </c>
      <c r="I110" s="194" t="s">
        <v>395</v>
      </c>
      <c r="J110" s="194" t="s">
        <v>395</v>
      </c>
      <c r="K110" s="194" t="s">
        <v>395</v>
      </c>
      <c r="L110" s="194" t="s">
        <v>395</v>
      </c>
      <c r="M110" s="194" t="s">
        <v>395</v>
      </c>
      <c r="N110" s="194" t="s">
        <v>395</v>
      </c>
      <c r="O110" s="194" t="s">
        <v>395</v>
      </c>
      <c r="P110" s="194" t="s">
        <v>395</v>
      </c>
      <c r="Q110" s="194" t="s">
        <v>395</v>
      </c>
      <c r="R110" s="194" t="s">
        <v>395</v>
      </c>
      <c r="S110" s="194" t="s">
        <v>395</v>
      </c>
      <c r="T110" s="194" t="s">
        <v>395</v>
      </c>
      <c r="U110" s="194" t="s">
        <v>395</v>
      </c>
      <c r="V110" s="194" t="s">
        <v>395</v>
      </c>
      <c r="W110" s="194" t="s">
        <v>395</v>
      </c>
      <c r="X110" s="194" t="s">
        <v>395</v>
      </c>
      <c r="Y110" s="194" t="s">
        <v>395</v>
      </c>
      <c r="Z110" s="194" t="s">
        <v>395</v>
      </c>
      <c r="AA110" s="194" t="s">
        <v>395</v>
      </c>
      <c r="AB110" s="194" t="s">
        <v>395</v>
      </c>
      <c r="AC110" s="194" t="s">
        <v>395</v>
      </c>
      <c r="AD110" s="194" t="s">
        <v>395</v>
      </c>
      <c r="AE110" s="194" t="s">
        <v>395</v>
      </c>
      <c r="AF110" s="194" t="s">
        <v>395</v>
      </c>
      <c r="AG110" s="194" t="s">
        <v>395</v>
      </c>
      <c r="AH110" s="194" t="s">
        <v>395</v>
      </c>
      <c r="AI110" s="194" t="s">
        <v>395</v>
      </c>
      <c r="AJ110" s="194" t="s">
        <v>395</v>
      </c>
      <c r="AK110" s="194" t="s">
        <v>395</v>
      </c>
      <c r="AL110" s="194" t="s">
        <v>395</v>
      </c>
      <c r="AM110" s="194" t="s">
        <v>395</v>
      </c>
      <c r="AN110" s="194" t="s">
        <v>395</v>
      </c>
      <c r="AO110" s="194" t="s">
        <v>395</v>
      </c>
    </row>
    <row r="111" spans="1:47">
      <c r="A111" s="36" t="s">
        <v>276</v>
      </c>
      <c r="B111" s="36" t="s">
        <v>538</v>
      </c>
      <c r="C111" s="194" t="s">
        <v>395</v>
      </c>
      <c r="D111" s="194" t="s">
        <v>395</v>
      </c>
      <c r="E111" s="194" t="s">
        <v>395</v>
      </c>
      <c r="F111" s="194" t="s">
        <v>395</v>
      </c>
      <c r="G111" s="194" t="s">
        <v>395</v>
      </c>
      <c r="H111" s="194" t="s">
        <v>395</v>
      </c>
      <c r="I111" s="194" t="s">
        <v>395</v>
      </c>
      <c r="J111" s="194" t="s">
        <v>395</v>
      </c>
      <c r="K111" s="194" t="s">
        <v>395</v>
      </c>
      <c r="L111" s="194" t="s">
        <v>395</v>
      </c>
      <c r="M111" s="194" t="s">
        <v>395</v>
      </c>
      <c r="N111" s="194" t="s">
        <v>395</v>
      </c>
      <c r="O111" s="194" t="s">
        <v>395</v>
      </c>
      <c r="P111" s="194" t="s">
        <v>395</v>
      </c>
      <c r="Q111" s="194" t="s">
        <v>395</v>
      </c>
      <c r="R111" s="194" t="s">
        <v>395</v>
      </c>
      <c r="S111" s="194" t="s">
        <v>395</v>
      </c>
      <c r="T111" s="194" t="s">
        <v>395</v>
      </c>
      <c r="U111" s="194" t="s">
        <v>395</v>
      </c>
      <c r="V111" s="194" t="s">
        <v>395</v>
      </c>
    </row>
    <row r="112" spans="1:47">
      <c r="A112" s="36" t="s">
        <v>277</v>
      </c>
      <c r="B112" s="36" t="s">
        <v>538</v>
      </c>
      <c r="W112" s="194" t="s">
        <v>395</v>
      </c>
      <c r="X112" s="194" t="s">
        <v>395</v>
      </c>
      <c r="Y112" s="194" t="s">
        <v>395</v>
      </c>
      <c r="Z112" s="194" t="s">
        <v>395</v>
      </c>
      <c r="AA112" s="194" t="s">
        <v>395</v>
      </c>
      <c r="AB112" s="194" t="s">
        <v>395</v>
      </c>
      <c r="AC112" s="194" t="s">
        <v>395</v>
      </c>
      <c r="AD112" s="194" t="s">
        <v>395</v>
      </c>
      <c r="AE112" s="194" t="s">
        <v>395</v>
      </c>
      <c r="AF112" s="194" t="s">
        <v>395</v>
      </c>
      <c r="AG112" s="194" t="s">
        <v>395</v>
      </c>
      <c r="AH112" s="194" t="s">
        <v>395</v>
      </c>
      <c r="AI112" s="194" t="s">
        <v>395</v>
      </c>
      <c r="AJ112" s="194" t="s">
        <v>395</v>
      </c>
      <c r="AK112" s="194" t="s">
        <v>395</v>
      </c>
      <c r="AL112" s="194" t="s">
        <v>395</v>
      </c>
      <c r="AM112" s="194" t="s">
        <v>395</v>
      </c>
      <c r="AN112" s="194" t="s">
        <v>395</v>
      </c>
      <c r="AO112" s="194" t="s">
        <v>395</v>
      </c>
    </row>
    <row r="113" spans="1:41">
      <c r="A113" s="36" t="s">
        <v>277</v>
      </c>
      <c r="B113" s="36" t="s">
        <v>539</v>
      </c>
      <c r="C113" s="194" t="s">
        <v>395</v>
      </c>
      <c r="D113" s="194" t="s">
        <v>395</v>
      </c>
      <c r="E113" s="194" t="s">
        <v>395</v>
      </c>
      <c r="F113" s="194" t="s">
        <v>395</v>
      </c>
      <c r="G113" s="194" t="s">
        <v>395</v>
      </c>
      <c r="H113" s="194" t="s">
        <v>395</v>
      </c>
      <c r="I113" s="194" t="s">
        <v>395</v>
      </c>
      <c r="J113" s="194" t="s">
        <v>395</v>
      </c>
      <c r="K113" s="194" t="s">
        <v>395</v>
      </c>
      <c r="L113" s="194" t="s">
        <v>395</v>
      </c>
      <c r="M113" s="194" t="s">
        <v>395</v>
      </c>
      <c r="N113" s="194" t="s">
        <v>395</v>
      </c>
      <c r="O113" s="194" t="s">
        <v>395</v>
      </c>
      <c r="P113" s="194" t="s">
        <v>395</v>
      </c>
      <c r="Q113" s="194" t="s">
        <v>395</v>
      </c>
      <c r="R113" s="194" t="s">
        <v>395</v>
      </c>
      <c r="S113" s="194" t="s">
        <v>395</v>
      </c>
      <c r="T113" s="194" t="s">
        <v>395</v>
      </c>
      <c r="U113" s="194" t="s">
        <v>395</v>
      </c>
      <c r="V113" s="194" t="s">
        <v>395</v>
      </c>
      <c r="W113" s="194" t="s">
        <v>395</v>
      </c>
      <c r="X113" s="194" t="s">
        <v>395</v>
      </c>
      <c r="Y113" s="194" t="s">
        <v>395</v>
      </c>
      <c r="Z113" s="194" t="s">
        <v>395</v>
      </c>
      <c r="AA113" s="194" t="s">
        <v>395</v>
      </c>
      <c r="AB113" s="194" t="s">
        <v>395</v>
      </c>
      <c r="AC113" s="194" t="s">
        <v>395</v>
      </c>
      <c r="AD113" s="194" t="s">
        <v>395</v>
      </c>
      <c r="AE113" s="194" t="s">
        <v>395</v>
      </c>
      <c r="AF113" s="194" t="s">
        <v>395</v>
      </c>
      <c r="AG113" s="194" t="s">
        <v>395</v>
      </c>
      <c r="AH113" s="194" t="s">
        <v>395</v>
      </c>
      <c r="AI113" s="194" t="s">
        <v>395</v>
      </c>
      <c r="AJ113" s="194" t="s">
        <v>395</v>
      </c>
      <c r="AK113" s="194" t="s">
        <v>395</v>
      </c>
      <c r="AL113" s="194" t="s">
        <v>395</v>
      </c>
      <c r="AM113" s="194" t="s">
        <v>395</v>
      </c>
      <c r="AN113" s="194" t="s">
        <v>395</v>
      </c>
      <c r="AO113" s="194" t="s">
        <v>395</v>
      </c>
    </row>
    <row r="114" spans="1:41">
      <c r="A114" s="36" t="s">
        <v>277</v>
      </c>
      <c r="B114" s="36" t="s">
        <v>605</v>
      </c>
      <c r="C114" s="194" t="s">
        <v>395</v>
      </c>
      <c r="D114" s="194" t="s">
        <v>395</v>
      </c>
      <c r="E114" s="194" t="s">
        <v>395</v>
      </c>
      <c r="F114" s="194" t="s">
        <v>395</v>
      </c>
      <c r="G114" s="194" t="s">
        <v>395</v>
      </c>
      <c r="H114" s="194" t="s">
        <v>395</v>
      </c>
      <c r="I114" s="194" t="s">
        <v>395</v>
      </c>
      <c r="J114" s="194" t="s">
        <v>395</v>
      </c>
      <c r="K114" s="194" t="s">
        <v>395</v>
      </c>
      <c r="L114" s="194" t="s">
        <v>395</v>
      </c>
      <c r="M114" s="194" t="s">
        <v>395</v>
      </c>
      <c r="N114" s="194" t="s">
        <v>395</v>
      </c>
      <c r="O114" s="194" t="s">
        <v>395</v>
      </c>
      <c r="P114" s="194" t="s">
        <v>395</v>
      </c>
      <c r="Q114" s="194" t="s">
        <v>395</v>
      </c>
      <c r="R114" s="194" t="s">
        <v>395</v>
      </c>
      <c r="S114" s="194" t="s">
        <v>395</v>
      </c>
      <c r="T114" s="194" t="s">
        <v>395</v>
      </c>
      <c r="U114" s="194" t="s">
        <v>395</v>
      </c>
      <c r="V114" s="194" t="s">
        <v>395</v>
      </c>
      <c r="W114" s="194" t="s">
        <v>395</v>
      </c>
      <c r="X114" s="194" t="s">
        <v>395</v>
      </c>
      <c r="Y114" s="194" t="s">
        <v>395</v>
      </c>
      <c r="Z114" s="194" t="s">
        <v>395</v>
      </c>
      <c r="AA114" s="194" t="s">
        <v>395</v>
      </c>
      <c r="AB114" s="194" t="s">
        <v>395</v>
      </c>
      <c r="AC114" s="194" t="s">
        <v>395</v>
      </c>
      <c r="AD114" s="194" t="s">
        <v>395</v>
      </c>
      <c r="AE114" s="194" t="s">
        <v>395</v>
      </c>
      <c r="AF114" s="194" t="s">
        <v>395</v>
      </c>
      <c r="AG114" s="194" t="s">
        <v>395</v>
      </c>
      <c r="AH114" s="194" t="s">
        <v>395</v>
      </c>
      <c r="AI114" s="194" t="s">
        <v>395</v>
      </c>
      <c r="AJ114" s="194" t="s">
        <v>395</v>
      </c>
      <c r="AK114" s="194" t="s">
        <v>395</v>
      </c>
      <c r="AL114" s="194" t="s">
        <v>395</v>
      </c>
      <c r="AM114" s="194" t="s">
        <v>395</v>
      </c>
      <c r="AN114" s="194" t="s">
        <v>395</v>
      </c>
      <c r="AO114" s="194" t="s">
        <v>395</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06"/>
      <c r="D131" s="207"/>
      <c r="E131" s="207"/>
      <c r="F131" s="207"/>
      <c r="G131" s="207"/>
      <c r="H131" s="207"/>
      <c r="I131" s="207"/>
      <c r="J131" s="207"/>
      <c r="K131" s="207"/>
      <c r="L131" s="36"/>
      <c r="M131" s="207"/>
      <c r="N131" s="188"/>
      <c r="O131" s="188"/>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87"/>
      <c r="G162" s="287"/>
      <c r="H162" s="287"/>
      <c r="I162" s="287"/>
      <c r="J162" s="287"/>
      <c r="K162" s="287"/>
      <c r="L162" s="287"/>
      <c r="M162" s="287"/>
    </row>
    <row r="163" spans="1:13">
      <c r="A163" s="194">
        <v>-1</v>
      </c>
      <c r="B163" s="194">
        <v>-1</v>
      </c>
      <c r="C163" s="194">
        <v>-1</v>
      </c>
      <c r="D163" s="194">
        <v>-1</v>
      </c>
      <c r="E163" s="194">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88">
        <v>2012</v>
      </c>
      <c r="D5" s="288">
        <v>2013</v>
      </c>
      <c r="E5" s="288">
        <v>2014</v>
      </c>
      <c r="F5" s="288">
        <v>2015</v>
      </c>
      <c r="G5" s="288">
        <v>2016</v>
      </c>
      <c r="H5" s="288">
        <v>2017</v>
      </c>
      <c r="I5" s="288">
        <v>2018</v>
      </c>
      <c r="J5" s="288">
        <v>2019</v>
      </c>
      <c r="K5" s="288">
        <v>2020</v>
      </c>
      <c r="L5" s="288">
        <v>2021</v>
      </c>
      <c r="M5" s="288">
        <v>2022</v>
      </c>
      <c r="N5" s="288">
        <v>2023</v>
      </c>
      <c r="O5" s="288">
        <v>2024</v>
      </c>
      <c r="P5" s="288">
        <v>2025</v>
      </c>
      <c r="Q5" s="288">
        <v>2026</v>
      </c>
      <c r="R5" s="288">
        <v>2027</v>
      </c>
      <c r="S5" s="288">
        <v>2028</v>
      </c>
      <c r="T5" s="288">
        <v>2029</v>
      </c>
      <c r="U5" s="288">
        <v>2030</v>
      </c>
      <c r="V5" s="288">
        <v>2031</v>
      </c>
      <c r="W5" s="288">
        <v>2032</v>
      </c>
      <c r="X5" s="288">
        <v>2033</v>
      </c>
      <c r="Y5" s="288">
        <v>2034</v>
      </c>
      <c r="Z5" s="288">
        <v>2035</v>
      </c>
      <c r="AA5" s="288">
        <v>2036</v>
      </c>
      <c r="AB5" s="288">
        <v>2037</v>
      </c>
      <c r="AC5" s="288">
        <v>2038</v>
      </c>
      <c r="AD5" s="288">
        <v>2039</v>
      </c>
      <c r="AE5" s="288">
        <v>2040</v>
      </c>
      <c r="AF5" s="288">
        <v>2045</v>
      </c>
      <c r="AG5" s="288">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1"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33"/>
      <c r="AI7" s="133"/>
      <c r="AJ7" s="133"/>
      <c r="AK7" s="133"/>
      <c r="AL7" s="133"/>
      <c r="AM7" s="133"/>
      <c r="AO7">
        <v>1</v>
      </c>
    </row>
    <row r="8" spans="1:41">
      <c r="A8" s="141"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33"/>
      <c r="AI8" s="133"/>
      <c r="AJ8" s="133"/>
      <c r="AK8" s="133"/>
      <c r="AL8" s="133"/>
      <c r="AM8" s="133"/>
      <c r="AO8">
        <f>AO7+1</f>
        <v>2</v>
      </c>
    </row>
    <row r="9" spans="1:41">
      <c r="A9" s="141" t="s">
        <v>526</v>
      </c>
      <c r="B9" s="194">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33"/>
      <c r="AI9" s="133"/>
      <c r="AJ9" s="133"/>
      <c r="AK9" s="133"/>
      <c r="AL9" s="133"/>
      <c r="AM9" s="133"/>
      <c r="AO9" s="4">
        <f t="shared" ref="AO9:AO22" si="2">AO8+1</f>
        <v>3</v>
      </c>
    </row>
    <row r="10" spans="1:41">
      <c r="A10" s="141" t="s">
        <v>523</v>
      </c>
      <c r="B10" s="194">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33"/>
      <c r="AI10" s="133"/>
      <c r="AJ10" s="133"/>
      <c r="AK10" s="133"/>
      <c r="AL10" s="133"/>
      <c r="AM10" s="133"/>
      <c r="AO10" s="4">
        <f t="shared" si="2"/>
        <v>4</v>
      </c>
    </row>
    <row r="11" spans="1:41">
      <c r="A11" s="141" t="s">
        <v>603</v>
      </c>
      <c r="B11" s="194">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33"/>
      <c r="AI11" s="133"/>
      <c r="AJ11" s="133"/>
      <c r="AK11" s="133"/>
      <c r="AL11" s="133"/>
      <c r="AM11" s="133"/>
      <c r="AO11" s="4">
        <f t="shared" si="2"/>
        <v>5</v>
      </c>
    </row>
    <row r="12" spans="1:41">
      <c r="A12" s="141" t="s">
        <v>388</v>
      </c>
      <c r="B12" s="194">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33"/>
      <c r="AI12" s="133"/>
      <c r="AJ12" s="133"/>
      <c r="AK12" s="133"/>
      <c r="AL12" s="133"/>
      <c r="AM12" s="133"/>
      <c r="AO12" s="4">
        <f t="shared" si="2"/>
        <v>6</v>
      </c>
    </row>
    <row r="13" spans="1:41">
      <c r="A13" s="141" t="s">
        <v>387</v>
      </c>
      <c r="B13" s="194">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33"/>
      <c r="AI13" s="133"/>
      <c r="AJ13" s="133"/>
      <c r="AK13" s="133"/>
      <c r="AL13" s="133"/>
      <c r="AM13" s="133"/>
      <c r="AO13" s="4">
        <f t="shared" si="2"/>
        <v>7</v>
      </c>
    </row>
    <row r="14" spans="1:41">
      <c r="A14" s="141" t="s">
        <v>528</v>
      </c>
      <c r="B14" s="194">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33"/>
      <c r="AI14" s="133"/>
      <c r="AJ14" s="133"/>
      <c r="AK14" s="133"/>
      <c r="AL14" s="133"/>
      <c r="AM14" s="133"/>
      <c r="AO14" s="4">
        <f t="shared" si="2"/>
        <v>8</v>
      </c>
    </row>
    <row r="15" spans="1:41">
      <c r="A15" s="141" t="s">
        <v>527</v>
      </c>
      <c r="B15" s="194">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33"/>
      <c r="AI15" s="133"/>
      <c r="AJ15" s="133"/>
      <c r="AK15" s="133"/>
      <c r="AL15" s="133"/>
      <c r="AM15" s="133"/>
      <c r="AO15" s="4">
        <f t="shared" si="2"/>
        <v>9</v>
      </c>
    </row>
    <row r="16" spans="1:41">
      <c r="A16" s="141" t="s">
        <v>524</v>
      </c>
      <c r="B16" s="194">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33"/>
      <c r="AI16" s="133"/>
      <c r="AJ16" s="133"/>
      <c r="AK16" s="133"/>
      <c r="AL16" s="133"/>
      <c r="AM16" s="133"/>
      <c r="AO16" s="4">
        <f t="shared" si="2"/>
        <v>10</v>
      </c>
    </row>
    <row r="17" spans="1:41">
      <c r="A17" s="141" t="s">
        <v>530</v>
      </c>
      <c r="B17" s="194">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33"/>
      <c r="AI17" s="133"/>
      <c r="AJ17" s="133"/>
      <c r="AK17" s="133"/>
      <c r="AL17" s="133"/>
      <c r="AM17" s="133"/>
      <c r="AO17" s="4">
        <f t="shared" si="2"/>
        <v>11</v>
      </c>
    </row>
    <row r="18" spans="1:41" s="194" customFormat="1">
      <c r="A18" s="141" t="s">
        <v>525</v>
      </c>
      <c r="B18" s="194">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33"/>
      <c r="AI18" s="133"/>
      <c r="AJ18" s="133"/>
      <c r="AK18" s="133"/>
      <c r="AL18" s="133"/>
      <c r="AM18" s="133"/>
      <c r="AO18" s="194">
        <f t="shared" si="2"/>
        <v>12</v>
      </c>
    </row>
    <row r="19" spans="1:41" s="194" customFormat="1">
      <c r="A19" s="141" t="s">
        <v>599</v>
      </c>
      <c r="B19" s="194">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33"/>
      <c r="AI19" s="133"/>
      <c r="AJ19" s="133"/>
      <c r="AK19" s="133"/>
      <c r="AL19" s="133"/>
      <c r="AM19" s="133"/>
      <c r="AO19" s="194">
        <f t="shared" si="2"/>
        <v>13</v>
      </c>
    </row>
    <row r="20" spans="1:41" s="194" customFormat="1">
      <c r="A20" s="141" t="s">
        <v>598</v>
      </c>
      <c r="B20" s="194">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33"/>
      <c r="AI20" s="133"/>
      <c r="AJ20" s="133"/>
      <c r="AK20" s="133"/>
      <c r="AL20" s="133"/>
      <c r="AM20" s="133"/>
      <c r="AO20" s="194">
        <f t="shared" si="2"/>
        <v>14</v>
      </c>
    </row>
    <row r="21" spans="1:41" s="194" customFormat="1">
      <c r="A21" s="141" t="s">
        <v>597</v>
      </c>
      <c r="B21" s="194">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33"/>
      <c r="AI21" s="133"/>
      <c r="AJ21" s="133"/>
      <c r="AK21" s="133"/>
      <c r="AL21" s="133"/>
      <c r="AM21" s="133"/>
      <c r="AO21" s="194">
        <f t="shared" si="2"/>
        <v>15</v>
      </c>
    </row>
    <row r="22" spans="1:41" s="194" customFormat="1">
      <c r="A22" s="141" t="s">
        <v>600</v>
      </c>
      <c r="B22" s="194">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33"/>
      <c r="AI22" s="133"/>
      <c r="AJ22" s="133"/>
      <c r="AK22" s="133"/>
      <c r="AL22" s="133"/>
      <c r="AM22" s="133"/>
      <c r="AO22" s="194">
        <f t="shared" si="2"/>
        <v>16</v>
      </c>
    </row>
    <row r="23" spans="1:41" s="194" customFormat="1">
      <c r="A23" s="141" t="s">
        <v>604</v>
      </c>
      <c r="B23" s="194">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33"/>
      <c r="AI23" s="133"/>
      <c r="AJ23" s="133"/>
      <c r="AK23" s="133"/>
      <c r="AL23" s="133"/>
      <c r="AM23" s="133"/>
    </row>
    <row r="24" spans="1:41" s="194" customFormat="1">
      <c r="A24" s="141" t="s">
        <v>529</v>
      </c>
      <c r="B24" s="194">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33"/>
      <c r="AI24" s="133"/>
      <c r="AJ24" s="133"/>
      <c r="AK24" s="133"/>
      <c r="AL24" s="133"/>
      <c r="AM24" s="133"/>
    </row>
    <row r="25" spans="1:41">
      <c r="A25" s="5" t="s">
        <v>5</v>
      </c>
      <c r="B25" s="194">
        <f t="shared" si="1"/>
        <v>19</v>
      </c>
      <c r="C25" s="134">
        <f>SUM(C7:C24)</f>
        <v>2893.5800000000004</v>
      </c>
      <c r="D25" s="134">
        <f>SUM(D7:D24)</f>
        <v>2965.2699999999995</v>
      </c>
      <c r="E25" s="134">
        <f t="shared" ref="E25:AG25" si="3">SUM(E7:E24)</f>
        <v>3020.9599999999996</v>
      </c>
      <c r="F25" s="134">
        <f t="shared" si="3"/>
        <v>3059.4500000000003</v>
      </c>
      <c r="G25" s="134">
        <f t="shared" si="3"/>
        <v>3083.9200000000005</v>
      </c>
      <c r="H25" s="134">
        <f t="shared" si="3"/>
        <v>3120.5399999999995</v>
      </c>
      <c r="I25" s="134">
        <f t="shared" si="3"/>
        <v>3152.2400000000002</v>
      </c>
      <c r="J25" s="134">
        <f t="shared" si="3"/>
        <v>3179.29</v>
      </c>
      <c r="K25" s="134">
        <f t="shared" si="3"/>
        <v>2948.9199999999996</v>
      </c>
      <c r="L25" s="134">
        <f t="shared" si="3"/>
        <v>3014.3800000000006</v>
      </c>
      <c r="M25" s="134">
        <f t="shared" si="3"/>
        <v>3077.2000000000003</v>
      </c>
      <c r="N25" s="134">
        <f t="shared" si="3"/>
        <v>3140.61</v>
      </c>
      <c r="O25" s="134">
        <f t="shared" si="3"/>
        <v>3201.7699999999995</v>
      </c>
      <c r="P25" s="134">
        <f t="shared" si="3"/>
        <v>3265.5400000000009</v>
      </c>
      <c r="Q25" s="134">
        <f t="shared" si="3"/>
        <v>3341.2800000000007</v>
      </c>
      <c r="R25" s="134">
        <f t="shared" si="3"/>
        <v>3416.2799999999997</v>
      </c>
      <c r="S25" s="134">
        <f t="shared" si="3"/>
        <v>3494.8800000000006</v>
      </c>
      <c r="T25" s="134">
        <f t="shared" si="3"/>
        <v>3576.08</v>
      </c>
      <c r="U25" s="134">
        <f t="shared" si="3"/>
        <v>3660.12</v>
      </c>
      <c r="V25" s="134">
        <f t="shared" si="3"/>
        <v>3761.0299999999997</v>
      </c>
      <c r="W25" s="134">
        <f t="shared" si="3"/>
        <v>3857.2</v>
      </c>
      <c r="X25" s="134">
        <f t="shared" si="3"/>
        <v>3964.01</v>
      </c>
      <c r="Y25" s="134">
        <f t="shared" si="3"/>
        <v>4078.2199999999993</v>
      </c>
      <c r="Z25" s="134">
        <f t="shared" si="3"/>
        <v>4200.2899999999991</v>
      </c>
      <c r="AA25" s="134">
        <f t="shared" si="3"/>
        <v>4325.9699999999993</v>
      </c>
      <c r="AB25" s="134">
        <f t="shared" si="3"/>
        <v>4456.9999999999991</v>
      </c>
      <c r="AC25" s="134">
        <f t="shared" si="3"/>
        <v>4590.0299999999988</v>
      </c>
      <c r="AD25" s="134">
        <f t="shared" si="3"/>
        <v>4728.5300000000016</v>
      </c>
      <c r="AE25" s="134">
        <f t="shared" si="3"/>
        <v>4875.51</v>
      </c>
      <c r="AF25" s="134">
        <f t="shared" si="3"/>
        <v>5709.9300000000012</v>
      </c>
      <c r="AG25" s="134">
        <f t="shared" si="3"/>
        <v>6747.130000000001</v>
      </c>
      <c r="AH25" s="134"/>
      <c r="AI25" s="134"/>
      <c r="AJ25" s="134"/>
      <c r="AK25" s="134"/>
      <c r="AL25" s="134"/>
      <c r="AM25" s="134"/>
    </row>
    <row r="26" spans="1:41" s="34" customFormat="1">
      <c r="A26" s="259" t="s">
        <v>279</v>
      </c>
      <c r="B26" s="194">
        <f t="shared" si="1"/>
        <v>20</v>
      </c>
      <c r="C26" s="259"/>
      <c r="D26" s="260">
        <f>D25/C25-1</f>
        <v>2.4775537569377448E-2</v>
      </c>
      <c r="E26" s="260">
        <f t="shared" ref="E26:AE26" si="4">E25/D25-1</f>
        <v>1.8780751837100818E-2</v>
      </c>
      <c r="F26" s="260">
        <f t="shared" si="4"/>
        <v>1.2740982998782124E-2</v>
      </c>
      <c r="G26" s="260">
        <f t="shared" si="4"/>
        <v>7.9981696056481422E-3</v>
      </c>
      <c r="H26" s="260">
        <f t="shared" si="4"/>
        <v>1.1874497392928118E-2</v>
      </c>
      <c r="I26" s="260">
        <f t="shared" si="4"/>
        <v>1.0158498208643563E-2</v>
      </c>
      <c r="J26" s="260">
        <f t="shared" si="4"/>
        <v>8.581199401060724E-3</v>
      </c>
      <c r="K26" s="260">
        <f t="shared" si="4"/>
        <v>-7.2459574307471297E-2</v>
      </c>
      <c r="L26" s="260">
        <f t="shared" si="4"/>
        <v>2.2197957218236253E-2</v>
      </c>
      <c r="M26" s="260">
        <f t="shared" si="4"/>
        <v>2.0840106423211324E-2</v>
      </c>
      <c r="N26" s="260">
        <f t="shared" si="4"/>
        <v>2.0606395424411783E-2</v>
      </c>
      <c r="O26" s="260">
        <f t="shared" si="4"/>
        <v>1.9473923855556574E-2</v>
      </c>
      <c r="P26" s="260">
        <f t="shared" si="4"/>
        <v>1.9917108349444712E-2</v>
      </c>
      <c r="Q26" s="260">
        <f t="shared" si="4"/>
        <v>2.3193713750252476E-2</v>
      </c>
      <c r="R26" s="260">
        <f t="shared" si="4"/>
        <v>2.2446487573624108E-2</v>
      </c>
      <c r="S26" s="260">
        <f t="shared" si="4"/>
        <v>2.3007481822333364E-2</v>
      </c>
      <c r="T26" s="260">
        <f t="shared" si="4"/>
        <v>2.3233988005310513E-2</v>
      </c>
      <c r="U26" s="260">
        <f t="shared" si="4"/>
        <v>2.3500592827900846E-2</v>
      </c>
      <c r="V26" s="260">
        <f t="shared" si="4"/>
        <v>2.7570134312536076E-2</v>
      </c>
      <c r="W26" s="260">
        <f t="shared" si="4"/>
        <v>2.5570123077986562E-2</v>
      </c>
      <c r="X26" s="260">
        <f t="shared" si="4"/>
        <v>2.7691071243389098E-2</v>
      </c>
      <c r="Y26" s="260">
        <f t="shared" si="4"/>
        <v>2.8811733572821296E-2</v>
      </c>
      <c r="Z26" s="260">
        <f t="shared" si="4"/>
        <v>2.9932176292598145E-2</v>
      </c>
      <c r="AA26" s="260">
        <f t="shared" si="4"/>
        <v>2.9921743498663167E-2</v>
      </c>
      <c r="AB26" s="260">
        <f t="shared" si="4"/>
        <v>3.0289160581326247E-2</v>
      </c>
      <c r="AC26" s="260">
        <f t="shared" si="4"/>
        <v>2.9847431007403946E-2</v>
      </c>
      <c r="AD26" s="260">
        <f t="shared" si="4"/>
        <v>3.0174094722692946E-2</v>
      </c>
      <c r="AE26" s="260">
        <f t="shared" si="4"/>
        <v>3.1083656019946782E-2</v>
      </c>
      <c r="AF26" s="260">
        <f>(AF25/AE25)^(1/5)-1</f>
        <v>3.2100875651971617E-2</v>
      </c>
      <c r="AG26" s="260">
        <f>(AG25/AF25)^(1/5)-1</f>
        <v>3.3945527099760175E-2</v>
      </c>
      <c r="AH26" s="259"/>
      <c r="AI26" s="259"/>
      <c r="AJ26" s="259"/>
      <c r="AK26" s="259"/>
      <c r="AL26" s="259"/>
      <c r="AM26" s="259"/>
    </row>
    <row r="27" spans="1:41">
      <c r="A27" s="4" t="s">
        <v>615</v>
      </c>
      <c r="B27" s="194">
        <f t="shared" si="1"/>
        <v>21</v>
      </c>
      <c r="C27" s="133">
        <f>INDEX(DriversGams!$A$43:$AN$43,1,MATCH(Drivers!C$3,DriversGams!$A$42:$AN$42,0))/1000</f>
        <v>52.325432882070082</v>
      </c>
      <c r="D27" s="133">
        <f>INDEX(DriversGams!$A$43:$AN$43,1,MATCH(Drivers!D$3,DriversGams!$A$42:$AN$42,0))/1000</f>
        <v>53.104386458423342</v>
      </c>
      <c r="E27" s="133">
        <f>INDEX(DriversGams!$A$43:$AN$43,1,MATCH(Drivers!E$3,DriversGams!$A$42:$AN$42,0))/1000</f>
        <v>53.912365691429272</v>
      </c>
      <c r="F27" s="133">
        <f>INDEX(DriversGams!$A$43:$AN$43,1,MATCH(Drivers!F$3,DriversGams!$A$42:$AN$42,0))/1000</f>
        <v>54.750491457321111</v>
      </c>
      <c r="G27" s="133">
        <f>INDEX(DriversGams!$A$43:$AN$43,1,MATCH(Drivers!G$3,DriversGams!$A$42:$AN$42,0))/1000</f>
        <v>55.619940469824826</v>
      </c>
      <c r="H27" s="133">
        <f>INDEX(DriversGams!$A$43:$AN$43,1,MATCH(Drivers!H$3,DriversGams!$A$42:$AN$42,0))/1000</f>
        <v>56.521948041648095</v>
      </c>
      <c r="I27" s="133">
        <f>INDEX(DriversGams!$A$43:$AN$43,1,MATCH(Drivers!I$3,DriversGams!$A$42:$AN$42,0))/1000</f>
        <v>57.436000617299655</v>
      </c>
      <c r="J27" s="133">
        <f>INDEX(DriversGams!$A$43:$AN$43,1,MATCH(Drivers!J$3,DriversGams!$A$42:$AN$42,0))/1000</f>
        <v>58.364834921819444</v>
      </c>
      <c r="K27" s="133">
        <f>INDEX(DriversGams!$A$43:$AN$43,1,MATCH(Drivers!K$3,DriversGams!$A$42:$AN$42,0))/1000</f>
        <v>59.308690000000006</v>
      </c>
      <c r="L27" s="133">
        <f>INDEX(DriversGams!$A$43:$AN$43,1,MATCH(Drivers!L$3,DriversGams!$A$42:$AN$42,0))/1000</f>
        <v>59.991580449204264</v>
      </c>
      <c r="M27" s="133">
        <f>INDEX(DriversGams!$A$43:$AN$43,1,MATCH(Drivers!M$3,DriversGams!$A$42:$AN$42,0))/1000</f>
        <v>60.682333816399378</v>
      </c>
      <c r="N27" s="133">
        <f>INDEX(DriversGams!$A$43:$AN$43,1,MATCH(Drivers!N$3,DriversGams!$A$42:$AN$42,0))/1000</f>
        <v>61.381040636574369</v>
      </c>
      <c r="O27" s="133">
        <f>INDEX(DriversGams!$A$43:$AN$43,1,MATCH(Drivers!O$3,DriversGams!$A$42:$AN$42,0))/1000</f>
        <v>62.087792487153699</v>
      </c>
      <c r="P27" s="133">
        <f>INDEX(DriversGams!$A$43:$AN$43,1,MATCH(Drivers!P$3,DriversGams!$A$42:$AN$42,0))/1000</f>
        <v>62.802682000000026</v>
      </c>
      <c r="Q27" s="133">
        <f>INDEX(DriversGams!$A$43:$AN$43,1,MATCH(Drivers!Q$3,DriversGams!$A$42:$AN$42,0))/1000</f>
        <v>63.421065342005143</v>
      </c>
      <c r="R27" s="133">
        <f>INDEX(DriversGams!$A$43:$AN$43,1,MATCH(Drivers!R$3,DriversGams!$A$42:$AN$42,0))/1000</f>
        <v>64.045537563425796</v>
      </c>
      <c r="S27" s="133">
        <f>INDEX(DriversGams!$A$43:$AN$43,1,MATCH(Drivers!S$3,DriversGams!$A$42:$AN$42,0))/1000</f>
        <v>64.676158618096451</v>
      </c>
      <c r="T27" s="133">
        <f>INDEX(DriversGams!$A$43:$AN$43,1,MATCH(Drivers!T$3,DriversGams!$A$42:$AN$42,0))/1000</f>
        <v>65.31298905018393</v>
      </c>
      <c r="U27" s="133">
        <f>INDEX(DriversGams!$A$43:$AN$43,1,MATCH(Drivers!U$3,DriversGams!$A$42:$AN$42,0))/1000</f>
        <v>65.956090000000003</v>
      </c>
      <c r="V27" s="133">
        <f>INDEX(DriversGams!$A$43:$AN$43,1,MATCH(Drivers!V$3,DriversGams!$A$42:$AN$42,0))/1000</f>
        <v>66.518977190687664</v>
      </c>
      <c r="W27" s="133">
        <f>INDEX(DriversGams!$A$43:$AN$43,1,MATCH(Drivers!W$3,DriversGams!$A$42:$AN$42,0))/1000</f>
        <v>67.08666821358311</v>
      </c>
      <c r="X27" s="133">
        <f>INDEX(DriversGams!$A$43:$AN$43,1,MATCH(Drivers!X$3,DriversGams!$A$42:$AN$42,0))/1000</f>
        <v>67.659204065895452</v>
      </c>
      <c r="Y27" s="133">
        <f>INDEX(DriversGams!$A$43:$AN$43,1,MATCH(Drivers!Y$3,DriversGams!$A$42:$AN$42,0))/1000</f>
        <v>68.236626094715163</v>
      </c>
      <c r="Z27" s="133">
        <f>INDEX(DriversGams!$A$43:$AN$43,1,MATCH(Drivers!Z$3,DriversGams!$A$42:$AN$42,0))/1000</f>
        <v>68.818976000000006</v>
      </c>
      <c r="AA27" s="133">
        <f>INDEX(DriversGams!$A$43:$AN$43,1,MATCH(Drivers!AA$3,DriversGams!$A$42:$AN$42,0))/1000</f>
        <v>69.322810489383542</v>
      </c>
      <c r="AB27" s="133">
        <f>INDEX(DriversGams!$A$43:$AN$43,1,MATCH(Drivers!AB$3,DriversGams!$A$42:$AN$42,0))/1000</f>
        <v>69.830333629884052</v>
      </c>
      <c r="AC27" s="133">
        <f>INDEX(DriversGams!$A$43:$AN$43,1,MATCH(Drivers!AC$3,DriversGams!$A$42:$AN$42,0))/1000</f>
        <v>70.341572426693446</v>
      </c>
      <c r="AD27" s="133">
        <f>INDEX(DriversGams!$A$43:$AN$43,1,MATCH(Drivers!AD$3,DriversGams!$A$42:$AN$42,0))/1000</f>
        <v>70.856554082712819</v>
      </c>
      <c r="AE27" s="133">
        <f>INDEX(DriversGams!$A$43:$AN$43,1,MATCH(Drivers!AE$3,DriversGams!$A$42:$AN$42,0))/1000</f>
        <v>71.375305999999995</v>
      </c>
      <c r="AF27" s="133">
        <f>INDEX(DriversGams!$A$43:$AN$43,1,MATCH(Drivers!AF$3,DriversGams!$A$42:$AN$42,0))/1000</f>
        <v>73.619545999999971</v>
      </c>
      <c r="AG27" s="133">
        <f>INDEX(DriversGams!$A$43:$AN$43,1,MATCH(Drivers!AG$3,DriversGams!$A$42:$AN$42,0))/1000</f>
        <v>75.517908999999989</v>
      </c>
      <c r="AH27" s="133"/>
      <c r="AI27" s="133"/>
      <c r="AJ27" s="133"/>
      <c r="AK27" s="133"/>
      <c r="AL27" s="133"/>
      <c r="AM27" s="133"/>
    </row>
    <row r="28" spans="1:41">
      <c r="A28" t="s">
        <v>396</v>
      </c>
      <c r="B28" s="194">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33"/>
      <c r="AI28" s="133"/>
      <c r="AJ28" s="133"/>
      <c r="AK28" s="133"/>
      <c r="AL28" s="133"/>
      <c r="AM28" s="133"/>
    </row>
    <row r="29" spans="1:41">
      <c r="A29" s="4" t="s">
        <v>397</v>
      </c>
      <c r="B29" s="194">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33"/>
      <c r="AI29" s="133"/>
      <c r="AJ29" s="133"/>
      <c r="AK29" s="133"/>
      <c r="AL29" s="133"/>
      <c r="AM29" s="133"/>
    </row>
    <row r="30" spans="1:41">
      <c r="A30" s="4" t="s">
        <v>398</v>
      </c>
      <c r="B30" s="194">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33"/>
      <c r="AI30" s="133"/>
      <c r="AJ30" s="133"/>
      <c r="AK30" s="133"/>
      <c r="AL30" s="133"/>
      <c r="AM30" s="133"/>
    </row>
    <row r="31" spans="1:41">
      <c r="A31" t="s">
        <v>399</v>
      </c>
      <c r="B31" s="194">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94">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94">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94">
        <f t="shared" si="1"/>
        <v>28</v>
      </c>
      <c r="C34">
        <f>INDEX(DriversGams!$A71:$AN71,1,MATCH(Drivers!C$3,DriversGams!$A$70:$AN$70,0))</f>
        <v>0.29299999999999998</v>
      </c>
      <c r="D34" s="288">
        <f>INDEX(DriversGams!$A71:$AN71,1,MATCH(Drivers!D$3,DriversGams!$A$70:$AN$70,0))</f>
        <v>0.29799999999999999</v>
      </c>
      <c r="E34" s="288">
        <f>INDEX(DriversGams!$A71:$AN71,1,MATCH(Drivers!E$3,DriversGams!$A$70:$AN$70,0))</f>
        <v>0.30099999999999999</v>
      </c>
      <c r="F34" s="288">
        <f>INDEX(DriversGams!$A71:$AN71,1,MATCH(Drivers!F$3,DriversGams!$A$70:$AN$70,0))</f>
        <v>0.30299999999999999</v>
      </c>
      <c r="G34" s="288">
        <f>INDEX(DriversGams!$A71:$AN71,1,MATCH(Drivers!G$3,DriversGams!$A$70:$AN$70,0))</f>
        <v>0.30299999999999999</v>
      </c>
      <c r="H34" s="288">
        <f>INDEX(DriversGams!$A71:$AN71,1,MATCH(Drivers!H$3,DriversGams!$A$70:$AN$70,0))</f>
        <v>0.307</v>
      </c>
      <c r="I34" s="288">
        <f>INDEX(DriversGams!$A71:$AN71,1,MATCH(Drivers!I$3,DriversGams!$A$70:$AN$70,0))</f>
        <v>0.308</v>
      </c>
      <c r="J34" s="288">
        <f>INDEX(DriversGams!$A71:$AN71,1,MATCH(Drivers!J$3,DriversGams!$A$70:$AN$70,0))</f>
        <v>0.30599999999999999</v>
      </c>
      <c r="K34" s="288">
        <f>INDEX(DriversGams!$A71:$AN71,1,MATCH(Drivers!K$3,DriversGams!$A$70:$AN$70,0))</f>
        <v>0.27900000000000003</v>
      </c>
      <c r="L34" s="288">
        <f>INDEX(DriversGams!$A71:$AN71,1,MATCH(Drivers!L$3,DriversGams!$A$70:$AN$70,0))</f>
        <v>0.28599999999999998</v>
      </c>
      <c r="M34" s="288">
        <f>INDEX(DriversGams!$A71:$AN71,1,MATCH(Drivers!M$3,DriversGams!$A$70:$AN$70,0))</f>
        <v>0.28899999999999998</v>
      </c>
      <c r="N34" s="288">
        <f>INDEX(DriversGams!$A71:$AN71,1,MATCH(Drivers!N$3,DriversGams!$A$70:$AN$70,0))</f>
        <v>0.29299999999999998</v>
      </c>
      <c r="O34" s="288">
        <f>INDEX(DriversGams!$A71:$AN71,1,MATCH(Drivers!O$3,DriversGams!$A$70:$AN$70,0))</f>
        <v>0.29599999999999999</v>
      </c>
      <c r="P34" s="288">
        <f>INDEX(DriversGams!$A71:$AN71,1,MATCH(Drivers!P$3,DriversGams!$A$70:$AN$70,0))</f>
        <v>0.29899999999999999</v>
      </c>
      <c r="Q34" s="288">
        <f>INDEX(DriversGams!$A71:$AN71,1,MATCH(Drivers!Q$3,DriversGams!$A$70:$AN$70,0))</f>
        <v>0.30399999999999999</v>
      </c>
      <c r="R34" s="288">
        <f>INDEX(DriversGams!$A71:$AN71,1,MATCH(Drivers!R$3,DriversGams!$A$70:$AN$70,0))</f>
        <v>0.308</v>
      </c>
      <c r="S34" s="288">
        <f>INDEX(DriversGams!$A71:$AN71,1,MATCH(Drivers!S$3,DriversGams!$A$70:$AN$70,0))</f>
        <v>0.313</v>
      </c>
      <c r="T34" s="288">
        <f>INDEX(DriversGams!$A71:$AN71,1,MATCH(Drivers!T$3,DriversGams!$A$70:$AN$70,0))</f>
        <v>0.31900000000000001</v>
      </c>
      <c r="U34" s="288">
        <f>INDEX(DriversGams!$A71:$AN71,1,MATCH(Drivers!U$3,DriversGams!$A$70:$AN$70,0))</f>
        <v>0.32300000000000001</v>
      </c>
      <c r="V34" s="288">
        <f>INDEX(DriversGams!$A71:$AN71,1,MATCH(Drivers!V$3,DriversGams!$A$70:$AN$70,0))</f>
        <v>0.33</v>
      </c>
      <c r="W34" s="288">
        <f>INDEX(DriversGams!$A71:$AN71,1,MATCH(Drivers!W$3,DriversGams!$A$70:$AN$70,0))</f>
        <v>0.33600000000000002</v>
      </c>
      <c r="X34" s="288">
        <f>INDEX(DriversGams!$A71:$AN71,1,MATCH(Drivers!X$3,DriversGams!$A$70:$AN$70,0))</f>
        <v>0.34300000000000003</v>
      </c>
      <c r="Y34" s="288">
        <f>INDEX(DriversGams!$A71:$AN71,1,MATCH(Drivers!Y$3,DriversGams!$A$70:$AN$70,0))</f>
        <v>0.35</v>
      </c>
      <c r="Z34" s="288">
        <f>INDEX(DriversGams!$A71:$AN71,1,MATCH(Drivers!Z$3,DriversGams!$A$70:$AN$70,0))</f>
        <v>0.3576086956521739</v>
      </c>
      <c r="AA34" s="288">
        <f>INDEX(DriversGams!$A71:$AN71,1,MATCH(Drivers!AA$3,DriversGams!$A$70:$AN$70,0))</f>
        <v>0.36538279773156901</v>
      </c>
      <c r="AB34" s="288">
        <f>INDEX(DriversGams!$A71:$AN71,1,MATCH(Drivers!AB$3,DriversGams!$A$70:$AN$70,0))</f>
        <v>0.37402068893089691</v>
      </c>
      <c r="AC34" s="288">
        <f>INDEX(DriversGams!$A71:$AN71,1,MATCH(Drivers!AC$3,DriversGams!$A$70:$AN$70,0))</f>
        <v>0.38179479101029201</v>
      </c>
      <c r="AD34" s="288">
        <f>INDEX(DriversGams!$A71:$AN71,1,MATCH(Drivers!AD$3,DriversGams!$A$70:$AN$70,0))</f>
        <v>0.39043268220961985</v>
      </c>
      <c r="AE34" s="288">
        <f>INDEX(DriversGams!$A71:$AN71,1,MATCH(Drivers!AE$3,DriversGams!$A$70:$AN$70,0))</f>
        <v>0.39907057340894769</v>
      </c>
      <c r="AF34" s="288">
        <f>INDEX(DriversGams!$A71:$AN71,1,MATCH(Drivers!AF$3,DriversGams!$A$70:$AN$70,0))</f>
        <v>0.44830655324511653</v>
      </c>
      <c r="AG34" s="288">
        <f>INDEX(DriversGams!$A71:$AN71,1,MATCH(Drivers!AG$3,DriversGams!$A$70:$AN$70,0))</f>
        <v>0.50702887986587275</v>
      </c>
      <c r="AH34" s="133"/>
      <c r="AI34" s="133"/>
      <c r="AJ34" s="133"/>
      <c r="AK34" s="133"/>
      <c r="AL34" s="133"/>
      <c r="AM34" s="133"/>
    </row>
    <row r="35" spans="1:39">
      <c r="A35" s="4" t="s">
        <v>279</v>
      </c>
      <c r="B35" s="4"/>
      <c r="C35" s="115"/>
      <c r="D35" s="115">
        <f>(D34/C34)^(1/(D$5-C$5))-1</f>
        <v>1.7064846416382284E-2</v>
      </c>
      <c r="E35" s="115">
        <f t="shared" ref="E35:AG35" si="10">(E34/D34)^(1/(E$5-D$5))-1</f>
        <v>1.0067114093959662E-2</v>
      </c>
      <c r="F35" s="115">
        <f t="shared" si="10"/>
        <v>6.6445182724252927E-3</v>
      </c>
      <c r="G35" s="115">
        <f t="shared" si="10"/>
        <v>0</v>
      </c>
      <c r="H35" s="115">
        <f t="shared" si="10"/>
        <v>1.3201320132013139E-2</v>
      </c>
      <c r="I35" s="115">
        <f t="shared" si="10"/>
        <v>3.2573289902280145E-3</v>
      </c>
      <c r="J35" s="115">
        <f t="shared" si="10"/>
        <v>-6.4935064935065512E-3</v>
      </c>
      <c r="K35" s="115">
        <f t="shared" si="10"/>
        <v>-8.8235294117646967E-2</v>
      </c>
      <c r="L35" s="115">
        <f t="shared" si="10"/>
        <v>2.5089605734766929E-2</v>
      </c>
      <c r="M35" s="115">
        <f t="shared" si="10"/>
        <v>1.0489510489510412E-2</v>
      </c>
      <c r="N35" s="115">
        <f t="shared" si="10"/>
        <v>1.384083044982698E-2</v>
      </c>
      <c r="O35" s="115">
        <f t="shared" si="10"/>
        <v>1.0238907849829282E-2</v>
      </c>
      <c r="P35" s="115">
        <f t="shared" si="10"/>
        <v>1.0135135135135087E-2</v>
      </c>
      <c r="Q35" s="115">
        <f t="shared" si="10"/>
        <v>1.6722408026755842E-2</v>
      </c>
      <c r="R35" s="115">
        <f t="shared" si="10"/>
        <v>1.3157894736842035E-2</v>
      </c>
      <c r="S35" s="115">
        <f t="shared" si="10"/>
        <v>1.6233766233766156E-2</v>
      </c>
      <c r="T35" s="115">
        <f t="shared" si="10"/>
        <v>1.9169329073482455E-2</v>
      </c>
      <c r="U35" s="115">
        <f t="shared" si="10"/>
        <v>1.2539184952978122E-2</v>
      </c>
      <c r="V35" s="115">
        <f t="shared" si="10"/>
        <v>2.1671826625387025E-2</v>
      </c>
      <c r="W35" s="115">
        <f t="shared" si="10"/>
        <v>1.8181818181818299E-2</v>
      </c>
      <c r="X35" s="115">
        <f t="shared" si="10"/>
        <v>2.0833333333333259E-2</v>
      </c>
      <c r="Y35" s="115">
        <f t="shared" si="10"/>
        <v>2.0408163265305923E-2</v>
      </c>
      <c r="Z35" s="115">
        <f t="shared" si="10"/>
        <v>2.1739130434782705E-2</v>
      </c>
      <c r="AA35" s="115">
        <f t="shared" si="10"/>
        <v>2.1739130434782705E-2</v>
      </c>
      <c r="AB35" s="115">
        <f t="shared" si="10"/>
        <v>2.3640661938534313E-2</v>
      </c>
      <c r="AC35" s="115">
        <f t="shared" si="10"/>
        <v>2.0785219399538146E-2</v>
      </c>
      <c r="AD35" s="115">
        <f t="shared" si="10"/>
        <v>2.2624434389140191E-2</v>
      </c>
      <c r="AE35" s="115">
        <f t="shared" si="10"/>
        <v>2.2123893805309658E-2</v>
      </c>
      <c r="AF35" s="115">
        <f t="shared" si="10"/>
        <v>2.3540605402066372E-2</v>
      </c>
      <c r="AG35" s="115">
        <f t="shared" si="10"/>
        <v>2.4923667450003073E-2</v>
      </c>
      <c r="AH35" s="115"/>
      <c r="AI35" s="115"/>
      <c r="AJ35" s="115"/>
      <c r="AK35" s="115"/>
      <c r="AL35" s="115"/>
      <c r="AM35" s="115"/>
    </row>
    <row r="36" spans="1:39">
      <c r="L36" s="10"/>
      <c r="Y36" s="115"/>
      <c r="Z36" s="115"/>
      <c r="AA36" s="115"/>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121" workbookViewId="0">
      <selection activeCell="P84" sqref="P84"/>
    </sheetView>
  </sheetViews>
  <sheetFormatPr defaultColWidth="8.85546875" defaultRowHeight="15"/>
  <cols>
    <col min="4" max="4" width="8.85546875" style="4"/>
    <col min="6" max="6" width="11.85546875" customWidth="1"/>
    <col min="7" max="7" width="9.85546875" customWidth="1"/>
    <col min="15" max="15" width="8.85546875" style="201"/>
    <col min="20" max="20" width="10.140625" style="201" customWidth="1"/>
    <col min="25" max="25" width="8.85546875" style="79"/>
  </cols>
  <sheetData>
    <row r="4" spans="1:56">
      <c r="B4">
        <v>2006</v>
      </c>
      <c r="G4">
        <f>AGR!J21</f>
        <v>2012</v>
      </c>
      <c r="H4" s="4">
        <f>AGR!K21</f>
        <v>2013</v>
      </c>
      <c r="I4" s="4">
        <f>AGR!L21</f>
        <v>2014</v>
      </c>
      <c r="J4" s="4">
        <f>AGR!M21</f>
        <v>2015</v>
      </c>
      <c r="K4" s="4">
        <f>AGR!N21</f>
        <v>2016</v>
      </c>
      <c r="L4" s="4">
        <f>AGR!O21</f>
        <v>2017</v>
      </c>
      <c r="M4" s="4">
        <f>AGR!P21</f>
        <v>2018</v>
      </c>
      <c r="N4" s="4">
        <f>AGR!Q21</f>
        <v>2019</v>
      </c>
      <c r="O4" s="201">
        <f>AGR!R21</f>
        <v>2020</v>
      </c>
      <c r="P4" s="4">
        <f>AGR!S21</f>
        <v>2021</v>
      </c>
      <c r="Q4" s="4">
        <f>AGR!T21</f>
        <v>2022</v>
      </c>
      <c r="R4" s="4">
        <f>AGR!U21</f>
        <v>2023</v>
      </c>
      <c r="S4" s="4">
        <f>AGR!V21</f>
        <v>2024</v>
      </c>
      <c r="T4" s="201">
        <f>AGR!W21</f>
        <v>2025</v>
      </c>
      <c r="U4" s="4">
        <f>AGR!X21</f>
        <v>2026</v>
      </c>
      <c r="V4" s="4">
        <f>AGR!Y21</f>
        <v>2027</v>
      </c>
      <c r="W4" s="4">
        <f>AGR!Z21</f>
        <v>2028</v>
      </c>
      <c r="X4" s="4">
        <f>AGR!AA21</f>
        <v>2029</v>
      </c>
      <c r="Y4" s="79">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35">
        <f>MATCH(F5,AGR!$D$22:$D$26,0)</f>
        <v>1</v>
      </c>
      <c r="F5" t="str">
        <f>A5</f>
        <v>AH</v>
      </c>
      <c r="G5" s="133">
        <f ca="1">OFFSET(AGR!J$21,$E5,0)</f>
        <v>2.5043970166379772</v>
      </c>
      <c r="H5" s="133">
        <f ca="1">OFFSET(AGR!K$21,$E5,0)</f>
        <v>2.6102115568711772</v>
      </c>
      <c r="I5" s="133">
        <f ca="1">OFFSET(AGR!L$21,$E5,0)</f>
        <v>2.7204969205602345</v>
      </c>
      <c r="J5" s="133">
        <f ca="1">OFFSET(AGR!M$21,$E5,0)</f>
        <v>2.822931461749393</v>
      </c>
      <c r="K5" s="133">
        <f ca="1">OFFSET(AGR!N$21,$E5,0)</f>
        <v>2.7799388623451842</v>
      </c>
      <c r="L5" s="133">
        <f ca="1">OFFSET(AGR!O$21,$E5,0)</f>
        <v>2.7496571184170024</v>
      </c>
      <c r="M5" s="133">
        <f ca="1">OFFSET(AGR!P$21,$E5,0)</f>
        <v>2.8412500475824909</v>
      </c>
      <c r="N5" s="133">
        <f ca="1">OFFSET(AGR!Q$21,$E5,0)</f>
        <v>2.7956405073449826</v>
      </c>
      <c r="O5" s="212">
        <f ca="1">OFFSET(AGR!R$21,$E5,0)</f>
        <v>2.7489094210360601</v>
      </c>
      <c r="P5" s="133">
        <f ca="1">OFFSET(AGR!S$21,$E5,0)</f>
        <v>2.6528303075849147</v>
      </c>
      <c r="Q5" s="133">
        <f ca="1">OFFSET(AGR!T$21,$E5,0)</f>
        <v>2.7276000456791905</v>
      </c>
      <c r="R5" s="133">
        <f ca="1">OFFSET(AGR!U$21,$E5,0)</f>
        <v>2.8038651785353523</v>
      </c>
      <c r="S5" s="133">
        <f ca="1">OFFSET(AGR!V$21,$E5,0)</f>
        <v>2.8606901794870021</v>
      </c>
      <c r="T5" s="212">
        <f ca="1">OFFSET(AGR!W$21,$E5,0)</f>
        <v>2.9122812987720534</v>
      </c>
      <c r="U5" s="133">
        <f ca="1">OFFSET(AGR!X$21,$E5,0)</f>
        <v>2.9582646877000327</v>
      </c>
      <c r="V5" s="133">
        <f ca="1">OFFSET(AGR!Y$21,$E5,0)</f>
        <v>3.0337821231752518</v>
      </c>
      <c r="W5" s="133">
        <f ca="1">OFFSET(AGR!Z$21,$E5,0)</f>
        <v>3.1051872230552853</v>
      </c>
      <c r="X5" s="133">
        <f ca="1">OFFSET(AGR!AA$21,$E5,0)</f>
        <v>3.177713869006733</v>
      </c>
      <c r="Y5" s="214">
        <f ca="1">OFFSET(AGR!AB$21,$E5,0)</f>
        <v>3.24463278460111</v>
      </c>
      <c r="Z5" s="133">
        <f ca="1">OFFSET(AGR!AC$21,$E5,0)</f>
        <v>3.3126732462669009</v>
      </c>
      <c r="AA5" s="133">
        <f ca="1">OFFSET(AGR!AD$21,$E5,0)</f>
        <v>3.3840783461469344</v>
      </c>
      <c r="AB5" s="133">
        <f ca="1">OFFSET(AGR!AE$21,$E5,0)</f>
        <v>3.4476326235270696</v>
      </c>
      <c r="AC5" s="133">
        <f ca="1">OFFSET(AGR!AF$21,$E5,0)</f>
        <v>3.5141776904309752</v>
      </c>
      <c r="AD5" s="133">
        <f ca="1">OFFSET(AGR!AG$21,$E5,0)</f>
        <v>3.5825920007872374</v>
      </c>
      <c r="AE5" s="133">
        <f ca="1">OFFSET(AGR!AH$21,$E5,0)</f>
        <v>3.6521278572149143</v>
      </c>
      <c r="AF5" s="133">
        <f ca="1">OFFSET(AGR!AI$21,$E5,0)</f>
        <v>3.7280191413806048</v>
      </c>
      <c r="AG5" s="133">
        <f ca="1">OFFSET(AGR!AJ$21,$E5,0)</f>
        <v>3.8076489124510089</v>
      </c>
      <c r="AH5" s="133">
        <f ca="1">OFFSET(AGR!AK$21,$E5,0)</f>
        <v>3.8887740782832982</v>
      </c>
      <c r="AI5" s="133">
        <f ca="1">OFFSET(AGR!AL$21,$E5,0)</f>
        <v>3.9725161849488879</v>
      </c>
      <c r="AJ5" s="133">
        <f ca="1">OFFSET(AGR!AM$21,$E5,0)</f>
        <v>4.0599967785191904</v>
      </c>
      <c r="AK5" s="133">
        <f ca="1">OFFSET(AGR!AN$21,$E5,0)</f>
        <v>4.512353693989561</v>
      </c>
      <c r="AL5" s="133">
        <f ca="1">OFFSET(AGR!AO$21,$E5,0)</f>
        <v>5.0936884076725573</v>
      </c>
      <c r="AM5" s="133">
        <f ca="1">OFFSET(AGR!AP$21,$E5,0)</f>
        <v>5.0936884076725573</v>
      </c>
      <c r="AQ5" s="4"/>
    </row>
    <row r="6" spans="1:56">
      <c r="A6" s="36" t="s">
        <v>306</v>
      </c>
      <c r="B6">
        <v>6.8942225938929997</v>
      </c>
      <c r="E6" s="136">
        <f>MATCH(F6,AGR!$D$22:$D$26,0)</f>
        <v>4</v>
      </c>
      <c r="F6" s="4" t="str">
        <f t="shared" ref="F6:F68" si="0">A6</f>
        <v>AI</v>
      </c>
      <c r="G6" s="133">
        <f ca="1">OFFSET(AGR!J$21,$E6,0)</f>
        <v>4.8851919315217742</v>
      </c>
      <c r="H6" s="133">
        <f ca="1">OFFSET(AGR!K$21,$E6,0)</f>
        <v>5.0915986373079276</v>
      </c>
      <c r="I6" s="133">
        <f ca="1">OFFSET(AGR!L$21,$E6,0)</f>
        <v>5.3067263368217974</v>
      </c>
      <c r="J6" s="133">
        <f ca="1">OFFSET(AGR!M$21,$E6,0)</f>
        <v>5.5065398611160363</v>
      </c>
      <c r="K6" s="133">
        <f ca="1">OFFSET(AGR!N$21,$E6,0)</f>
        <v>5.4226765206275784</v>
      </c>
      <c r="L6" s="133">
        <f ca="1">OFFSET(AGR!O$21,$E6,0)</f>
        <v>5.3636075590661427</v>
      </c>
      <c r="M6" s="133">
        <f ca="1">OFFSET(AGR!P$21,$E6,0)</f>
        <v>5.5422729366285095</v>
      </c>
      <c r="N6" s="133">
        <f ca="1">OFFSET(AGR!Q$21,$E6,0)</f>
        <v>5.4533048710668419</v>
      </c>
      <c r="O6" s="212">
        <f ca="1">OFFSET(AGR!R$21,$E6,0)</f>
        <v>5.3621490661880831</v>
      </c>
      <c r="P6" s="133">
        <f ca="1">OFFSET(AGR!S$21,$E6,0)</f>
        <v>5.1747327313573548</v>
      </c>
      <c r="Q6" s="133">
        <f ca="1">OFFSET(AGR!T$21,$E6,0)</f>
        <v>5.3205820191633677</v>
      </c>
      <c r="R6" s="133">
        <f ca="1">OFFSET(AGR!U$21,$E6,0)</f>
        <v>5.4693482927255017</v>
      </c>
      <c r="S6" s="133">
        <f ca="1">OFFSET(AGR!V$21,$E6,0)</f>
        <v>5.5801937514580722</v>
      </c>
      <c r="T6" s="212">
        <f ca="1">OFFSET(AGR!W$21,$E6,0)</f>
        <v>5.6808297600442224</v>
      </c>
      <c r="U6" s="133">
        <f ca="1">OFFSET(AGR!X$21,$E6,0)</f>
        <v>5.7705270720449198</v>
      </c>
      <c r="V6" s="133">
        <f ca="1">OFFSET(AGR!Y$21,$E6,0)</f>
        <v>5.9178348527289941</v>
      </c>
      <c r="W6" s="133">
        <f ca="1">OFFSET(AGR!Z$21,$E6,0)</f>
        <v>6.0571209225837368</v>
      </c>
      <c r="X6" s="133">
        <f ca="1">OFFSET(AGR!AA$21,$E6,0)</f>
        <v>6.198594731755569</v>
      </c>
      <c r="Y6" s="214">
        <f ca="1">OFFSET(AGR!AB$21,$E6,0)</f>
        <v>6.329129844341951</v>
      </c>
      <c r="Z6" s="133">
        <f ca="1">OFFSET(AGR!AC$21,$E6,0)</f>
        <v>6.4618526962454217</v>
      </c>
      <c r="AA6" s="133">
        <f ca="1">OFFSET(AGR!AD$21,$E6,0)</f>
        <v>6.6011387661001644</v>
      </c>
      <c r="AB6" s="133">
        <f ca="1">OFFSET(AGR!AE$21,$E6,0)</f>
        <v>6.7251106607352762</v>
      </c>
      <c r="AC6" s="133">
        <f ca="1">OFFSET(AGR!AF$21,$E6,0)</f>
        <v>6.8549165268826275</v>
      </c>
      <c r="AD6" s="133">
        <f ca="1">OFFSET(AGR!AG$21,$E6,0)</f>
        <v>6.9883686252251289</v>
      </c>
      <c r="AE6" s="133">
        <f ca="1">OFFSET(AGR!AH$21,$E6,0)</f>
        <v>7.1240084628847216</v>
      </c>
      <c r="AF6" s="133">
        <f ca="1">OFFSET(AGR!AI$21,$E6,0)</f>
        <v>7.2720454900078257</v>
      </c>
      <c r="AG6" s="133">
        <f ca="1">OFFSET(AGR!AJ$21,$E6,0)</f>
        <v>7.42737498152123</v>
      </c>
      <c r="AH6" s="133">
        <f ca="1">OFFSET(AGR!AK$21,$E6,0)</f>
        <v>7.5856214587907536</v>
      </c>
      <c r="AI6" s="133">
        <f ca="1">OFFSET(AGR!AL$21,$E6,0)</f>
        <v>7.7489726611334895</v>
      </c>
      <c r="AJ6" s="133">
        <f ca="1">OFFSET(AGR!AM$21,$E6,0)</f>
        <v>7.9196163278665237</v>
      </c>
      <c r="AK6" s="133">
        <f ca="1">OFFSET(AGR!AN$21,$E6,0)</f>
        <v>8.8020045190929039</v>
      </c>
      <c r="AL6" s="133">
        <f ca="1">OFFSET(AGR!AO$21,$E6,0)</f>
        <v>9.935982731784657</v>
      </c>
      <c r="AM6" s="133">
        <f ca="1">OFFSET(AGR!AP$21,$E6,0)</f>
        <v>9.935982731784657</v>
      </c>
      <c r="AQ6" s="4"/>
    </row>
    <row r="7" spans="1:56">
      <c r="A7" s="36" t="s">
        <v>307</v>
      </c>
      <c r="B7">
        <v>8.6660070567129992</v>
      </c>
      <c r="E7" s="136">
        <f>MATCH(F7,AGR!$D$22:$D$26,0)</f>
        <v>5</v>
      </c>
      <c r="F7" s="4" t="str">
        <f t="shared" si="0"/>
        <v>AO</v>
      </c>
      <c r="G7" s="133">
        <f ca="1">OFFSET(AGR!J$21,$E7,0)</f>
        <v>8.4310585921569263</v>
      </c>
      <c r="H7" s="133">
        <f ca="1">OFFSET(AGR!K$21,$E7,0)</f>
        <v>8.7872834968670794</v>
      </c>
      <c r="I7" s="133">
        <f ca="1">OFFSET(AGR!L$21,$E7,0)</f>
        <v>9.1585594395161465</v>
      </c>
      <c r="J7" s="133">
        <f ca="1">OFFSET(AGR!M$21,$E7,0)</f>
        <v>9.5034055692986712</v>
      </c>
      <c r="K7" s="133">
        <f ca="1">OFFSET(AGR!N$21,$E7,0)</f>
        <v>9.3586708797914078</v>
      </c>
      <c r="L7" s="133">
        <f ca="1">OFFSET(AGR!O$21,$E7,0)</f>
        <v>9.2567273158775958</v>
      </c>
      <c r="M7" s="133">
        <f ca="1">OFFSET(AGR!P$21,$E7,0)</f>
        <v>9.5650751326539414</v>
      </c>
      <c r="N7" s="133">
        <f ca="1">OFFSET(AGR!Q$21,$E7,0)</f>
        <v>9.4115305055244978</v>
      </c>
      <c r="O7" s="212">
        <f ca="1">OFFSET(AGR!R$21,$E7,0)</f>
        <v>9.2542101908426897</v>
      </c>
      <c r="P7" s="133">
        <f ca="1">OFFSET(AGR!S$21,$E7,0)</f>
        <v>8.9307596238568898</v>
      </c>
      <c r="Q7" s="133">
        <f ca="1">OFFSET(AGR!T$21,$E7,0)</f>
        <v>9.1824721273477827</v>
      </c>
      <c r="R7" s="133">
        <f ca="1">OFFSET(AGR!U$21,$E7,0)</f>
        <v>9.4392188809084949</v>
      </c>
      <c r="S7" s="133">
        <f ca="1">OFFSET(AGR!V$21,$E7,0)</f>
        <v>9.6305203835615742</v>
      </c>
      <c r="T7" s="212">
        <f ca="1">OFFSET(AGR!W$21,$E7,0)</f>
        <v>9.8042020109702932</v>
      </c>
      <c r="U7" s="133">
        <f ca="1">OFFSET(AGR!X$21,$E7,0)</f>
        <v>9.9590052006171916</v>
      </c>
      <c r="V7" s="133">
        <f ca="1">OFFSET(AGR!Y$21,$E7,0)</f>
        <v>10.213234829142994</v>
      </c>
      <c r="W7" s="133">
        <f ca="1">OFFSET(AGR!Z$21,$E7,0)</f>
        <v>10.453620269976797</v>
      </c>
      <c r="X7" s="133">
        <f ca="1">OFFSET(AGR!AA$21,$E7,0)</f>
        <v>10.697781398362963</v>
      </c>
      <c r="Y7" s="214">
        <f ca="1">OFFSET(AGR!AB$21,$E7,0)</f>
        <v>10.923064088987314</v>
      </c>
      <c r="Z7" s="133">
        <f ca="1">OFFSET(AGR!AC$21,$E7,0)</f>
        <v>11.152122467164025</v>
      </c>
      <c r="AA7" s="133">
        <f ca="1">OFFSET(AGR!AD$21,$E7,0)</f>
        <v>11.392507907997828</v>
      </c>
      <c r="AB7" s="133">
        <f ca="1">OFFSET(AGR!AE$21,$E7,0)</f>
        <v>11.606463535965089</v>
      </c>
      <c r="AC7" s="133">
        <f ca="1">OFFSET(AGR!AF$21,$E7,0)</f>
        <v>11.830487664071983</v>
      </c>
      <c r="AD7" s="133">
        <f ca="1">OFFSET(AGR!AG$21,$E7,0)</f>
        <v>12.060804604766149</v>
      </c>
      <c r="AE7" s="133">
        <f ca="1">OFFSET(AGR!AH$21,$E7,0)</f>
        <v>12.29489723301268</v>
      </c>
      <c r="AF7" s="133">
        <f ca="1">OFFSET(AGR!AI$21,$E7,0)</f>
        <v>12.550385424055937</v>
      </c>
      <c r="AG7" s="133">
        <f ca="1">OFFSET(AGR!AJ$21,$E7,0)</f>
        <v>12.818459240273739</v>
      </c>
      <c r="AH7" s="133">
        <f ca="1">OFFSET(AGR!AK$21,$E7,0)</f>
        <v>13.091567306561357</v>
      </c>
      <c r="AI7" s="133">
        <f ca="1">OFFSET(AGR!AL$21,$E7,0)</f>
        <v>13.373485310471159</v>
      </c>
      <c r="AJ7" s="133">
        <f ca="1">OFFSET(AGR!AM$21,$E7,0)</f>
        <v>13.667988939555501</v>
      </c>
      <c r="AK7" s="133">
        <f ca="1">OFFSET(AGR!AN$21,$E7,0)</f>
        <v>15.190849585675405</v>
      </c>
      <c r="AL7" s="133">
        <f ca="1">OFFSET(AGR!AO$21,$E7,0)</f>
        <v>17.147914300317098</v>
      </c>
      <c r="AM7" s="133">
        <f ca="1">OFFSET(AGR!AP$21,$E7,0)</f>
        <v>17.147914300317098</v>
      </c>
      <c r="AQ7" s="4"/>
    </row>
    <row r="8" spans="1:56">
      <c r="A8" s="36" t="s">
        <v>308</v>
      </c>
      <c r="B8">
        <v>5.4851590254799998</v>
      </c>
      <c r="E8" s="136">
        <f>MATCH(F8,AGR!$D$22:$D$26,0)</f>
        <v>2</v>
      </c>
      <c r="F8" s="4" t="str">
        <f t="shared" si="0"/>
        <v>AP</v>
      </c>
      <c r="G8" s="133">
        <f ca="1">OFFSET(AGR!J$21,$E8,0)</f>
        <v>3.8349683201390801</v>
      </c>
      <c r="H8" s="133">
        <f ca="1">OFFSET(AGR!K$21,$E8,0)</f>
        <v>3.9970014989475917</v>
      </c>
      <c r="I8" s="133">
        <f ca="1">OFFSET(AGR!L$21,$E8,0)</f>
        <v>4.1658808232371278</v>
      </c>
      <c r="J8" s="133">
        <f ca="1">OFFSET(AGR!M$21,$E8,0)</f>
        <v>4.3227382295263919</v>
      </c>
      <c r="K8" s="133">
        <f ca="1">OFFSET(AGR!N$21,$E8,0)</f>
        <v>4.2569039166677589</v>
      </c>
      <c r="L8" s="133">
        <f ca="1">OFFSET(AGR!O$21,$E8,0)</f>
        <v>4.2105336615238524</v>
      </c>
      <c r="M8" s="133">
        <f ca="1">OFFSET(AGR!P$21,$E8,0)</f>
        <v>4.3507893715270267</v>
      </c>
      <c r="N8" s="133">
        <f ca="1">OFFSET(AGR!Q$21,$E8,0)</f>
        <v>4.280947752668304</v>
      </c>
      <c r="O8" s="212">
        <f ca="1">OFFSET(AGR!R$21,$E8,0)</f>
        <v>4.2093887169523985</v>
      </c>
      <c r="P8" s="133">
        <f ca="1">OFFSET(AGR!S$21,$E8,0)</f>
        <v>4.0622633395204968</v>
      </c>
      <c r="Q8" s="133">
        <f ca="1">OFFSET(AGR!T$21,$E8,0)</f>
        <v>4.1767577966659442</v>
      </c>
      <c r="R8" s="133">
        <f ca="1">OFFSET(AGR!U$21,$E8,0)</f>
        <v>4.2935421429543013</v>
      </c>
      <c r="S8" s="133">
        <f ca="1">OFFSET(AGR!V$21,$E8,0)</f>
        <v>4.3805579303848416</v>
      </c>
      <c r="T8" s="212">
        <f ca="1">OFFSET(AGR!W$21,$E8,0)</f>
        <v>4.4595591058152015</v>
      </c>
      <c r="U8" s="133">
        <f ca="1">OFFSET(AGR!X$21,$E8,0)</f>
        <v>4.5299731969596513</v>
      </c>
      <c r="V8" s="133">
        <f ca="1">OFFSET(AGR!Y$21,$E8,0)</f>
        <v>4.6456125986765544</v>
      </c>
      <c r="W8" s="133">
        <f ca="1">OFFSET(AGR!Z$21,$E8,0)</f>
        <v>4.7549548052504571</v>
      </c>
      <c r="X8" s="133">
        <f ca="1">OFFSET(AGR!AA$21,$E8,0)</f>
        <v>4.8660144286815417</v>
      </c>
      <c r="Y8" s="214">
        <f ca="1">OFFSET(AGR!AB$21,$E8,0)</f>
        <v>4.9684869678267178</v>
      </c>
      <c r="Z8" s="133">
        <f ca="1">OFFSET(AGR!AC$21,$E8,0)</f>
        <v>5.072676923829075</v>
      </c>
      <c r="AA8" s="133">
        <f ca="1">OFFSET(AGR!AD$21,$E8,0)</f>
        <v>5.1820191304029777</v>
      </c>
      <c r="AB8" s="133">
        <f ca="1">OFFSET(AGR!AE$21,$E8,0)</f>
        <v>5.2793394189766092</v>
      </c>
      <c r="AC8" s="133">
        <f ca="1">OFFSET(AGR!AF$21,$E8,0)</f>
        <v>5.3812394858360575</v>
      </c>
      <c r="AD8" s="133">
        <f ca="1">OFFSET(AGR!AG$21,$E8,0)</f>
        <v>5.4860019141241416</v>
      </c>
      <c r="AE8" s="133">
        <f ca="1">OFFSET(AGR!AH$21,$E8,0)</f>
        <v>5.5924817592694085</v>
      </c>
      <c r="AF8" s="133">
        <f ca="1">OFFSET(AGR!AI$21,$E8,0)</f>
        <v>5.7086936332720386</v>
      </c>
      <c r="AG8" s="133">
        <f ca="1">OFFSET(AGR!AJ$21,$E8,0)</f>
        <v>5.8306302301319404</v>
      </c>
      <c r="AH8" s="133">
        <f ca="1">OFFSET(AGR!AK$21,$E8,0)</f>
        <v>5.954856716134751</v>
      </c>
      <c r="AI8" s="133">
        <f ca="1">OFFSET(AGR!AL$21,$E8,0)</f>
        <v>6.0830905081376532</v>
      </c>
      <c r="AJ8" s="133">
        <f ca="1">OFFSET(AGR!AM$21,$E8,0)</f>
        <v>6.2170490229978261</v>
      </c>
      <c r="AK8" s="133">
        <f ca="1">OFFSET(AGR!AN$21,$E8,0)</f>
        <v>6.9097404887277865</v>
      </c>
      <c r="AL8" s="133">
        <f ca="1">OFFSET(AGR!AO$21,$E8,0)</f>
        <v>7.7999348930336438</v>
      </c>
      <c r="AM8" s="133">
        <f ca="1">OFFSET(AGR!AP$21,$E8,0)</f>
        <v>7.7999348930336438</v>
      </c>
      <c r="AQ8" s="4"/>
    </row>
    <row r="9" spans="1:56">
      <c r="A9" s="36" t="s">
        <v>309</v>
      </c>
      <c r="B9">
        <v>14.26028349219</v>
      </c>
      <c r="E9" s="137">
        <f>MATCH(F9,AGR!$D$22:$D$26,0)</f>
        <v>3</v>
      </c>
      <c r="F9" s="4" t="str">
        <f t="shared" si="0"/>
        <v>AT</v>
      </c>
      <c r="G9" s="133">
        <f ca="1">OFFSET(AGR!J$21,$E9,0)</f>
        <v>9.5227140641133712</v>
      </c>
      <c r="H9" s="133">
        <f ca="1">OFFSET(AGR!K$21,$E9,0)</f>
        <v>9.9250630542184179</v>
      </c>
      <c r="I9" s="133">
        <f ca="1">OFFSET(AGR!L$21,$E9,0)</f>
        <v>10.344411894234808</v>
      </c>
      <c r="J9" s="133">
        <f ca="1">OFFSET(AGR!M$21,$E9,0)</f>
        <v>10.733908782927998</v>
      </c>
      <c r="K9" s="133">
        <f ca="1">OFFSET(AGR!N$21,$E9,0)</f>
        <v>10.570433811396184</v>
      </c>
      <c r="L9" s="133">
        <f ca="1">OFFSET(AGR!O$21,$E9,0)</f>
        <v>10.455290570578123</v>
      </c>
      <c r="M9" s="133">
        <f ca="1">OFFSET(AGR!P$21,$E9,0)</f>
        <v>10.803563336015465</v>
      </c>
      <c r="N9" s="133">
        <f ca="1">OFFSET(AGR!Q$21,$E9,0)</f>
        <v>10.630137714042586</v>
      </c>
      <c r="O9" s="212">
        <f ca="1">OFFSET(AGR!R$21,$E9,0)</f>
        <v>10.452447527594963</v>
      </c>
      <c r="P9" s="133">
        <f ca="1">OFFSET(AGR!S$21,$E9,0)</f>
        <v>10.087116504258649</v>
      </c>
      <c r="Q9" s="133">
        <f ca="1">OFFSET(AGR!T$21,$E9,0)</f>
        <v>10.371420802574844</v>
      </c>
      <c r="R9" s="133">
        <f ca="1">OFFSET(AGR!U$21,$E9,0)</f>
        <v>10.661411186857366</v>
      </c>
      <c r="S9" s="133">
        <f ca="1">OFFSET(AGR!V$21,$E9,0)</f>
        <v>10.877482453577676</v>
      </c>
      <c r="T9" s="212">
        <f ca="1">OFFSET(AGR!W$21,$E9,0)</f>
        <v>11.073652419415854</v>
      </c>
      <c r="U9" s="133">
        <f ca="1">OFFSET(AGR!X$21,$E9,0)</f>
        <v>11.248499562880314</v>
      </c>
      <c r="V9" s="133">
        <f ca="1">OFFSET(AGR!Y$21,$E9,0)</f>
        <v>11.535646904179673</v>
      </c>
      <c r="W9" s="133">
        <f ca="1">OFFSET(AGR!Z$21,$E9,0)</f>
        <v>11.80715750907164</v>
      </c>
      <c r="X9" s="133">
        <f ca="1">OFFSET(AGR!AA$21,$E9,0)</f>
        <v>12.08293267843835</v>
      </c>
      <c r="Y9" s="214">
        <f ca="1">OFFSET(AGR!AB$21,$E9,0)</f>
        <v>12.337385025431347</v>
      </c>
      <c r="Z9" s="133">
        <f ca="1">OFFSET(AGR!AC$21,$E9,0)</f>
        <v>12.596101936899084</v>
      </c>
      <c r="AA9" s="133">
        <f ca="1">OFFSET(AGR!AD$21,$E9,0)</f>
        <v>12.867612541791052</v>
      </c>
      <c r="AB9" s="133">
        <f ca="1">OFFSET(AGR!AE$21,$E9,0)</f>
        <v>13.10927119535982</v>
      </c>
      <c r="AC9" s="133">
        <f ca="1">OFFSET(AGR!AF$21,$E9,0)</f>
        <v>13.362302020861234</v>
      </c>
      <c r="AD9" s="133">
        <f ca="1">OFFSET(AGR!AG$21,$E9,0)</f>
        <v>13.622440453820552</v>
      </c>
      <c r="AE9" s="133">
        <f ca="1">OFFSET(AGR!AH$21,$E9,0)</f>
        <v>13.886843451254615</v>
      </c>
      <c r="AF9" s="133">
        <f ca="1">OFFSET(AGR!AI$21,$E9,0)</f>
        <v>14.175412314045555</v>
      </c>
      <c r="AG9" s="133">
        <f ca="1">OFFSET(AGR!AJ$21,$E9,0)</f>
        <v>14.478196391752304</v>
      </c>
      <c r="AH9" s="133">
        <f ca="1">OFFSET(AGR!AK$21,$E9,0)</f>
        <v>14.786666555425375</v>
      </c>
      <c r="AI9" s="133">
        <f ca="1">OFFSET(AGR!AL$21,$E9,0)</f>
        <v>15.105087369539518</v>
      </c>
      <c r="AJ9" s="133">
        <f ca="1">OFFSET(AGR!AM$21,$E9,0)</f>
        <v>15.437723398569466</v>
      </c>
      <c r="AK9" s="133">
        <f ca="1">OFFSET(AGR!AN$21,$E9,0)</f>
        <v>17.157764403382455</v>
      </c>
      <c r="AL9" s="133">
        <f ca="1">OFFSET(AGR!AO$21,$E9,0)</f>
        <v>19.368230322790879</v>
      </c>
      <c r="AM9" s="133">
        <f ca="1">OFFSET(AGR!AP$21,$E9,0)</f>
        <v>19.368230322790879</v>
      </c>
      <c r="AQ9" s="4"/>
    </row>
    <row r="10" spans="1:56">
      <c r="A10" s="36" t="s">
        <v>310</v>
      </c>
      <c r="B10">
        <v>0.39719718710289997</v>
      </c>
      <c r="E10" s="136">
        <f ca="1">MATCH(F10,IND!$D$26:$D$255,0)</f>
        <v>110</v>
      </c>
      <c r="F10" s="4" t="str">
        <f t="shared" si="0"/>
        <v>ICPA</v>
      </c>
      <c r="G10" s="133">
        <f ca="1">OFFSET(IND!J$25,$E10,0)</f>
        <v>0.2086787369811067</v>
      </c>
      <c r="H10" s="133">
        <f ca="1">OFFSET(IND!K$25,$E10,0)</f>
        <v>0.21460598760545171</v>
      </c>
      <c r="I10" s="133">
        <f ca="1">OFFSET(IND!L$25,$E10,0)</f>
        <v>0.21835991300087018</v>
      </c>
      <c r="J10" s="133">
        <f ca="1">OFFSET(IND!M$25,$E10,0)</f>
        <v>0.2398875</v>
      </c>
      <c r="K10" s="133">
        <f ca="1">OFFSET(IND!N$25,$E10,0)</f>
        <v>0.2398875</v>
      </c>
      <c r="L10" s="133">
        <f ca="1">OFFSET(IND!O$25,$E10,0)</f>
        <v>0.2398875</v>
      </c>
      <c r="M10" s="133">
        <f ca="1">OFFSET(IND!P$25,$E10,0)</f>
        <v>0.24196426457597173</v>
      </c>
      <c r="N10" s="133">
        <f ca="1">OFFSET(IND!Q$25,$E10,0)</f>
        <v>0.24141328621908126</v>
      </c>
      <c r="O10" s="212">
        <f ca="1">OFFSET(IND!R$25,$E10,0)</f>
        <v>0.22195951192579502</v>
      </c>
      <c r="P10" s="133">
        <f ca="1">OFFSET(IND!S$25,$E10,0)</f>
        <v>0.22785074204946992</v>
      </c>
      <c r="Q10" s="133">
        <f ca="1">OFFSET(IND!T$25,$E10,0)</f>
        <v>0.23319099381625438</v>
      </c>
      <c r="R10" s="133">
        <f ca="1">OFFSET(IND!U$25,$E10,0)</f>
        <v>0.23823456492932857</v>
      </c>
      <c r="S10" s="133">
        <f ca="1">OFFSET(IND!V$25,$E10,0)</f>
        <v>0.24306622128975261</v>
      </c>
      <c r="T10" s="212">
        <f ca="1">OFFSET(IND!W$25,$E10,0)</f>
        <v>0.248321707155477</v>
      </c>
      <c r="U10" s="133">
        <f ca="1">OFFSET(IND!X$25,$E10,0)</f>
        <v>0.25501821333922253</v>
      </c>
      <c r="V10" s="133">
        <f ca="1">OFFSET(IND!Y$25,$E10,0)</f>
        <v>0.261587570671378</v>
      </c>
      <c r="W10" s="133">
        <f ca="1">OFFSET(IND!Z$25,$E10,0)</f>
        <v>0.26832645980565367</v>
      </c>
      <c r="X10" s="133">
        <f ca="1">OFFSET(IND!AA$25,$E10,0)</f>
        <v>0.27587062499999998</v>
      </c>
      <c r="Y10" s="214">
        <f ca="1">OFFSET(IND!AB$25,$E10,0)</f>
        <v>0.28366908789752648</v>
      </c>
      <c r="Z10" s="133">
        <f ca="1">OFFSET(IND!AC$25,$E10,0)</f>
        <v>0.29172184849823318</v>
      </c>
      <c r="AA10" s="133">
        <f ca="1">OFFSET(IND!AD$25,$E10,0)</f>
        <v>0.29952031139575969</v>
      </c>
      <c r="AB10" s="133">
        <f ca="1">OFFSET(IND!AE$25,$E10,0)</f>
        <v>0.30808166740282683</v>
      </c>
      <c r="AC10" s="133">
        <f ca="1">OFFSET(IND!AF$25,$E10,0)</f>
        <v>0.31723638471731441</v>
      </c>
      <c r="AD10" s="133">
        <f ca="1">OFFSET(IND!AG$25,$E10,0)</f>
        <v>0.32732352694346289</v>
      </c>
      <c r="AE10" s="133">
        <f ca="1">OFFSET(IND!AH$25,$E10,0)</f>
        <v>0.33770734982332157</v>
      </c>
      <c r="AF10" s="133">
        <f ca="1">OFFSET(IND!AI$25,$E10,0)</f>
        <v>0.34838785335689043</v>
      </c>
      <c r="AG10" s="133">
        <f ca="1">OFFSET(IND!AJ$25,$E10,0)</f>
        <v>0.35919550574204945</v>
      </c>
      <c r="AH10" s="133">
        <f ca="1">OFFSET(IND!AK$25,$E10,0)</f>
        <v>0.37034222173144871</v>
      </c>
      <c r="AI10" s="133">
        <f ca="1">OFFSET(IND!AL$25,$E10,0)</f>
        <v>0.38208229902826851</v>
      </c>
      <c r="AJ10" s="133">
        <f ca="1">OFFSET(IND!AM$25,$E10,0)</f>
        <v>0.44502098056537093</v>
      </c>
      <c r="AK10" s="133">
        <f ca="1">OFFSET(IND!AN$25,$E10,0)</f>
        <v>0.52211556757950517</v>
      </c>
      <c r="AL10" s="133">
        <f ca="1">OFFSET(IND!AO$25,$E10,0)</f>
        <v>0.65978951855123968</v>
      </c>
      <c r="AM10" s="133">
        <f ca="1">OFFSET(IND!AP$25,$E10,0)</f>
        <v>0.79982278710247634</v>
      </c>
      <c r="AQ10" s="4"/>
    </row>
    <row r="11" spans="1:56">
      <c r="A11" s="36" t="s">
        <v>311</v>
      </c>
      <c r="B11">
        <v>5.295962494706</v>
      </c>
      <c r="E11" s="136">
        <f ca="1">MATCH(F11,IND!$D$26:$D$255,0)</f>
        <v>112</v>
      </c>
      <c r="F11" s="4" t="str">
        <f t="shared" si="0"/>
        <v>ICPC</v>
      </c>
      <c r="G11" s="133">
        <f ca="1">OFFSET(IND!J$25,$E11,0)</f>
        <v>2.7823831597480893</v>
      </c>
      <c r="H11" s="133">
        <f ca="1">OFFSET(IND!K$25,$E11,0)</f>
        <v>2.8614131680726893</v>
      </c>
      <c r="I11" s="133">
        <f ca="1">OFFSET(IND!L$25,$E11,0)</f>
        <v>2.9114655066782689</v>
      </c>
      <c r="J11" s="133">
        <f ca="1">OFFSET(IND!M$25,$E11,0)</f>
        <v>3.1985000000000001</v>
      </c>
      <c r="K11" s="133">
        <f ca="1">OFFSET(IND!N$25,$E11,0)</f>
        <v>3.1985000000000001</v>
      </c>
      <c r="L11" s="133">
        <f ca="1">OFFSET(IND!O$25,$E11,0)</f>
        <v>3.1985000000000001</v>
      </c>
      <c r="M11" s="133">
        <f ca="1">OFFSET(IND!P$25,$E11,0)</f>
        <v>3.2261901943462901</v>
      </c>
      <c r="N11" s="133">
        <f ca="1">OFFSET(IND!Q$25,$E11,0)</f>
        <v>3.2188438162544171</v>
      </c>
      <c r="O11" s="212">
        <f ca="1">OFFSET(IND!R$25,$E11,0)</f>
        <v>2.9594601590106007</v>
      </c>
      <c r="P11" s="133">
        <f ca="1">OFFSET(IND!S$25,$E11,0)</f>
        <v>3.0380098939929328</v>
      </c>
      <c r="Q11" s="133">
        <f ca="1">OFFSET(IND!T$25,$E11,0)</f>
        <v>3.1092132508833923</v>
      </c>
      <c r="R11" s="133">
        <f ca="1">OFFSET(IND!U$25,$E11,0)</f>
        <v>3.1764608657243816</v>
      </c>
      <c r="S11" s="133">
        <f ca="1">OFFSET(IND!V$25,$E11,0)</f>
        <v>3.2408829505300356</v>
      </c>
      <c r="T11" s="212">
        <f ca="1">OFFSET(IND!W$25,$E11,0)</f>
        <v>3.3109560954063606</v>
      </c>
      <c r="U11" s="133">
        <f ca="1">OFFSET(IND!X$25,$E11,0)</f>
        <v>3.400242844522968</v>
      </c>
      <c r="V11" s="133">
        <f ca="1">OFFSET(IND!Y$25,$E11,0)</f>
        <v>3.4878342756183742</v>
      </c>
      <c r="W11" s="133">
        <f ca="1">OFFSET(IND!Z$25,$E11,0)</f>
        <v>3.5776861307420496</v>
      </c>
      <c r="X11" s="133">
        <f ca="1">OFFSET(IND!AA$25,$E11,0)</f>
        <v>3.6782750000000006</v>
      </c>
      <c r="Y11" s="214">
        <f ca="1">OFFSET(IND!AB$25,$E11,0)</f>
        <v>3.782254505300354</v>
      </c>
      <c r="Z11" s="133">
        <f ca="1">OFFSET(IND!AC$25,$E11,0)</f>
        <v>3.8896246466431097</v>
      </c>
      <c r="AA11" s="133">
        <f ca="1">OFFSET(IND!AD$25,$E11,0)</f>
        <v>3.9936041519434631</v>
      </c>
      <c r="AB11" s="133">
        <f ca="1">OFFSET(IND!AE$25,$E11,0)</f>
        <v>4.1077555653710247</v>
      </c>
      <c r="AC11" s="133">
        <f ca="1">OFFSET(IND!AF$25,$E11,0)</f>
        <v>4.2298184628975264</v>
      </c>
      <c r="AD11" s="133">
        <f ca="1">OFFSET(IND!AG$25,$E11,0)</f>
        <v>4.3643136925795059</v>
      </c>
      <c r="AE11" s="133">
        <f ca="1">OFFSET(IND!AH$25,$E11,0)</f>
        <v>4.5027646643109547</v>
      </c>
      <c r="AF11" s="133">
        <f ca="1">OFFSET(IND!AI$25,$E11,0)</f>
        <v>4.6451713780918729</v>
      </c>
      <c r="AG11" s="133">
        <f ca="1">OFFSET(IND!AJ$25,$E11,0)</f>
        <v>4.7892734098939931</v>
      </c>
      <c r="AH11" s="133">
        <f ca="1">OFFSET(IND!AK$25,$E11,0)</f>
        <v>4.9378962897526497</v>
      </c>
      <c r="AI11" s="133">
        <f ca="1">OFFSET(IND!AL$25,$E11,0)</f>
        <v>5.0944306537102477</v>
      </c>
      <c r="AJ11" s="133">
        <f ca="1">OFFSET(IND!AM$25,$E11,0)</f>
        <v>5.9336130742049464</v>
      </c>
      <c r="AK11" s="133">
        <f ca="1">OFFSET(IND!AN$25,$E11,0)</f>
        <v>6.9615409010600695</v>
      </c>
      <c r="AL11" s="133">
        <f ca="1">OFFSET(IND!AO$25,$E11,0)</f>
        <v>8.7971935806831976</v>
      </c>
      <c r="AM11" s="133">
        <f ca="1">OFFSET(IND!AP$25,$E11,0)</f>
        <v>10.66430382803302</v>
      </c>
      <c r="AQ11" s="4"/>
    </row>
    <row r="12" spans="1:56">
      <c r="A12" s="36" t="s">
        <v>312</v>
      </c>
      <c r="B12">
        <v>3.219945196781</v>
      </c>
      <c r="E12" s="136">
        <f ca="1">MATCH(F12,IND!$D$26:$D$255,0)</f>
        <v>117</v>
      </c>
      <c r="F12" s="4" t="str">
        <f t="shared" si="0"/>
        <v>ICPE</v>
      </c>
      <c r="G12" s="133">
        <f ca="1">OFFSET(IND!J$25,$E12,0)</f>
        <v>1.6916889611268384</v>
      </c>
      <c r="H12" s="133">
        <f ca="1">OFFSET(IND!K$25,$E12,0)</f>
        <v>1.7397392061881953</v>
      </c>
      <c r="I12" s="133">
        <f ca="1">OFFSET(IND!L$25,$E12,0)</f>
        <v>1.7701710280603877</v>
      </c>
      <c r="J12" s="133">
        <f ca="1">OFFSET(IND!M$25,$E12,0)</f>
        <v>1.9446880000000002</v>
      </c>
      <c r="K12" s="133">
        <f ca="1">OFFSET(IND!N$25,$E12,0)</f>
        <v>1.9446880000000002</v>
      </c>
      <c r="L12" s="133">
        <f ca="1">OFFSET(IND!O$25,$E12,0)</f>
        <v>1.9446880000000002</v>
      </c>
      <c r="M12" s="133">
        <f ca="1">OFFSET(IND!P$25,$E12,0)</f>
        <v>1.9615236381625445</v>
      </c>
      <c r="N12" s="133">
        <f ca="1">OFFSET(IND!Q$25,$E12,0)</f>
        <v>1.9570570402826859</v>
      </c>
      <c r="O12" s="212">
        <f ca="1">OFFSET(IND!R$25,$E12,0)</f>
        <v>1.7993517766784455</v>
      </c>
      <c r="P12" s="133">
        <f ca="1">OFFSET(IND!S$25,$E12,0)</f>
        <v>1.8471100155477034</v>
      </c>
      <c r="Q12" s="133">
        <f ca="1">OFFSET(IND!T$25,$E12,0)</f>
        <v>1.8904016565371027</v>
      </c>
      <c r="R12" s="133">
        <f ca="1">OFFSET(IND!U$25,$E12,0)</f>
        <v>1.9312882063604242</v>
      </c>
      <c r="S12" s="133">
        <f ca="1">OFFSET(IND!V$25,$E12,0)</f>
        <v>1.9704568339222617</v>
      </c>
      <c r="T12" s="212">
        <f ca="1">OFFSET(IND!W$25,$E12,0)</f>
        <v>2.0130613060070672</v>
      </c>
      <c r="U12" s="133">
        <f ca="1">OFFSET(IND!X$25,$E12,0)</f>
        <v>2.0673476494699647</v>
      </c>
      <c r="V12" s="133">
        <f ca="1">OFFSET(IND!Y$25,$E12,0)</f>
        <v>2.120603239575972</v>
      </c>
      <c r="W12" s="133">
        <f ca="1">OFFSET(IND!Z$25,$E12,0)</f>
        <v>2.1752331674911667</v>
      </c>
      <c r="X12" s="133">
        <f ca="1">OFFSET(IND!AA$25,$E12,0)</f>
        <v>2.2363912000000008</v>
      </c>
      <c r="Y12" s="214">
        <f ca="1">OFFSET(IND!AB$25,$E12,0)</f>
        <v>2.2996107392226155</v>
      </c>
      <c r="Z12" s="133">
        <f ca="1">OFFSET(IND!AC$25,$E12,0)</f>
        <v>2.3648917851590108</v>
      </c>
      <c r="AA12" s="133">
        <f ca="1">OFFSET(IND!AD$25,$E12,0)</f>
        <v>2.4281113243816255</v>
      </c>
      <c r="AB12" s="133">
        <f ca="1">OFFSET(IND!AE$25,$E12,0)</f>
        <v>2.4975153837455832</v>
      </c>
      <c r="AC12" s="133">
        <f ca="1">OFFSET(IND!AF$25,$E12,0)</f>
        <v>2.5717296254416961</v>
      </c>
      <c r="AD12" s="133">
        <f ca="1">OFFSET(IND!AG$25,$E12,0)</f>
        <v>2.6535027250883401</v>
      </c>
      <c r="AE12" s="133">
        <f ca="1">OFFSET(IND!AH$25,$E12,0)</f>
        <v>2.7376809159010613</v>
      </c>
      <c r="AF12" s="133">
        <f ca="1">OFFSET(IND!AI$25,$E12,0)</f>
        <v>2.8242641978798599</v>
      </c>
      <c r="AG12" s="133">
        <f ca="1">OFFSET(IND!AJ$25,$E12,0)</f>
        <v>2.9118782332155493</v>
      </c>
      <c r="AH12" s="133">
        <f ca="1">OFFSET(IND!AK$25,$E12,0)</f>
        <v>3.0022409441696127</v>
      </c>
      <c r="AI12" s="133">
        <f ca="1">OFFSET(IND!AL$25,$E12,0)</f>
        <v>3.0974138374558322</v>
      </c>
      <c r="AJ12" s="133">
        <f ca="1">OFFSET(IND!AM$25,$E12,0)</f>
        <v>3.6076367491166095</v>
      </c>
      <c r="AK12" s="133">
        <f ca="1">OFFSET(IND!AN$25,$E12,0)</f>
        <v>4.2326168678445244</v>
      </c>
      <c r="AL12" s="133">
        <f ca="1">OFFSET(IND!AO$25,$E12,0)</f>
        <v>5.3486936970553867</v>
      </c>
      <c r="AM12" s="133">
        <f ca="1">OFFSET(IND!AP$25,$E12,0)</f>
        <v>6.4838967274440789</v>
      </c>
      <c r="AQ12" s="4"/>
    </row>
    <row r="13" spans="1:56">
      <c r="A13" s="36" t="s">
        <v>313</v>
      </c>
      <c r="B13">
        <v>3.389415996611</v>
      </c>
      <c r="E13" s="136">
        <f ca="1">MATCH(F13,IND!$D$26:$D$255,0)</f>
        <v>115</v>
      </c>
      <c r="F13" s="4" t="str">
        <f t="shared" si="0"/>
        <v>ICPF</v>
      </c>
      <c r="G13" s="133">
        <f ca="1">OFFSET(IND!J$25,$E13,0)</f>
        <v>1.7807252222387775</v>
      </c>
      <c r="H13" s="133">
        <f ca="1">OFFSET(IND!K$25,$E13,0)</f>
        <v>1.8313044275665216</v>
      </c>
      <c r="I13" s="133">
        <f ca="1">OFFSET(IND!L$25,$E13,0)</f>
        <v>1.8633379242740926</v>
      </c>
      <c r="J13" s="133">
        <f ca="1">OFFSET(IND!M$25,$E13,0)</f>
        <v>2.0470400000000004</v>
      </c>
      <c r="K13" s="133">
        <f ca="1">OFFSET(IND!N$25,$E13,0)</f>
        <v>2.0470400000000004</v>
      </c>
      <c r="L13" s="133">
        <f ca="1">OFFSET(IND!O$25,$E13,0)</f>
        <v>2.0470400000000004</v>
      </c>
      <c r="M13" s="133">
        <f ca="1">OFFSET(IND!P$25,$E13,0)</f>
        <v>2.0647617243816261</v>
      </c>
      <c r="N13" s="133">
        <f ca="1">OFFSET(IND!Q$25,$E13,0)</f>
        <v>2.0600600424028275</v>
      </c>
      <c r="O13" s="212">
        <f ca="1">OFFSET(IND!R$25,$E13,0)</f>
        <v>1.8940545017667849</v>
      </c>
      <c r="P13" s="133">
        <f ca="1">OFFSET(IND!S$25,$E13,0)</f>
        <v>1.9443263321554776</v>
      </c>
      <c r="Q13" s="133">
        <f ca="1">OFFSET(IND!T$25,$E13,0)</f>
        <v>1.9898964805653716</v>
      </c>
      <c r="R13" s="133">
        <f ca="1">OFFSET(IND!U$25,$E13,0)</f>
        <v>2.0329349540636046</v>
      </c>
      <c r="S13" s="133">
        <f ca="1">OFFSET(IND!V$25,$E13,0)</f>
        <v>2.0741650883392229</v>
      </c>
      <c r="T13" s="212">
        <f ca="1">OFFSET(IND!W$25,$E13,0)</f>
        <v>2.119011901060071</v>
      </c>
      <c r="U13" s="133">
        <f ca="1">OFFSET(IND!X$25,$E13,0)</f>
        <v>2.1761554204946996</v>
      </c>
      <c r="V13" s="133">
        <f ca="1">OFFSET(IND!Y$25,$E13,0)</f>
        <v>2.2322139363957594</v>
      </c>
      <c r="W13" s="133">
        <f ca="1">OFFSET(IND!Z$25,$E13,0)</f>
        <v>2.2897191236749115</v>
      </c>
      <c r="X13" s="133">
        <f ca="1">OFFSET(IND!AA$25,$E13,0)</f>
        <v>2.3540960000000002</v>
      </c>
      <c r="Y13" s="214">
        <f ca="1">OFFSET(IND!AB$25,$E13,0)</f>
        <v>2.4206428833922264</v>
      </c>
      <c r="Z13" s="133">
        <f ca="1">OFFSET(IND!AC$25,$E13,0)</f>
        <v>2.4893597738515902</v>
      </c>
      <c r="AA13" s="133">
        <f ca="1">OFFSET(IND!AD$25,$E13,0)</f>
        <v>2.5559066572438165</v>
      </c>
      <c r="AB13" s="133">
        <f ca="1">OFFSET(IND!AE$25,$E13,0)</f>
        <v>2.6289635618374563</v>
      </c>
      <c r="AC13" s="133">
        <f ca="1">OFFSET(IND!AF$25,$E13,0)</f>
        <v>2.7070838162544173</v>
      </c>
      <c r="AD13" s="133">
        <f ca="1">OFFSET(IND!AG$25,$E13,0)</f>
        <v>2.7931607632508846</v>
      </c>
      <c r="AE13" s="133">
        <f ca="1">OFFSET(IND!AH$25,$E13,0)</f>
        <v>2.881769385159012</v>
      </c>
      <c r="AF13" s="133">
        <f ca="1">OFFSET(IND!AI$25,$E13,0)</f>
        <v>2.9729096819788001</v>
      </c>
      <c r="AG13" s="133">
        <f ca="1">OFFSET(IND!AJ$25,$E13,0)</f>
        <v>3.065134982332157</v>
      </c>
      <c r="AH13" s="133">
        <f ca="1">OFFSET(IND!AK$25,$E13,0)</f>
        <v>3.1602536254416975</v>
      </c>
      <c r="AI13" s="133">
        <f ca="1">OFFSET(IND!AL$25,$E13,0)</f>
        <v>3.2604356183745602</v>
      </c>
      <c r="AJ13" s="133">
        <f ca="1">OFFSET(IND!AM$25,$E13,0)</f>
        <v>3.7975123674911679</v>
      </c>
      <c r="AK13" s="133">
        <f ca="1">OFFSET(IND!AN$25,$E13,0)</f>
        <v>4.4553861766784468</v>
      </c>
      <c r="AL13" s="133">
        <f ca="1">OFFSET(IND!AO$25,$E13,0)</f>
        <v>5.6302038916372492</v>
      </c>
      <c r="AM13" s="133">
        <f ca="1">OFFSET(IND!AP$25,$E13,0)</f>
        <v>6.8251544499411354</v>
      </c>
      <c r="AQ13" s="4"/>
    </row>
    <row r="14" spans="1:56">
      <c r="A14" s="36" t="s">
        <v>314</v>
      </c>
      <c r="B14">
        <v>0.95327324904709998</v>
      </c>
      <c r="E14" s="136">
        <f ca="1">MATCH(F14,IND!$D$26:$D$255,0)</f>
        <v>113</v>
      </c>
      <c r="F14" s="4" t="str">
        <f t="shared" si="0"/>
        <v>ICPH</v>
      </c>
      <c r="G14" s="133">
        <f ca="1">OFFSET(IND!J$25,$E14,0)</f>
        <v>0.5008289687546561</v>
      </c>
      <c r="H14" s="133">
        <f ca="1">OFFSET(IND!K$25,$E14,0)</f>
        <v>0.51505437025308409</v>
      </c>
      <c r="I14" s="133">
        <f ca="1">OFFSET(IND!L$25,$E14,0)</f>
        <v>0.52406379120208846</v>
      </c>
      <c r="J14" s="133">
        <f ca="1">OFFSET(IND!M$25,$E14,0)</f>
        <v>0.57573000000000008</v>
      </c>
      <c r="K14" s="133">
        <f ca="1">OFFSET(IND!N$25,$E14,0)</f>
        <v>0.57573000000000008</v>
      </c>
      <c r="L14" s="133">
        <f ca="1">OFFSET(IND!O$25,$E14,0)</f>
        <v>0.57573000000000008</v>
      </c>
      <c r="M14" s="133">
        <f ca="1">OFFSET(IND!P$25,$E14,0)</f>
        <v>0.58071423498233221</v>
      </c>
      <c r="N14" s="133">
        <f ca="1">OFFSET(IND!Q$25,$E14,0)</f>
        <v>0.57939188692579513</v>
      </c>
      <c r="O14" s="212">
        <f ca="1">OFFSET(IND!R$25,$E14,0)</f>
        <v>0.5327028286219081</v>
      </c>
      <c r="P14" s="133">
        <f ca="1">OFFSET(IND!S$25,$E14,0)</f>
        <v>0.54684178091872793</v>
      </c>
      <c r="Q14" s="133">
        <f ca="1">OFFSET(IND!T$25,$E14,0)</f>
        <v>0.55965838515901056</v>
      </c>
      <c r="R14" s="133">
        <f ca="1">OFFSET(IND!U$25,$E14,0)</f>
        <v>0.57176295583038861</v>
      </c>
      <c r="S14" s="133">
        <f ca="1">OFFSET(IND!V$25,$E14,0)</f>
        <v>0.58335893109540626</v>
      </c>
      <c r="T14" s="212">
        <f ca="1">OFFSET(IND!W$25,$E14,0)</f>
        <v>0.59597209717314481</v>
      </c>
      <c r="U14" s="133">
        <f ca="1">OFFSET(IND!X$25,$E14,0)</f>
        <v>0.61204371201413421</v>
      </c>
      <c r="V14" s="133">
        <f ca="1">OFFSET(IND!Y$25,$E14,0)</f>
        <v>0.62781016961130731</v>
      </c>
      <c r="W14" s="133">
        <f ca="1">OFFSET(IND!Z$25,$E14,0)</f>
        <v>0.64398350353356892</v>
      </c>
      <c r="X14" s="133">
        <f ca="1">OFFSET(IND!AA$25,$E14,0)</f>
        <v>0.66208950000000011</v>
      </c>
      <c r="Y14" s="214">
        <f ca="1">OFFSET(IND!AB$25,$E14,0)</f>
        <v>0.68080581095406367</v>
      </c>
      <c r="Z14" s="133">
        <f ca="1">OFFSET(IND!AC$25,$E14,0)</f>
        <v>0.70013243639575973</v>
      </c>
      <c r="AA14" s="133">
        <f ca="1">OFFSET(IND!AD$25,$E14,0)</f>
        <v>0.71884874734982329</v>
      </c>
      <c r="AB14" s="133">
        <f ca="1">OFFSET(IND!AE$25,$E14,0)</f>
        <v>0.73939600176678444</v>
      </c>
      <c r="AC14" s="133">
        <f ca="1">OFFSET(IND!AF$25,$E14,0)</f>
        <v>0.76136732332155466</v>
      </c>
      <c r="AD14" s="133">
        <f ca="1">OFFSET(IND!AG$25,$E14,0)</f>
        <v>0.78557646466431097</v>
      </c>
      <c r="AE14" s="133">
        <f ca="1">OFFSET(IND!AH$25,$E14,0)</f>
        <v>0.81049763957597176</v>
      </c>
      <c r="AF14" s="133">
        <f ca="1">OFFSET(IND!AI$25,$E14,0)</f>
        <v>0.83613084805653715</v>
      </c>
      <c r="AG14" s="133">
        <f ca="1">OFFSET(IND!AJ$25,$E14,0)</f>
        <v>0.86206921378091883</v>
      </c>
      <c r="AH14" s="133">
        <f ca="1">OFFSET(IND!AK$25,$E14,0)</f>
        <v>0.8888213321554771</v>
      </c>
      <c r="AI14" s="133">
        <f ca="1">OFFSET(IND!AL$25,$E14,0)</f>
        <v>0.91699751766784465</v>
      </c>
      <c r="AJ14" s="133">
        <f ca="1">OFFSET(IND!AM$25,$E14,0)</f>
        <v>1.0680503533568906</v>
      </c>
      <c r="AK14" s="133">
        <f ca="1">OFFSET(IND!AN$25,$E14,0)</f>
        <v>1.2530773621908129</v>
      </c>
      <c r="AL14" s="133">
        <f ca="1">OFFSET(IND!AO$25,$E14,0)</f>
        <v>1.583494844522976</v>
      </c>
      <c r="AM14" s="133">
        <f ca="1">OFFSET(IND!AP$25,$E14,0)</f>
        <v>1.919574689045944</v>
      </c>
      <c r="AQ14" s="4"/>
    </row>
    <row r="15" spans="1:56">
      <c r="A15" s="36" t="s">
        <v>315</v>
      </c>
      <c r="B15">
        <v>1.059192498941</v>
      </c>
      <c r="E15" s="136">
        <f ca="1">MATCH(F15,IND!$D$26:$D$255,0)</f>
        <v>109</v>
      </c>
      <c r="F15" s="4" t="str">
        <f t="shared" si="0"/>
        <v>ICPK</v>
      </c>
      <c r="G15" s="133">
        <f ca="1">OFFSET(IND!J$25,$E15,0)</f>
        <v>0.55647663194961794</v>
      </c>
      <c r="H15" s="133">
        <f ca="1">OFFSET(IND!K$25,$E15,0)</f>
        <v>0.57228263361453802</v>
      </c>
      <c r="I15" s="133">
        <f ca="1">OFFSET(IND!L$25,$E15,0)</f>
        <v>0.58229310133565393</v>
      </c>
      <c r="J15" s="133">
        <f ca="1">OFFSET(IND!M$25,$E15,0)</f>
        <v>0.63970000000000005</v>
      </c>
      <c r="K15" s="133">
        <f ca="1">OFFSET(IND!N$25,$E15,0)</f>
        <v>0.63970000000000005</v>
      </c>
      <c r="L15" s="133">
        <f ca="1">OFFSET(IND!O$25,$E15,0)</f>
        <v>0.63970000000000005</v>
      </c>
      <c r="M15" s="133">
        <f ca="1">OFFSET(IND!P$25,$E15,0)</f>
        <v>0.64523803886925801</v>
      </c>
      <c r="N15" s="133">
        <f ca="1">OFFSET(IND!Q$25,$E15,0)</f>
        <v>0.6437687632508835</v>
      </c>
      <c r="O15" s="212">
        <f ca="1">OFFSET(IND!R$25,$E15,0)</f>
        <v>0.59189203180212024</v>
      </c>
      <c r="P15" s="133">
        <f ca="1">OFFSET(IND!S$25,$E15,0)</f>
        <v>0.60760197879858668</v>
      </c>
      <c r="Q15" s="133">
        <f ca="1">OFFSET(IND!T$25,$E15,0)</f>
        <v>0.62184265017667861</v>
      </c>
      <c r="R15" s="133">
        <f ca="1">OFFSET(IND!U$25,$E15,0)</f>
        <v>0.63529217314487652</v>
      </c>
      <c r="S15" s="133">
        <f ca="1">OFFSET(IND!V$25,$E15,0)</f>
        <v>0.64817659010600726</v>
      </c>
      <c r="T15" s="212">
        <f ca="1">OFFSET(IND!W$25,$E15,0)</f>
        <v>0.66219121908127232</v>
      </c>
      <c r="U15" s="133">
        <f ca="1">OFFSET(IND!X$25,$E15,0)</f>
        <v>0.68004856890459386</v>
      </c>
      <c r="V15" s="133">
        <f ca="1">OFFSET(IND!Y$25,$E15,0)</f>
        <v>0.69756685512367511</v>
      </c>
      <c r="W15" s="133">
        <f ca="1">OFFSET(IND!Z$25,$E15,0)</f>
        <v>0.7155372261484102</v>
      </c>
      <c r="X15" s="133">
        <f ca="1">OFFSET(IND!AA$25,$E15,0)</f>
        <v>0.73565500000000039</v>
      </c>
      <c r="Y15" s="214">
        <f ca="1">OFFSET(IND!AB$25,$E15,0)</f>
        <v>0.75645090106007107</v>
      </c>
      <c r="Z15" s="133">
        <f ca="1">OFFSET(IND!AC$25,$E15,0)</f>
        <v>0.77792492932862223</v>
      </c>
      <c r="AA15" s="133">
        <f ca="1">OFFSET(IND!AD$25,$E15,0)</f>
        <v>0.7987208303886929</v>
      </c>
      <c r="AB15" s="133">
        <f ca="1">OFFSET(IND!AE$25,$E15,0)</f>
        <v>0.82155111307420525</v>
      </c>
      <c r="AC15" s="133">
        <f ca="1">OFFSET(IND!AF$25,$E15,0)</f>
        <v>0.84596369257950554</v>
      </c>
      <c r="AD15" s="133">
        <f ca="1">OFFSET(IND!AG$25,$E15,0)</f>
        <v>0.87286273851590146</v>
      </c>
      <c r="AE15" s="133">
        <f ca="1">OFFSET(IND!AH$25,$E15,0)</f>
        <v>0.90055293286219129</v>
      </c>
      <c r="AF15" s="133">
        <f ca="1">OFFSET(IND!AI$25,$E15,0)</f>
        <v>0.92903427561837504</v>
      </c>
      <c r="AG15" s="133">
        <f ca="1">OFFSET(IND!AJ$25,$E15,0)</f>
        <v>0.95785468197879908</v>
      </c>
      <c r="AH15" s="133">
        <f ca="1">OFFSET(IND!AK$25,$E15,0)</f>
        <v>0.98757925795053048</v>
      </c>
      <c r="AI15" s="133">
        <f ca="1">OFFSET(IND!AL$25,$E15,0)</f>
        <v>1.01888613074205</v>
      </c>
      <c r="AJ15" s="133">
        <f ca="1">OFFSET(IND!AM$25,$E15,0)</f>
        <v>1.18672261484099</v>
      </c>
      <c r="AK15" s="133">
        <f ca="1">OFFSET(IND!AN$25,$E15,0)</f>
        <v>1.3923081802120147</v>
      </c>
      <c r="AL15" s="133">
        <f ca="1">OFFSET(IND!AO$25,$E15,0)</f>
        <v>1.7594387161366405</v>
      </c>
      <c r="AM15" s="133">
        <f ca="1">OFFSET(IND!AP$25,$E15,0)</f>
        <v>2.1328607656066052</v>
      </c>
      <c r="AQ15" s="4"/>
    </row>
    <row r="16" spans="1:56">
      <c r="A16" s="36" t="s">
        <v>316</v>
      </c>
      <c r="B16">
        <v>0.63551549936469998</v>
      </c>
      <c r="E16" s="136">
        <f ca="1">MATCH(F16,IND!$D$26:$D$255,0)</f>
        <v>111</v>
      </c>
      <c r="F16" s="4" t="str">
        <f t="shared" si="0"/>
        <v>ICPL</v>
      </c>
      <c r="G16" s="133">
        <f ca="1">OFFSET(IND!J$25,$E16,0)</f>
        <v>0.3338859791697707</v>
      </c>
      <c r="H16" s="133">
        <f ca="1">OFFSET(IND!K$25,$E16,0)</f>
        <v>0.34336958016872271</v>
      </c>
      <c r="I16" s="133">
        <f ca="1">OFFSET(IND!L$25,$E16,0)</f>
        <v>0.34937586080139227</v>
      </c>
      <c r="J16" s="133">
        <f ca="1">OFFSET(IND!M$25,$E16,0)</f>
        <v>0.38381999999999999</v>
      </c>
      <c r="K16" s="133">
        <f ca="1">OFFSET(IND!N$25,$E16,0)</f>
        <v>0.38381999999999999</v>
      </c>
      <c r="L16" s="133">
        <f ca="1">OFFSET(IND!O$25,$E16,0)</f>
        <v>0.38381999999999999</v>
      </c>
      <c r="M16" s="133">
        <f ca="1">OFFSET(IND!P$25,$E16,0)</f>
        <v>0.38714282332155475</v>
      </c>
      <c r="N16" s="133">
        <f ca="1">OFFSET(IND!Q$25,$E16,0)</f>
        <v>0.38626125795053001</v>
      </c>
      <c r="O16" s="212">
        <f ca="1">OFFSET(IND!R$25,$E16,0)</f>
        <v>0.35513521908127205</v>
      </c>
      <c r="P16" s="133">
        <f ca="1">OFFSET(IND!S$25,$E16,0)</f>
        <v>0.36456118727915188</v>
      </c>
      <c r="Q16" s="133">
        <f ca="1">OFFSET(IND!T$25,$E16,0)</f>
        <v>0.37310559010600702</v>
      </c>
      <c r="R16" s="133">
        <f ca="1">OFFSET(IND!U$25,$E16,0)</f>
        <v>0.38117530388692572</v>
      </c>
      <c r="S16" s="133">
        <f ca="1">OFFSET(IND!V$25,$E16,0)</f>
        <v>0.38890595406360418</v>
      </c>
      <c r="T16" s="212">
        <f ca="1">OFFSET(IND!W$25,$E16,0)</f>
        <v>0.39731473144876317</v>
      </c>
      <c r="U16" s="133">
        <f ca="1">OFFSET(IND!X$25,$E16,0)</f>
        <v>0.40802914134275609</v>
      </c>
      <c r="V16" s="133">
        <f ca="1">OFFSET(IND!Y$25,$E16,0)</f>
        <v>0.41854011307420486</v>
      </c>
      <c r="W16" s="133">
        <f ca="1">OFFSET(IND!Z$25,$E16,0)</f>
        <v>0.42932233568904593</v>
      </c>
      <c r="X16" s="133">
        <f ca="1">OFFSET(IND!AA$25,$E16,0)</f>
        <v>0.44139300000000004</v>
      </c>
      <c r="Y16" s="214">
        <f ca="1">OFFSET(IND!AB$25,$E16,0)</f>
        <v>0.45387054063604243</v>
      </c>
      <c r="Z16" s="133">
        <f ca="1">OFFSET(IND!AC$25,$E16,0)</f>
        <v>0.46675495759717311</v>
      </c>
      <c r="AA16" s="133">
        <f ca="1">OFFSET(IND!AD$25,$E16,0)</f>
        <v>0.47923249823321551</v>
      </c>
      <c r="AB16" s="133">
        <f ca="1">OFFSET(IND!AE$25,$E16,0)</f>
        <v>0.49293066784452294</v>
      </c>
      <c r="AC16" s="133">
        <f ca="1">OFFSET(IND!AF$25,$E16,0)</f>
        <v>0.5075782155477031</v>
      </c>
      <c r="AD16" s="133">
        <f ca="1">OFFSET(IND!AG$25,$E16,0)</f>
        <v>0.52371764310954072</v>
      </c>
      <c r="AE16" s="133">
        <f ca="1">OFFSET(IND!AH$25,$E16,0)</f>
        <v>0.54033175971731462</v>
      </c>
      <c r="AF16" s="133">
        <f ca="1">OFFSET(IND!AI$25,$E16,0)</f>
        <v>0.5574205653710248</v>
      </c>
      <c r="AG16" s="133">
        <f ca="1">OFFSET(IND!AJ$25,$E16,0)</f>
        <v>0.57471280918727929</v>
      </c>
      <c r="AH16" s="133">
        <f ca="1">OFFSET(IND!AK$25,$E16,0)</f>
        <v>0.59254755477031806</v>
      </c>
      <c r="AI16" s="133">
        <f ca="1">OFFSET(IND!AL$25,$E16,0)</f>
        <v>0.61133167844522984</v>
      </c>
      <c r="AJ16" s="133">
        <f ca="1">OFFSET(IND!AM$25,$E16,0)</f>
        <v>0.71203356890459368</v>
      </c>
      <c r="AK16" s="133">
        <f ca="1">OFFSET(IND!AN$25,$E16,0)</f>
        <v>0.83538490812720845</v>
      </c>
      <c r="AL16" s="133">
        <f ca="1">OFFSET(IND!AO$25,$E16,0)</f>
        <v>1.0556632296819839</v>
      </c>
      <c r="AM16" s="133">
        <f ca="1">OFFSET(IND!AP$25,$E16,0)</f>
        <v>1.2797164593639625</v>
      </c>
      <c r="AQ16" s="4"/>
    </row>
    <row r="17" spans="1:43">
      <c r="A17" s="36" t="s">
        <v>317</v>
      </c>
      <c r="B17">
        <v>8.4735399915289999</v>
      </c>
      <c r="E17" s="136">
        <f ca="1">MATCH(F17,IND!$D$26:$D$255,0)</f>
        <v>116</v>
      </c>
      <c r="F17" s="4" t="str">
        <f t="shared" si="0"/>
        <v>ICPO</v>
      </c>
      <c r="G17" s="133">
        <f ca="1">OFFSET(IND!J$25,$E17,0)</f>
        <v>4.4518130555969435</v>
      </c>
      <c r="H17" s="133">
        <f ca="1">OFFSET(IND!K$25,$E17,0)</f>
        <v>4.5782610689163041</v>
      </c>
      <c r="I17" s="133">
        <f ca="1">OFFSET(IND!L$25,$E17,0)</f>
        <v>4.6583448106852314</v>
      </c>
      <c r="J17" s="133">
        <f ca="1">OFFSET(IND!M$25,$E17,0)</f>
        <v>5.1176000000000004</v>
      </c>
      <c r="K17" s="133">
        <f ca="1">OFFSET(IND!N$25,$E17,0)</f>
        <v>5.1176000000000004</v>
      </c>
      <c r="L17" s="133">
        <f ca="1">OFFSET(IND!O$25,$E17,0)</f>
        <v>5.1176000000000004</v>
      </c>
      <c r="M17" s="133">
        <f ca="1">OFFSET(IND!P$25,$E17,0)</f>
        <v>5.1619043109540641</v>
      </c>
      <c r="N17" s="133">
        <f ca="1">OFFSET(IND!Q$25,$E17,0)</f>
        <v>5.150150106007068</v>
      </c>
      <c r="O17" s="212">
        <f ca="1">OFFSET(IND!R$25,$E17,0)</f>
        <v>4.735136254416962</v>
      </c>
      <c r="P17" s="133">
        <f ca="1">OFFSET(IND!S$25,$E17,0)</f>
        <v>4.8608158303886935</v>
      </c>
      <c r="Q17" s="133">
        <f ca="1">OFFSET(IND!T$25,$E17,0)</f>
        <v>4.9747412014134289</v>
      </c>
      <c r="R17" s="133">
        <f ca="1">OFFSET(IND!U$25,$E17,0)</f>
        <v>5.0823373851590121</v>
      </c>
      <c r="S17" s="133">
        <f ca="1">OFFSET(IND!V$25,$E17,0)</f>
        <v>5.185412720848058</v>
      </c>
      <c r="T17" s="212">
        <f ca="1">OFFSET(IND!W$25,$E17,0)</f>
        <v>5.2975297526501786</v>
      </c>
      <c r="U17" s="133">
        <f ca="1">OFFSET(IND!X$25,$E17,0)</f>
        <v>5.4403885512367509</v>
      </c>
      <c r="V17" s="133">
        <f ca="1">OFFSET(IND!Y$25,$E17,0)</f>
        <v>5.5805348409894009</v>
      </c>
      <c r="W17" s="133">
        <f ca="1">OFFSET(IND!Z$25,$E17,0)</f>
        <v>5.7242978091872816</v>
      </c>
      <c r="X17" s="133">
        <f ca="1">OFFSET(IND!AA$25,$E17,0)</f>
        <v>5.8852400000000031</v>
      </c>
      <c r="Y17" s="214">
        <f ca="1">OFFSET(IND!AB$25,$E17,0)</f>
        <v>6.0516072084805685</v>
      </c>
      <c r="Z17" s="133">
        <f ca="1">OFFSET(IND!AC$25,$E17,0)</f>
        <v>6.2233994346289778</v>
      </c>
      <c r="AA17" s="133">
        <f ca="1">OFFSET(IND!AD$25,$E17,0)</f>
        <v>6.3897666431095432</v>
      </c>
      <c r="AB17" s="133">
        <f ca="1">OFFSET(IND!AE$25,$E17,0)</f>
        <v>6.572408904593642</v>
      </c>
      <c r="AC17" s="133">
        <f ca="1">OFFSET(IND!AF$25,$E17,0)</f>
        <v>6.7677095406360444</v>
      </c>
      <c r="AD17" s="133">
        <f ca="1">OFFSET(IND!AG$25,$E17,0)</f>
        <v>6.9829019081272117</v>
      </c>
      <c r="AE17" s="133">
        <f ca="1">OFFSET(IND!AH$25,$E17,0)</f>
        <v>7.2044234628975303</v>
      </c>
      <c r="AF17" s="133">
        <f ca="1">OFFSET(IND!AI$25,$E17,0)</f>
        <v>7.4322742049470003</v>
      </c>
      <c r="AG17" s="133">
        <f ca="1">OFFSET(IND!AJ$25,$E17,0)</f>
        <v>7.6628374558303927</v>
      </c>
      <c r="AH17" s="133">
        <f ca="1">OFFSET(IND!AK$25,$E17,0)</f>
        <v>7.9006340636042438</v>
      </c>
      <c r="AI17" s="133">
        <f ca="1">OFFSET(IND!AL$25,$E17,0)</f>
        <v>8.1510890459364003</v>
      </c>
      <c r="AJ17" s="133">
        <f ca="1">OFFSET(IND!AM$25,$E17,0)</f>
        <v>9.4937809187279196</v>
      </c>
      <c r="AK17" s="133">
        <f ca="1">OFFSET(IND!AN$25,$E17,0)</f>
        <v>11.138465441696118</v>
      </c>
      <c r="AL17" s="133">
        <f ca="1">OFFSET(IND!AO$25,$E17,0)</f>
        <v>14.075509729093124</v>
      </c>
      <c r="AM17" s="133">
        <f ca="1">OFFSET(IND!AP$25,$E17,0)</f>
        <v>17.062886124852842</v>
      </c>
      <c r="AQ17" s="4"/>
    </row>
    <row r="18" spans="1:43">
      <c r="A18" s="36" t="s">
        <v>318</v>
      </c>
      <c r="B18">
        <v>14.828694985169999</v>
      </c>
      <c r="E18" s="136">
        <f ca="1">MATCH(F18,IND!$D$26:$D$255,0)</f>
        <v>114</v>
      </c>
      <c r="F18" s="4" t="str">
        <f t="shared" si="0"/>
        <v>ICPP</v>
      </c>
      <c r="G18" s="133">
        <f ca="1">OFFSET(IND!J$25,$E18,0)</f>
        <v>7.7906728472946494</v>
      </c>
      <c r="H18" s="133">
        <f ca="1">OFFSET(IND!K$25,$E18,0)</f>
        <v>8.0119568706035302</v>
      </c>
      <c r="I18" s="133">
        <f ca="1">OFFSET(IND!L$25,$E18,0)</f>
        <v>8.1521034186991539</v>
      </c>
      <c r="J18" s="133">
        <f ca="1">OFFSET(IND!M$25,$E18,0)</f>
        <v>8.9558</v>
      </c>
      <c r="K18" s="133">
        <f ca="1">OFFSET(IND!N$25,$E18,0)</f>
        <v>8.9558</v>
      </c>
      <c r="L18" s="133">
        <f ca="1">OFFSET(IND!O$25,$E18,0)</f>
        <v>8.9558</v>
      </c>
      <c r="M18" s="133">
        <f ca="1">OFFSET(IND!P$25,$E18,0)</f>
        <v>9.0333325441696122</v>
      </c>
      <c r="N18" s="133">
        <f ca="1">OFFSET(IND!Q$25,$E18,0)</f>
        <v>9.012762685512369</v>
      </c>
      <c r="O18" s="212">
        <f ca="1">OFFSET(IND!R$25,$E18,0)</f>
        <v>8.2864884452296828</v>
      </c>
      <c r="P18" s="133">
        <f ca="1">OFFSET(IND!S$25,$E18,0)</f>
        <v>8.5064277031802131</v>
      </c>
      <c r="Q18" s="133">
        <f ca="1">OFFSET(IND!T$25,$E18,0)</f>
        <v>8.7057971024734986</v>
      </c>
      <c r="R18" s="133">
        <f ca="1">OFFSET(IND!U$25,$E18,0)</f>
        <v>8.8940904240282688</v>
      </c>
      <c r="S18" s="133">
        <f ca="1">OFFSET(IND!V$25,$E18,0)</f>
        <v>9.0744722614841002</v>
      </c>
      <c r="T18" s="212">
        <f ca="1">OFFSET(IND!W$25,$E18,0)</f>
        <v>9.2706770671378109</v>
      </c>
      <c r="U18" s="133">
        <f ca="1">OFFSET(IND!X$25,$E18,0)</f>
        <v>9.5206799646643123</v>
      </c>
      <c r="V18" s="133">
        <f ca="1">OFFSET(IND!Y$25,$E18,0)</f>
        <v>9.7659359717314498</v>
      </c>
      <c r="W18" s="133">
        <f ca="1">OFFSET(IND!Z$25,$E18,0)</f>
        <v>10.01752116607774</v>
      </c>
      <c r="X18" s="133">
        <f ca="1">OFFSET(IND!AA$25,$E18,0)</f>
        <v>10.299170000000004</v>
      </c>
      <c r="Y18" s="214">
        <f ca="1">OFFSET(IND!AB$25,$E18,0)</f>
        <v>10.590312614840993</v>
      </c>
      <c r="Z18" s="133">
        <f ca="1">OFFSET(IND!AC$25,$E18,0)</f>
        <v>10.890949010600709</v>
      </c>
      <c r="AA18" s="133">
        <f ca="1">OFFSET(IND!AD$25,$E18,0)</f>
        <v>11.182091625441698</v>
      </c>
      <c r="AB18" s="133">
        <f ca="1">OFFSET(IND!AE$25,$E18,0)</f>
        <v>11.501715583038871</v>
      </c>
      <c r="AC18" s="133">
        <f ca="1">OFFSET(IND!AF$25,$E18,0)</f>
        <v>11.843491696113075</v>
      </c>
      <c r="AD18" s="133">
        <f ca="1">OFFSET(IND!AG$25,$E18,0)</f>
        <v>12.220078339222619</v>
      </c>
      <c r="AE18" s="133">
        <f ca="1">OFFSET(IND!AH$25,$E18,0)</f>
        <v>12.607741060070676</v>
      </c>
      <c r="AF18" s="133">
        <f ca="1">OFFSET(IND!AI$25,$E18,0)</f>
        <v>13.006479858657249</v>
      </c>
      <c r="AG18" s="133">
        <f ca="1">OFFSET(IND!AJ$25,$E18,0)</f>
        <v>13.409965547703186</v>
      </c>
      <c r="AH18" s="133">
        <f ca="1">OFFSET(IND!AK$25,$E18,0)</f>
        <v>13.826109611307425</v>
      </c>
      <c r="AI18" s="133">
        <f ca="1">OFFSET(IND!AL$25,$E18,0)</f>
        <v>14.264405830388698</v>
      </c>
      <c r="AJ18" s="133">
        <f ca="1">OFFSET(IND!AM$25,$E18,0)</f>
        <v>16.614116607773855</v>
      </c>
      <c r="AK18" s="133">
        <f ca="1">OFFSET(IND!AN$25,$E18,0)</f>
        <v>19.492314522968201</v>
      </c>
      <c r="AL18" s="133">
        <f ca="1">OFFSET(IND!AO$25,$E18,0)</f>
        <v>24.632142025912959</v>
      </c>
      <c r="AM18" s="133">
        <f ca="1">OFFSET(IND!AP$25,$E18,0)</f>
        <v>29.86005071849246</v>
      </c>
      <c r="AQ18" s="4"/>
    </row>
    <row r="19" spans="1:43">
      <c r="A19" s="36" t="s">
        <v>319</v>
      </c>
      <c r="B19">
        <v>32.941303389589997</v>
      </c>
      <c r="E19" s="136">
        <f ca="1">MATCH(F19,IND!$D$26:$D$255,0)</f>
        <v>119</v>
      </c>
      <c r="F19" s="4" t="str">
        <f t="shared" si="0"/>
        <v>ICPS</v>
      </c>
      <c r="G19" s="133">
        <f ca="1">OFFSET(IND!J$25,$E19,0)</f>
        <v>27.288197120140854</v>
      </c>
      <c r="H19" s="133">
        <f ca="1">OFFSET(IND!K$25,$E19,0)</f>
        <v>28.063283196266802</v>
      </c>
      <c r="I19" s="133">
        <f ca="1">OFFSET(IND!L$25,$E19,0)</f>
        <v>28.554171044479897</v>
      </c>
      <c r="J19" s="133">
        <f ca="1">OFFSET(IND!M$25,$E19,0)</f>
        <v>20.990606000000003</v>
      </c>
      <c r="K19" s="133">
        <f ca="1">OFFSET(IND!N$25,$E19,0)</f>
        <v>20.990606000000003</v>
      </c>
      <c r="L19" s="133">
        <f ca="1">OFFSET(IND!O$25,$E19,0)</f>
        <v>20.990606000000003</v>
      </c>
      <c r="M19" s="133">
        <f ca="1">OFFSET(IND!P$25,$E19,0)</f>
        <v>21.172326793992937</v>
      </c>
      <c r="N19" s="133">
        <f ca="1">OFFSET(IND!Q$25,$E19,0)</f>
        <v>21.124115154770323</v>
      </c>
      <c r="O19" s="212">
        <f ca="1">OFFSET(IND!R$25,$E19,0)</f>
        <v>19.421873431448766</v>
      </c>
      <c r="P19" s="133">
        <f ca="1">OFFSET(IND!S$25,$E19,0)</f>
        <v>19.937367112367493</v>
      </c>
      <c r="Q19" s="133">
        <f ca="1">OFFSET(IND!T$25,$E19,0)</f>
        <v>20.404649154063605</v>
      </c>
      <c r="R19" s="133">
        <f ca="1">OFFSET(IND!U$25,$E19,0)</f>
        <v>20.845971082332156</v>
      </c>
      <c r="S19" s="133">
        <f ca="1">OFFSET(IND!V$25,$E19,0)</f>
        <v>21.268750072438163</v>
      </c>
      <c r="T19" s="212">
        <f ca="1">OFFSET(IND!W$25,$E19,0)</f>
        <v>21.72861493886926</v>
      </c>
      <c r="U19" s="133">
        <f ca="1">OFFSET(IND!X$25,$E19,0)</f>
        <v>22.314571784805654</v>
      </c>
      <c r="V19" s="133">
        <f ca="1">OFFSET(IND!Y$25,$E19,0)</f>
        <v>22.889402867844524</v>
      </c>
      <c r="W19" s="133">
        <f ca="1">OFFSET(IND!Z$25,$E19,0)</f>
        <v>23.479068301413431</v>
      </c>
      <c r="X19" s="133">
        <f ca="1">OFFSET(IND!AA$25,$E19,0)</f>
        <v>24.139196900000005</v>
      </c>
      <c r="Y19" s="214">
        <f ca="1">OFFSET(IND!AB$25,$E19,0)</f>
        <v>24.821577024381629</v>
      </c>
      <c r="Z19" s="133">
        <f ca="1">OFFSET(IND!AC$25,$E19,0)</f>
        <v>25.526208674558305</v>
      </c>
      <c r="AA19" s="133">
        <f ca="1">OFFSET(IND!AD$25,$E19,0)</f>
        <v>26.208588798939932</v>
      </c>
      <c r="AB19" s="133">
        <f ca="1">OFFSET(IND!AE$25,$E19,0)</f>
        <v>26.957723500706717</v>
      </c>
      <c r="AC19" s="133">
        <f ca="1">OFFSET(IND!AF$25,$E19,0)</f>
        <v>27.758778429328622</v>
      </c>
      <c r="AD19" s="133">
        <f ca="1">OFFSET(IND!AG$25,$E19,0)</f>
        <v>28.64142228586573</v>
      </c>
      <c r="AE19" s="133">
        <f ca="1">OFFSET(IND!AH$25,$E19,0)</f>
        <v>29.550026255830396</v>
      </c>
      <c r="AF19" s="133">
        <f ca="1">OFFSET(IND!AI$25,$E19,0)</f>
        <v>30.484590339222621</v>
      </c>
      <c r="AG19" s="133">
        <f ca="1">OFFSET(IND!AJ$25,$E19,0)</f>
        <v>31.430280185512373</v>
      </c>
      <c r="AH19" s="133">
        <f ca="1">OFFSET(IND!AK$25,$E19,0)</f>
        <v>32.405638732862194</v>
      </c>
      <c r="AI19" s="133">
        <f ca="1">OFFSET(IND!AL$25,$E19,0)</f>
        <v>33.432917507067145</v>
      </c>
      <c r="AJ19" s="133">
        <f ca="1">OFFSET(IND!AM$25,$E19,0)</f>
        <v>38.940170141342762</v>
      </c>
      <c r="AK19" s="133">
        <f ca="1">OFFSET(IND!AN$25,$E19,0)</f>
        <v>45.686091044876328</v>
      </c>
      <c r="AL19" s="133">
        <f ca="1">OFFSET(IND!AO$25,$E19,0)</f>
        <v>57.732819871142802</v>
      </c>
      <c r="AM19" s="133">
        <f ca="1">OFFSET(IND!AP$25,$E19,0)</f>
        <v>69.985993408951984</v>
      </c>
      <c r="AQ19" s="4"/>
    </row>
    <row r="20" spans="1:43">
      <c r="A20" s="36" t="s">
        <v>320</v>
      </c>
      <c r="B20">
        <v>39.685391397639997</v>
      </c>
      <c r="E20" s="136">
        <f ca="1">MATCH(F20,IND!$D$26:$D$255,0)</f>
        <v>126</v>
      </c>
      <c r="F20" s="4" t="str">
        <f t="shared" si="0"/>
        <v>ICPT</v>
      </c>
      <c r="G20" s="133">
        <f ca="1">OFFSET(IND!J$25,$E20,0)</f>
        <v>39.004000030517574</v>
      </c>
      <c r="H20" s="133">
        <f ca="1">OFFSET(IND!K$25,$E20,0)</f>
        <v>40.11185839154345</v>
      </c>
      <c r="I20" s="133">
        <f ca="1">OFFSET(IND!L$25,$E20,0)</f>
        <v>40.813502020193162</v>
      </c>
      <c r="J20" s="133">
        <f ca="1">OFFSET(IND!M$25,$E20,0)</f>
        <v>49.996000000000002</v>
      </c>
      <c r="K20" s="133">
        <f ca="1">OFFSET(IND!N$25,$E20,0)</f>
        <v>49.996000000000002</v>
      </c>
      <c r="L20" s="133">
        <f ca="1">OFFSET(IND!O$25,$E20,0)</f>
        <v>49.996000000000002</v>
      </c>
      <c r="M20" s="133">
        <f ca="1">OFFSET(IND!P$25,$E20,0)</f>
        <v>50.428827561837458</v>
      </c>
      <c r="N20" s="133">
        <f ca="1">OFFSET(IND!Q$25,$E20,0)</f>
        <v>50.313995759717315</v>
      </c>
      <c r="O20" s="212">
        <f ca="1">OFFSET(IND!R$25,$E20,0)</f>
        <v>46.259549823321549</v>
      </c>
      <c r="P20" s="133">
        <f ca="1">OFFSET(IND!S$25,$E20,0)</f>
        <v>47.487366784452291</v>
      </c>
      <c r="Q20" s="133">
        <f ca="1">OFFSET(IND!T$25,$E20,0)</f>
        <v>48.60035194346289</v>
      </c>
      <c r="R20" s="133">
        <f ca="1">OFFSET(IND!U$25,$E20,0)</f>
        <v>49.651504593639565</v>
      </c>
      <c r="S20" s="133">
        <f ca="1">OFFSET(IND!V$25,$E20,0)</f>
        <v>50.658491166077731</v>
      </c>
      <c r="T20" s="212">
        <f ca="1">OFFSET(IND!W$25,$E20,0)</f>
        <v>51.753809893992923</v>
      </c>
      <c r="U20" s="133">
        <f ca="1">OFFSET(IND!X$25,$E20,0)</f>
        <v>53.149457950530021</v>
      </c>
      <c r="V20" s="133">
        <f ca="1">OFFSET(IND!Y$25,$E20,0)</f>
        <v>54.518606360424009</v>
      </c>
      <c r="W20" s="133">
        <f ca="1">OFFSET(IND!Z$25,$E20,0)</f>
        <v>55.923087632508825</v>
      </c>
      <c r="X20" s="133">
        <f ca="1">OFFSET(IND!AA$25,$E20,0)</f>
        <v>57.495399999999997</v>
      </c>
      <c r="Y20" s="214">
        <f ca="1">OFFSET(IND!AB$25,$E20,0)</f>
        <v>59.120711660777381</v>
      </c>
      <c r="Z20" s="133">
        <f ca="1">OFFSET(IND!AC$25,$E20,0)</f>
        <v>60.799022614840979</v>
      </c>
      <c r="AA20" s="133">
        <f ca="1">OFFSET(IND!AD$25,$E20,0)</f>
        <v>62.424334275618364</v>
      </c>
      <c r="AB20" s="133">
        <f ca="1">OFFSET(IND!AE$25,$E20,0)</f>
        <v>64.208643816254408</v>
      </c>
      <c r="AC20" s="133">
        <f ca="1">OFFSET(IND!AF$25,$E20,0)</f>
        <v>66.116618374558286</v>
      </c>
      <c r="AD20" s="133">
        <f ca="1">OFFSET(IND!AG$25,$E20,0)</f>
        <v>68.218923674911665</v>
      </c>
      <c r="AE20" s="133">
        <f ca="1">OFFSET(IND!AH$25,$E20,0)</f>
        <v>70.383061484098945</v>
      </c>
      <c r="AF20" s="133">
        <f ca="1">OFFSET(IND!AI$25,$E20,0)</f>
        <v>72.609031802120143</v>
      </c>
      <c r="AG20" s="133">
        <f ca="1">OFFSET(IND!AJ$25,$E20,0)</f>
        <v>74.861501766784457</v>
      </c>
      <c r="AH20" s="133">
        <f ca="1">OFFSET(IND!AK$25,$E20,0)</f>
        <v>77.184637455830384</v>
      </c>
      <c r="AI20" s="133">
        <f ca="1">OFFSET(IND!AL$25,$E20,0)</f>
        <v>79.631438162544171</v>
      </c>
      <c r="AJ20" s="133">
        <f ca="1">OFFSET(IND!AM$25,$E20,0)</f>
        <v>92.748763250883385</v>
      </c>
      <c r="AK20" s="133">
        <f ca="1">OFFSET(IND!AN$25,$E20,0)</f>
        <v>108.81638233215547</v>
      </c>
      <c r="AL20" s="133">
        <f ca="1">OFFSET(IND!AO$25,$E20,0)</f>
        <v>137.50961083627863</v>
      </c>
      <c r="AM20" s="133">
        <f ca="1">OFFSET(IND!AP$25,$E20,0)</f>
        <v>166.69455500588992</v>
      </c>
      <c r="AQ20" s="4"/>
    </row>
    <row r="21" spans="1:43">
      <c r="A21" s="36" t="s">
        <v>321</v>
      </c>
      <c r="B21">
        <v>5.3061366499999998E-2</v>
      </c>
      <c r="E21" s="136">
        <f ca="1">MATCH(F21,IND!$D$26:$D$255,0)</f>
        <v>169</v>
      </c>
      <c r="F21" s="4" t="str">
        <f t="shared" si="0"/>
        <v>IFBA</v>
      </c>
      <c r="G21" s="133">
        <f ca="1">OFFSET(IND!J$25,$E21,0)</f>
        <v>3.1931633262906718E-2</v>
      </c>
      <c r="H21" s="133">
        <f ca="1">OFFSET(IND!K$25,$E21,0)</f>
        <v>3.2518132649368273E-2</v>
      </c>
      <c r="I21" s="133">
        <f ca="1">OFFSET(IND!L$25,$E21,0)</f>
        <v>3.294000062910378E-2</v>
      </c>
      <c r="J21" s="133">
        <f ca="1">OFFSET(IND!M$25,$E21,0)</f>
        <v>2.9904000000000003E-2</v>
      </c>
      <c r="K21" s="133">
        <f ca="1">OFFSET(IND!N$25,$E21,0)</f>
        <v>2.9904000000000003E-2</v>
      </c>
      <c r="L21" s="133">
        <f ca="1">OFFSET(IND!O$25,$E21,0)</f>
        <v>2.9904000000000003E-2</v>
      </c>
      <c r="M21" s="133">
        <f ca="1">OFFSET(IND!P$25,$E21,0)</f>
        <v>3.0108842858603421E-2</v>
      </c>
      <c r="N21" s="133">
        <f ca="1">OFFSET(IND!Q$25,$E21,0)</f>
        <v>2.9873426439014417E-2</v>
      </c>
      <c r="O21" s="212">
        <f ca="1">OFFSET(IND!R$25,$E21,0)</f>
        <v>2.836920723852367E-2</v>
      </c>
      <c r="P21" s="133">
        <f ca="1">OFFSET(IND!S$25,$E21,0)</f>
        <v>2.9222209590021468E-2</v>
      </c>
      <c r="Q21" s="133">
        <f ca="1">OFFSET(IND!T$25,$E21,0)</f>
        <v>3.0001835395153865E-2</v>
      </c>
      <c r="R21" s="133">
        <f ca="1">OFFSET(IND!U$25,$E21,0)</f>
        <v>3.064082281975258E-2</v>
      </c>
      <c r="S21" s="133">
        <f ca="1">OFFSET(IND!V$25,$E21,0)</f>
        <v>3.1240064615070031E-2</v>
      </c>
      <c r="T21" s="212">
        <f ca="1">OFFSET(IND!W$25,$E21,0)</f>
        <v>3.18821093957673E-2</v>
      </c>
      <c r="U21" s="133">
        <f ca="1">OFFSET(IND!X$25,$E21,0)</f>
        <v>3.276262795215213E-2</v>
      </c>
      <c r="V21" s="133">
        <f ca="1">OFFSET(IND!Y$25,$E21,0)</f>
        <v>3.360034352315714E-2</v>
      </c>
      <c r="W21" s="133">
        <f ca="1">OFFSET(IND!Z$25,$E21,0)</f>
        <v>3.4441116450260711E-2</v>
      </c>
      <c r="X21" s="133">
        <f ca="1">OFFSET(IND!AA$25,$E21,0)</f>
        <v>3.5226856967590224E-2</v>
      </c>
      <c r="Y21" s="214">
        <f ca="1">OFFSET(IND!AB$25,$E21,0)</f>
        <v>3.6027884265412528E-2</v>
      </c>
      <c r="Z21" s="133">
        <f ca="1">OFFSET(IND!AC$25,$E21,0)</f>
        <v>3.6822796851037717E-2</v>
      </c>
      <c r="AA21" s="133">
        <f ca="1">OFFSET(IND!AD$25,$E21,0)</f>
        <v>3.7559619670790294E-2</v>
      </c>
      <c r="AB21" s="133">
        <f ca="1">OFFSET(IND!AE$25,$E21,0)</f>
        <v>3.8360646968612605E-2</v>
      </c>
      <c r="AC21" s="133">
        <f ca="1">OFFSET(IND!AF$25,$E21,0)</f>
        <v>3.9198362539617622E-2</v>
      </c>
      <c r="AD21" s="133">
        <f ca="1">OFFSET(IND!AG$25,$E21,0)</f>
        <v>4.0054422247213978E-2</v>
      </c>
      <c r="AE21" s="133">
        <f ca="1">OFFSET(IND!AH$25,$E21,0)</f>
        <v>4.1005259993865659E-2</v>
      </c>
      <c r="AF21" s="133">
        <f ca="1">OFFSET(IND!AI$25,$E21,0)</f>
        <v>4.1986671301502923E-2</v>
      </c>
      <c r="AG21" s="133">
        <f ca="1">OFFSET(IND!AJ$25,$E21,0)</f>
        <v>4.2952795828647382E-2</v>
      </c>
      <c r="AH21" s="133">
        <f ca="1">OFFSET(IND!AK$25,$E21,0)</f>
        <v>4.3940321848481748E-2</v>
      </c>
      <c r="AI21" s="133">
        <f ca="1">OFFSET(IND!AL$25,$E21,0)</f>
        <v>4.4970650853695934E-2</v>
      </c>
      <c r="AJ21" s="133">
        <f ca="1">OFFSET(IND!AM$25,$E21,0)</f>
        <v>5.0143697372456789E-2</v>
      </c>
      <c r="AK21" s="133">
        <f ca="1">OFFSET(IND!AN$25,$E21,0)</f>
        <v>5.6374589101318866E-2</v>
      </c>
      <c r="AL21" s="133">
        <f ca="1">OFFSET(IND!AO$25,$E21,0)</f>
        <v>6.7602219813924766E-2</v>
      </c>
      <c r="AM21" s="133">
        <f ca="1">OFFSET(IND!AP$25,$E21,0)</f>
        <v>7.900615806154776E-2</v>
      </c>
      <c r="AQ21" s="4"/>
    </row>
    <row r="22" spans="1:43">
      <c r="A22" s="36" t="s">
        <v>322</v>
      </c>
      <c r="B22">
        <v>12.204114317089999</v>
      </c>
      <c r="E22" s="136">
        <f ca="1">MATCH(F22,IND!$D$26:$D$255,0)</f>
        <v>171</v>
      </c>
      <c r="F22" s="4" t="str">
        <f t="shared" si="0"/>
        <v>IFBC</v>
      </c>
      <c r="G22" s="133">
        <f ca="1">OFFSET(IND!J$25,$E22,0)</f>
        <v>7.3442756504685454</v>
      </c>
      <c r="H22" s="133">
        <f ca="1">OFFSET(IND!K$25,$E22,0)</f>
        <v>7.4791705093547023</v>
      </c>
      <c r="I22" s="133">
        <f ca="1">OFFSET(IND!L$25,$E22,0)</f>
        <v>7.5762001446938685</v>
      </c>
      <c r="J22" s="133">
        <f ca="1">OFFSET(IND!M$25,$E22,0)</f>
        <v>6.8779200000000005</v>
      </c>
      <c r="K22" s="133">
        <f ca="1">OFFSET(IND!N$25,$E22,0)</f>
        <v>6.8779200000000005</v>
      </c>
      <c r="L22" s="133">
        <f ca="1">OFFSET(IND!O$25,$E22,0)</f>
        <v>6.8779200000000005</v>
      </c>
      <c r="M22" s="133">
        <f ca="1">OFFSET(IND!P$25,$E22,0)</f>
        <v>6.9250338574787866</v>
      </c>
      <c r="N22" s="133">
        <f ca="1">OFFSET(IND!Q$25,$E22,0)</f>
        <v>6.8708880809733159</v>
      </c>
      <c r="O22" s="212">
        <f ca="1">OFFSET(IND!R$25,$E22,0)</f>
        <v>6.5249176648604443</v>
      </c>
      <c r="P22" s="133">
        <f ca="1">OFFSET(IND!S$25,$E22,0)</f>
        <v>6.7211082057049376</v>
      </c>
      <c r="Q22" s="133">
        <f ca="1">OFFSET(IND!T$25,$E22,0)</f>
        <v>6.9004221408853894</v>
      </c>
      <c r="R22" s="133">
        <f ca="1">OFFSET(IND!U$25,$E22,0)</f>
        <v>7.0473892485430936</v>
      </c>
      <c r="S22" s="133">
        <f ca="1">OFFSET(IND!V$25,$E22,0)</f>
        <v>7.1852148614661075</v>
      </c>
      <c r="T22" s="212">
        <f ca="1">OFFSET(IND!W$25,$E22,0)</f>
        <v>7.3328851610264794</v>
      </c>
      <c r="U22" s="133">
        <f ca="1">OFFSET(IND!X$25,$E22,0)</f>
        <v>7.5354044289949895</v>
      </c>
      <c r="V22" s="133">
        <f ca="1">OFFSET(IND!Y$25,$E22,0)</f>
        <v>7.7280790103261419</v>
      </c>
      <c r="W22" s="133">
        <f ca="1">OFFSET(IND!Z$25,$E22,0)</f>
        <v>7.9214567835599627</v>
      </c>
      <c r="X22" s="133">
        <f ca="1">OFFSET(IND!AA$25,$E22,0)</f>
        <v>8.1021771025457507</v>
      </c>
      <c r="Y22" s="214">
        <f ca="1">OFFSET(IND!AB$25,$E22,0)</f>
        <v>8.2864133810448806</v>
      </c>
      <c r="Z22" s="133">
        <f ca="1">OFFSET(IND!AC$25,$E22,0)</f>
        <v>8.4692432757386733</v>
      </c>
      <c r="AA22" s="133">
        <f ca="1">OFFSET(IND!AD$25,$E22,0)</f>
        <v>8.6387125242817664</v>
      </c>
      <c r="AB22" s="133">
        <f ca="1">OFFSET(IND!AE$25,$E22,0)</f>
        <v>8.822948802780898</v>
      </c>
      <c r="AC22" s="133">
        <f ca="1">OFFSET(IND!AF$25,$E22,0)</f>
        <v>9.0156233841120521</v>
      </c>
      <c r="AD22" s="133">
        <f ca="1">OFFSET(IND!AG$25,$E22,0)</f>
        <v>9.2125171168592139</v>
      </c>
      <c r="AE22" s="133">
        <f ca="1">OFFSET(IND!AH$25,$E22,0)</f>
        <v>9.4312097985890997</v>
      </c>
      <c r="AF22" s="133">
        <f ca="1">OFFSET(IND!AI$25,$E22,0)</f>
        <v>9.6569343993456691</v>
      </c>
      <c r="AG22" s="133">
        <f ca="1">OFFSET(IND!AJ$25,$E22,0)</f>
        <v>9.8791430405888949</v>
      </c>
      <c r="AH22" s="133">
        <f ca="1">OFFSET(IND!AK$25,$E22,0)</f>
        <v>10.1062740251508</v>
      </c>
      <c r="AI22" s="133">
        <f ca="1">OFFSET(IND!AL$25,$E22,0)</f>
        <v>10.343249696350062</v>
      </c>
      <c r="AJ22" s="133">
        <f ca="1">OFFSET(IND!AM$25,$E22,0)</f>
        <v>11.533050395665059</v>
      </c>
      <c r="AK22" s="133">
        <f ca="1">OFFSET(IND!AN$25,$E22,0)</f>
        <v>12.966155493303336</v>
      </c>
      <c r="AL22" s="133">
        <f ca="1">OFFSET(IND!AO$25,$E22,0)</f>
        <v>15.548510557202693</v>
      </c>
      <c r="AM22" s="133">
        <f ca="1">OFFSET(IND!AP$25,$E22,0)</f>
        <v>18.171416354155983</v>
      </c>
      <c r="AQ22" s="4"/>
    </row>
    <row r="23" spans="1:43">
      <c r="A23" s="36" t="s">
        <v>323</v>
      </c>
      <c r="B23" t="s">
        <v>386</v>
      </c>
      <c r="E23" s="136">
        <f ca="1">MATCH(F23,IND!$D$26:$D$255,0)</f>
        <v>176</v>
      </c>
      <c r="F23" s="4" t="str">
        <f t="shared" si="0"/>
        <v>IFBE</v>
      </c>
      <c r="G23" s="133">
        <f ca="1">OFFSET(IND!J$25,$E23,0)</f>
        <v>0</v>
      </c>
      <c r="H23" s="133">
        <f ca="1">OFFSET(IND!K$25,$E23,0)</f>
        <v>0</v>
      </c>
      <c r="I23" s="133">
        <f ca="1">OFFSET(IND!L$25,$E23,0)</f>
        <v>0</v>
      </c>
      <c r="J23" s="133">
        <f ca="1">OFFSET(IND!M$25,$E23,0)</f>
        <v>0</v>
      </c>
      <c r="K23" s="133">
        <f ca="1">OFFSET(IND!N$25,$E23,0)</f>
        <v>0</v>
      </c>
      <c r="L23" s="133">
        <f ca="1">OFFSET(IND!O$25,$E23,0)</f>
        <v>0</v>
      </c>
      <c r="M23" s="133">
        <f ca="1">OFFSET(IND!P$25,$E23,0)</f>
        <v>0</v>
      </c>
      <c r="N23" s="133">
        <f ca="1">OFFSET(IND!Q$25,$E23,0)</f>
        <v>0</v>
      </c>
      <c r="O23" s="212">
        <f ca="1">OFFSET(IND!R$25,$E23,0)</f>
        <v>0</v>
      </c>
      <c r="P23" s="133">
        <f ca="1">OFFSET(IND!S$25,$E23,0)</f>
        <v>0</v>
      </c>
      <c r="Q23" s="133">
        <f ca="1">OFFSET(IND!T$25,$E23,0)</f>
        <v>0</v>
      </c>
      <c r="R23" s="133">
        <f ca="1">OFFSET(IND!U$25,$E23,0)</f>
        <v>0</v>
      </c>
      <c r="S23" s="133">
        <f ca="1">OFFSET(IND!V$25,$E23,0)</f>
        <v>0</v>
      </c>
      <c r="T23" s="212">
        <f ca="1">OFFSET(IND!W$25,$E23,0)</f>
        <v>0</v>
      </c>
      <c r="U23" s="133">
        <f ca="1">OFFSET(IND!X$25,$E23,0)</f>
        <v>0</v>
      </c>
      <c r="V23" s="133">
        <f ca="1">OFFSET(IND!Y$25,$E23,0)</f>
        <v>0</v>
      </c>
      <c r="W23" s="133">
        <f ca="1">OFFSET(IND!Z$25,$E23,0)</f>
        <v>0</v>
      </c>
      <c r="X23" s="133">
        <f ca="1">OFFSET(IND!AA$25,$E23,0)</f>
        <v>0</v>
      </c>
      <c r="Y23" s="214">
        <f ca="1">OFFSET(IND!AB$25,$E23,0)</f>
        <v>0</v>
      </c>
      <c r="Z23" s="133">
        <f ca="1">OFFSET(IND!AC$25,$E23,0)</f>
        <v>0</v>
      </c>
      <c r="AA23" s="133">
        <f ca="1">OFFSET(IND!AD$25,$E23,0)</f>
        <v>0</v>
      </c>
      <c r="AB23" s="133">
        <f ca="1">OFFSET(IND!AE$25,$E23,0)</f>
        <v>0</v>
      </c>
      <c r="AC23" s="133">
        <f ca="1">OFFSET(IND!AF$25,$E23,0)</f>
        <v>0</v>
      </c>
      <c r="AD23" s="133">
        <f ca="1">OFFSET(IND!AG$25,$E23,0)</f>
        <v>0</v>
      </c>
      <c r="AE23" s="133">
        <f ca="1">OFFSET(IND!AH$25,$E23,0)</f>
        <v>0</v>
      </c>
      <c r="AF23" s="133">
        <f ca="1">OFFSET(IND!AI$25,$E23,0)</f>
        <v>0</v>
      </c>
      <c r="AG23" s="133">
        <f ca="1">OFFSET(IND!AJ$25,$E23,0)</f>
        <v>0</v>
      </c>
      <c r="AH23" s="133">
        <f ca="1">OFFSET(IND!AK$25,$E23,0)</f>
        <v>0</v>
      </c>
      <c r="AI23" s="133">
        <f ca="1">OFFSET(IND!AL$25,$E23,0)</f>
        <v>0</v>
      </c>
      <c r="AJ23" s="133">
        <f ca="1">OFFSET(IND!AM$25,$E23,0)</f>
        <v>0</v>
      </c>
      <c r="AK23" s="133">
        <f ca="1">OFFSET(IND!AN$25,$E23,0)</f>
        <v>0</v>
      </c>
      <c r="AL23" s="133">
        <f ca="1">OFFSET(IND!AO$25,$E23,0)</f>
        <v>0</v>
      </c>
      <c r="AM23" s="133">
        <f ca="1">OFFSET(IND!AP$25,$E23,0)</f>
        <v>0</v>
      </c>
      <c r="AQ23" s="4"/>
    </row>
    <row r="24" spans="1:43">
      <c r="A24" s="36" t="s">
        <v>324</v>
      </c>
      <c r="B24">
        <v>0.84898186553730004</v>
      </c>
      <c r="E24" s="136">
        <f ca="1">MATCH(F24,IND!$D$26:$D$255,0)</f>
        <v>174</v>
      </c>
      <c r="F24" s="4" t="str">
        <f t="shared" si="0"/>
        <v>IFBF</v>
      </c>
      <c r="G24" s="133">
        <f ca="1">OFFSET(IND!J$25,$E24,0)</f>
        <v>0.51090613220650749</v>
      </c>
      <c r="H24" s="133">
        <f ca="1">OFFSET(IND!K$25,$E24,0)</f>
        <v>0.52029012238989236</v>
      </c>
      <c r="I24" s="133">
        <f ca="1">OFFSET(IND!L$25,$E24,0)</f>
        <v>0.52704001006566048</v>
      </c>
      <c r="J24" s="133">
        <f ca="1">OFFSET(IND!M$25,$E24,0)</f>
        <v>0.47846400000000006</v>
      </c>
      <c r="K24" s="133">
        <f ca="1">OFFSET(IND!N$25,$E24,0)</f>
        <v>0.47846400000000006</v>
      </c>
      <c r="L24" s="133">
        <f ca="1">OFFSET(IND!O$25,$E24,0)</f>
        <v>0.47846400000000006</v>
      </c>
      <c r="M24" s="133">
        <f ca="1">OFFSET(IND!P$25,$E24,0)</f>
        <v>0.48174148573765474</v>
      </c>
      <c r="N24" s="133">
        <f ca="1">OFFSET(IND!Q$25,$E24,0)</f>
        <v>0.47797482302423067</v>
      </c>
      <c r="O24" s="212">
        <f ca="1">OFFSET(IND!R$25,$E24,0)</f>
        <v>0.45390731581637872</v>
      </c>
      <c r="P24" s="133">
        <f ca="1">OFFSET(IND!S$25,$E24,0)</f>
        <v>0.46755535344034349</v>
      </c>
      <c r="Q24" s="133">
        <f ca="1">OFFSET(IND!T$25,$E24,0)</f>
        <v>0.48002936632246185</v>
      </c>
      <c r="R24" s="133">
        <f ca="1">OFFSET(IND!U$25,$E24,0)</f>
        <v>0.49025316511604128</v>
      </c>
      <c r="S24" s="133">
        <f ca="1">OFFSET(IND!V$25,$E24,0)</f>
        <v>0.4998410338411205</v>
      </c>
      <c r="T24" s="212">
        <f ca="1">OFFSET(IND!W$25,$E24,0)</f>
        <v>0.51011375033227679</v>
      </c>
      <c r="U24" s="133">
        <f ca="1">OFFSET(IND!X$25,$E24,0)</f>
        <v>0.52420204723443409</v>
      </c>
      <c r="V24" s="133">
        <f ca="1">OFFSET(IND!Y$25,$E24,0)</f>
        <v>0.53760549637051425</v>
      </c>
      <c r="W24" s="133">
        <f ca="1">OFFSET(IND!Z$25,$E24,0)</f>
        <v>0.55105786320417138</v>
      </c>
      <c r="X24" s="133">
        <f ca="1">OFFSET(IND!AA$25,$E24,0)</f>
        <v>0.56362971148144358</v>
      </c>
      <c r="Y24" s="214">
        <f ca="1">OFFSET(IND!AB$25,$E24,0)</f>
        <v>0.57644614824660045</v>
      </c>
      <c r="Z24" s="133">
        <f ca="1">OFFSET(IND!AC$25,$E24,0)</f>
        <v>0.58916474961660348</v>
      </c>
      <c r="AA24" s="133">
        <f ca="1">OFFSET(IND!AD$25,$E24,0)</f>
        <v>0.6009539147326447</v>
      </c>
      <c r="AB24" s="133">
        <f ca="1">OFFSET(IND!AE$25,$E24,0)</f>
        <v>0.61377035149780168</v>
      </c>
      <c r="AC24" s="133">
        <f ca="1">OFFSET(IND!AF$25,$E24,0)</f>
        <v>0.62717380063388195</v>
      </c>
      <c r="AD24" s="133">
        <f ca="1">OFFSET(IND!AG$25,$E24,0)</f>
        <v>0.64087075595542364</v>
      </c>
      <c r="AE24" s="133">
        <f ca="1">OFFSET(IND!AH$25,$E24,0)</f>
        <v>0.65608415990185054</v>
      </c>
      <c r="AF24" s="133">
        <f ca="1">OFFSET(IND!AI$25,$E24,0)</f>
        <v>0.67178674082404677</v>
      </c>
      <c r="AG24" s="133">
        <f ca="1">OFFSET(IND!AJ$25,$E24,0)</f>
        <v>0.68724473325835811</v>
      </c>
      <c r="AH24" s="133">
        <f ca="1">OFFSET(IND!AK$25,$E24,0)</f>
        <v>0.70304514957570796</v>
      </c>
      <c r="AI24" s="133">
        <f ca="1">OFFSET(IND!AL$25,$E24,0)</f>
        <v>0.71953041365913495</v>
      </c>
      <c r="AJ24" s="133">
        <f ca="1">OFFSET(IND!AM$25,$E24,0)</f>
        <v>0.80229915795930862</v>
      </c>
      <c r="AK24" s="133">
        <f ca="1">OFFSET(IND!AN$25,$E24,0)</f>
        <v>0.90199342562110185</v>
      </c>
      <c r="AL24" s="133">
        <f ca="1">OFFSET(IND!AO$25,$E24,0)</f>
        <v>1.0816355170227963</v>
      </c>
      <c r="AM24" s="133">
        <f ca="1">OFFSET(IND!AP$25,$E24,0)</f>
        <v>1.2640985289847642</v>
      </c>
      <c r="AQ24" s="4"/>
    </row>
    <row r="25" spans="1:43">
      <c r="A25" s="36" t="s">
        <v>325</v>
      </c>
      <c r="B25">
        <v>1.432656898094</v>
      </c>
      <c r="E25" s="136">
        <f ca="1">MATCH(F25,IND!$D$26:$D$255,0)</f>
        <v>172</v>
      </c>
      <c r="F25" s="4" t="str">
        <f t="shared" si="0"/>
        <v>IFBH</v>
      </c>
      <c r="G25" s="133">
        <f ca="1">OFFSET(IND!J$25,$E25,0)</f>
        <v>0.86215409809848131</v>
      </c>
      <c r="H25" s="133">
        <f ca="1">OFFSET(IND!K$25,$E25,0)</f>
        <v>0.87798958153294326</v>
      </c>
      <c r="I25" s="133">
        <f ca="1">OFFSET(IND!L$25,$E25,0)</f>
        <v>0.88938001698580194</v>
      </c>
      <c r="J25" s="133">
        <f ca="1">OFFSET(IND!M$25,$E25,0)</f>
        <v>0.8074079999999999</v>
      </c>
      <c r="K25" s="133">
        <f ca="1">OFFSET(IND!N$25,$E25,0)</f>
        <v>0.8074079999999999</v>
      </c>
      <c r="L25" s="133">
        <f ca="1">OFFSET(IND!O$25,$E25,0)</f>
        <v>0.8074079999999999</v>
      </c>
      <c r="M25" s="133">
        <f ca="1">OFFSET(IND!P$25,$E25,0)</f>
        <v>0.81293875718229214</v>
      </c>
      <c r="N25" s="133">
        <f ca="1">OFFSET(IND!Q$25,$E25,0)</f>
        <v>0.80658251385338908</v>
      </c>
      <c r="O25" s="212">
        <f ca="1">OFFSET(IND!R$25,$E25,0)</f>
        <v>0.76596859544013896</v>
      </c>
      <c r="P25" s="133">
        <f ca="1">OFFSET(IND!S$25,$E25,0)</f>
        <v>0.78899965893057955</v>
      </c>
      <c r="Q25" s="133">
        <f ca="1">OFFSET(IND!T$25,$E25,0)</f>
        <v>0.81004955566915426</v>
      </c>
      <c r="R25" s="133">
        <f ca="1">OFFSET(IND!U$25,$E25,0)</f>
        <v>0.82730221613331956</v>
      </c>
      <c r="S25" s="133">
        <f ca="1">OFFSET(IND!V$25,$E25,0)</f>
        <v>0.84348174460689074</v>
      </c>
      <c r="T25" s="212">
        <f ca="1">OFFSET(IND!W$25,$E25,0)</f>
        <v>0.86081695368571698</v>
      </c>
      <c r="U25" s="133">
        <f ca="1">OFFSET(IND!X$25,$E25,0)</f>
        <v>0.88459095470810734</v>
      </c>
      <c r="V25" s="133">
        <f ca="1">OFFSET(IND!Y$25,$E25,0)</f>
        <v>0.90720927512524252</v>
      </c>
      <c r="W25" s="133">
        <f ca="1">OFFSET(IND!Z$25,$E25,0)</f>
        <v>0.92991014415703888</v>
      </c>
      <c r="X25" s="133">
        <f ca="1">OFFSET(IND!AA$25,$E25,0)</f>
        <v>0.95112513812493571</v>
      </c>
      <c r="Y25" s="214">
        <f ca="1">OFFSET(IND!AB$25,$E25,0)</f>
        <v>0.97275287516613795</v>
      </c>
      <c r="Z25" s="133">
        <f ca="1">OFFSET(IND!AC$25,$E25,0)</f>
        <v>0.99421551497801797</v>
      </c>
      <c r="AA25" s="133">
        <f ca="1">OFFSET(IND!AD$25,$E25,0)</f>
        <v>1.0141097311113376</v>
      </c>
      <c r="AB25" s="133">
        <f ca="1">OFFSET(IND!AE$25,$E25,0)</f>
        <v>1.03573746815254</v>
      </c>
      <c r="AC25" s="133">
        <f ca="1">OFFSET(IND!AF$25,$E25,0)</f>
        <v>1.0583557885696755</v>
      </c>
      <c r="AD25" s="133">
        <f ca="1">OFFSET(IND!AG$25,$E25,0)</f>
        <v>1.0814694006747771</v>
      </c>
      <c r="AE25" s="133">
        <f ca="1">OFFSET(IND!AH$25,$E25,0)</f>
        <v>1.1071420198343724</v>
      </c>
      <c r="AF25" s="133">
        <f ca="1">OFFSET(IND!AI$25,$E25,0)</f>
        <v>1.1336401251405785</v>
      </c>
      <c r="AG25" s="133">
        <f ca="1">OFFSET(IND!AJ$25,$E25,0)</f>
        <v>1.159725487373479</v>
      </c>
      <c r="AH25" s="133">
        <f ca="1">OFFSET(IND!AK$25,$E25,0)</f>
        <v>1.186388689909007</v>
      </c>
      <c r="AI25" s="133">
        <f ca="1">OFFSET(IND!AL$25,$E25,0)</f>
        <v>1.2142075730497901</v>
      </c>
      <c r="AJ25" s="133">
        <f ca="1">OFFSET(IND!AM$25,$E25,0)</f>
        <v>1.3538798290563332</v>
      </c>
      <c r="AK25" s="133">
        <f ca="1">OFFSET(IND!AN$25,$E25,0)</f>
        <v>1.5221139057356092</v>
      </c>
      <c r="AL25" s="133">
        <f ca="1">OFFSET(IND!AO$25,$E25,0)</f>
        <v>1.8252599349759686</v>
      </c>
      <c r="AM25" s="133">
        <f ca="1">OFFSET(IND!AP$25,$E25,0)</f>
        <v>2.1331662676617893</v>
      </c>
      <c r="AQ25" s="4"/>
    </row>
    <row r="26" spans="1:43">
      <c r="A26" s="36" t="s">
        <v>326</v>
      </c>
      <c r="B26">
        <v>1.857147830862</v>
      </c>
      <c r="E26" s="136">
        <f ca="1">MATCH(F26,IND!$D$26:$D$255,0)</f>
        <v>168</v>
      </c>
      <c r="F26" s="4" t="str">
        <f t="shared" si="0"/>
        <v>IFBK</v>
      </c>
      <c r="G26" s="133">
        <f ca="1">OFFSET(IND!J$25,$E26,0)</f>
        <v>1.1176071642017353</v>
      </c>
      <c r="H26" s="133">
        <f ca="1">OFFSET(IND!K$25,$E26,0)</f>
        <v>1.1381346427278896</v>
      </c>
      <c r="I26" s="133">
        <f ca="1">OFFSET(IND!L$25,$E26,0)</f>
        <v>1.1529000220186323</v>
      </c>
      <c r="J26" s="133">
        <f ca="1">OFFSET(IND!M$25,$E26,0)</f>
        <v>1.04664</v>
      </c>
      <c r="K26" s="133">
        <f ca="1">OFFSET(IND!N$25,$E26,0)</f>
        <v>1.04664</v>
      </c>
      <c r="L26" s="133">
        <f ca="1">OFFSET(IND!O$25,$E26,0)</f>
        <v>1.04664</v>
      </c>
      <c r="M26" s="133">
        <f ca="1">OFFSET(IND!P$25,$E26,0)</f>
        <v>1.0538095000511196</v>
      </c>
      <c r="N26" s="133">
        <f ca="1">OFFSET(IND!Q$25,$E26,0)</f>
        <v>1.0455699253655044</v>
      </c>
      <c r="O26" s="212">
        <f ca="1">OFFSET(IND!R$25,$E26,0)</f>
        <v>0.99292225334832829</v>
      </c>
      <c r="P26" s="133">
        <f ca="1">OFFSET(IND!S$25,$E26,0)</f>
        <v>1.0227773356507512</v>
      </c>
      <c r="Q26" s="133">
        <f ca="1">OFFSET(IND!T$25,$E26,0)</f>
        <v>1.0500642388303851</v>
      </c>
      <c r="R26" s="133">
        <f ca="1">OFFSET(IND!U$25,$E26,0)</f>
        <v>1.0724287986913401</v>
      </c>
      <c r="S26" s="133">
        <f ca="1">OFFSET(IND!V$25,$E26,0)</f>
        <v>1.093402261527451</v>
      </c>
      <c r="T26" s="212">
        <f ca="1">OFFSET(IND!W$25,$E26,0)</f>
        <v>1.1158738288518555</v>
      </c>
      <c r="U26" s="133">
        <f ca="1">OFFSET(IND!X$25,$E26,0)</f>
        <v>1.1466919783253244</v>
      </c>
      <c r="V26" s="133">
        <f ca="1">OFFSET(IND!Y$25,$E26,0)</f>
        <v>1.1760120233104998</v>
      </c>
      <c r="W26" s="133">
        <f ca="1">OFFSET(IND!Z$25,$E26,0)</f>
        <v>1.2054390757591247</v>
      </c>
      <c r="X26" s="133">
        <f ca="1">OFFSET(IND!AA$25,$E26,0)</f>
        <v>1.2329399938656576</v>
      </c>
      <c r="Y26" s="214">
        <f ca="1">OFFSET(IND!AB$25,$E26,0)</f>
        <v>1.2609759492894383</v>
      </c>
      <c r="Z26" s="133">
        <f ca="1">OFFSET(IND!AC$25,$E26,0)</f>
        <v>1.2887978897863199</v>
      </c>
      <c r="AA26" s="133">
        <f ca="1">OFFSET(IND!AD$25,$E26,0)</f>
        <v>1.3145866884776602</v>
      </c>
      <c r="AB26" s="133">
        <f ca="1">OFFSET(IND!AE$25,$E26,0)</f>
        <v>1.342622643901441</v>
      </c>
      <c r="AC26" s="133">
        <f ca="1">OFFSET(IND!AF$25,$E26,0)</f>
        <v>1.3719426888866166</v>
      </c>
      <c r="AD26" s="133">
        <f ca="1">OFFSET(IND!AG$25,$E26,0)</f>
        <v>1.4019047786524892</v>
      </c>
      <c r="AE26" s="133">
        <f ca="1">OFFSET(IND!AH$25,$E26,0)</f>
        <v>1.435184099785298</v>
      </c>
      <c r="AF26" s="133">
        <f ca="1">OFFSET(IND!AI$25,$E26,0)</f>
        <v>1.4695334955526023</v>
      </c>
      <c r="AG26" s="133">
        <f ca="1">OFFSET(IND!AJ$25,$E26,0)</f>
        <v>1.5033478540026584</v>
      </c>
      <c r="AH26" s="133">
        <f ca="1">OFFSET(IND!AK$25,$E26,0)</f>
        <v>1.5379112646968611</v>
      </c>
      <c r="AI26" s="133">
        <f ca="1">OFFSET(IND!AL$25,$E26,0)</f>
        <v>1.5739727798793577</v>
      </c>
      <c r="AJ26" s="133">
        <f ca="1">OFFSET(IND!AM$25,$E26,0)</f>
        <v>1.7550294080359876</v>
      </c>
      <c r="AK26" s="133">
        <f ca="1">OFFSET(IND!AN$25,$E26,0)</f>
        <v>1.9731106185461602</v>
      </c>
      <c r="AL26" s="133">
        <f ca="1">OFFSET(IND!AO$25,$E26,0)</f>
        <v>2.3660776934873669</v>
      </c>
      <c r="AM26" s="133">
        <f ca="1">OFFSET(IND!AP$25,$E26,0)</f>
        <v>2.7652155321541718</v>
      </c>
      <c r="AQ26" s="4"/>
    </row>
    <row r="27" spans="1:43">
      <c r="A27" s="36" t="s">
        <v>327</v>
      </c>
      <c r="B27">
        <v>0.39796024947059999</v>
      </c>
      <c r="E27" s="136">
        <f ca="1">MATCH(F27,IND!$D$26:$D$255,0)</f>
        <v>170</v>
      </c>
      <c r="F27" s="4" t="str">
        <f t="shared" si="0"/>
        <v>IFBL</v>
      </c>
      <c r="G27" s="133">
        <f ca="1">OFFSET(IND!J$25,$E27,0)</f>
        <v>0.23948724947180039</v>
      </c>
      <c r="H27" s="133">
        <f ca="1">OFFSET(IND!K$25,$E27,0)</f>
        <v>0.24388599487026202</v>
      </c>
      <c r="I27" s="133">
        <f ca="1">OFFSET(IND!L$25,$E27,0)</f>
        <v>0.24705000471827832</v>
      </c>
      <c r="J27" s="133">
        <f ca="1">OFFSET(IND!M$25,$E27,0)</f>
        <v>0.22428000000000001</v>
      </c>
      <c r="K27" s="133">
        <f ca="1">OFFSET(IND!N$25,$E27,0)</f>
        <v>0.22428000000000001</v>
      </c>
      <c r="L27" s="133">
        <f ca="1">OFFSET(IND!O$25,$E27,0)</f>
        <v>0.22428000000000001</v>
      </c>
      <c r="M27" s="133">
        <f ca="1">OFFSET(IND!P$25,$E27,0)</f>
        <v>0.22581632143952562</v>
      </c>
      <c r="N27" s="133">
        <f ca="1">OFFSET(IND!Q$25,$E27,0)</f>
        <v>0.2240506982926081</v>
      </c>
      <c r="O27" s="212">
        <f ca="1">OFFSET(IND!R$25,$E27,0)</f>
        <v>0.21276905428892751</v>
      </c>
      <c r="P27" s="133">
        <f ca="1">OFFSET(IND!S$25,$E27,0)</f>
        <v>0.21916657192516098</v>
      </c>
      <c r="Q27" s="133">
        <f ca="1">OFFSET(IND!T$25,$E27,0)</f>
        <v>0.22501376546365395</v>
      </c>
      <c r="R27" s="133">
        <f ca="1">OFFSET(IND!U$25,$E27,0)</f>
        <v>0.22980617114814431</v>
      </c>
      <c r="S27" s="133">
        <f ca="1">OFFSET(IND!V$25,$E27,0)</f>
        <v>0.23430048461302519</v>
      </c>
      <c r="T27" s="212">
        <f ca="1">OFFSET(IND!W$25,$E27,0)</f>
        <v>0.23911582046825472</v>
      </c>
      <c r="U27" s="133">
        <f ca="1">OFFSET(IND!X$25,$E27,0)</f>
        <v>0.24571970964114093</v>
      </c>
      <c r="V27" s="133">
        <f ca="1">OFFSET(IND!Y$25,$E27,0)</f>
        <v>0.25200257642367851</v>
      </c>
      <c r="W27" s="133">
        <f ca="1">OFFSET(IND!Z$25,$E27,0)</f>
        <v>0.25830837337695528</v>
      </c>
      <c r="X27" s="133">
        <f ca="1">OFFSET(IND!AA$25,$E27,0)</f>
        <v>0.26420142725692664</v>
      </c>
      <c r="Y27" s="214">
        <f ca="1">OFFSET(IND!AB$25,$E27,0)</f>
        <v>0.27020913199059393</v>
      </c>
      <c r="Z27" s="133">
        <f ca="1">OFFSET(IND!AC$25,$E27,0)</f>
        <v>0.27617097638278282</v>
      </c>
      <c r="AA27" s="133">
        <f ca="1">OFFSET(IND!AD$25,$E27,0)</f>
        <v>0.28169714753092717</v>
      </c>
      <c r="AB27" s="133">
        <f ca="1">OFFSET(IND!AE$25,$E27,0)</f>
        <v>0.28770485226459452</v>
      </c>
      <c r="AC27" s="133">
        <f ca="1">OFFSET(IND!AF$25,$E27,0)</f>
        <v>0.29398771904713217</v>
      </c>
      <c r="AD27" s="133">
        <f ca="1">OFFSET(IND!AG$25,$E27,0)</f>
        <v>0.30040816685410487</v>
      </c>
      <c r="AE27" s="133">
        <f ca="1">OFFSET(IND!AH$25,$E27,0)</f>
        <v>0.30753944995399246</v>
      </c>
      <c r="AF27" s="133">
        <f ca="1">OFFSET(IND!AI$25,$E27,0)</f>
        <v>0.31490003476127193</v>
      </c>
      <c r="AG27" s="133">
        <f ca="1">OFFSET(IND!AJ$25,$E27,0)</f>
        <v>0.3221459687148554</v>
      </c>
      <c r="AH27" s="133">
        <f ca="1">OFFSET(IND!AK$25,$E27,0)</f>
        <v>0.32955241386361317</v>
      </c>
      <c r="AI27" s="133">
        <f ca="1">OFFSET(IND!AL$25,$E27,0)</f>
        <v>0.33727988140271958</v>
      </c>
      <c r="AJ27" s="133">
        <f ca="1">OFFSET(IND!AM$25,$E27,0)</f>
        <v>0.376077730293426</v>
      </c>
      <c r="AK27" s="133">
        <f ca="1">OFFSET(IND!AN$25,$E27,0)</f>
        <v>0.4228094182598916</v>
      </c>
      <c r="AL27" s="133">
        <f ca="1">OFFSET(IND!AO$25,$E27,0)</f>
        <v>0.50701664860443585</v>
      </c>
      <c r="AM27" s="133">
        <f ca="1">OFFSET(IND!AP$25,$E27,0)</f>
        <v>0.59254618546160831</v>
      </c>
      <c r="AQ27" s="4"/>
    </row>
    <row r="28" spans="1:43">
      <c r="A28" s="36" t="s">
        <v>328</v>
      </c>
      <c r="B28">
        <v>4.45715479407</v>
      </c>
      <c r="E28" s="136">
        <f ca="1">MATCH(F28,IND!$D$26:$D$255,0)</f>
        <v>175</v>
      </c>
      <c r="F28" s="4" t="str">
        <f t="shared" si="0"/>
        <v>IFBO</v>
      </c>
      <c r="G28" s="133">
        <f ca="1">OFFSET(IND!J$25,$E28,0)</f>
        <v>2.6822571940841642</v>
      </c>
      <c r="H28" s="133">
        <f ca="1">OFFSET(IND!K$25,$E28,0)</f>
        <v>2.7315231425469344</v>
      </c>
      <c r="I28" s="133">
        <f ca="1">OFFSET(IND!L$25,$E28,0)</f>
        <v>2.7669600528447171</v>
      </c>
      <c r="J28" s="133">
        <f ca="1">OFFSET(IND!M$25,$E28,0)</f>
        <v>2.5119360000000004</v>
      </c>
      <c r="K28" s="133">
        <f ca="1">OFFSET(IND!N$25,$E28,0)</f>
        <v>2.5119360000000004</v>
      </c>
      <c r="L28" s="133">
        <f ca="1">OFFSET(IND!O$25,$E28,0)</f>
        <v>2.5119360000000004</v>
      </c>
      <c r="M28" s="133">
        <f ca="1">OFFSET(IND!P$25,$E28,0)</f>
        <v>2.5291428001226874</v>
      </c>
      <c r="N28" s="133">
        <f ca="1">OFFSET(IND!Q$25,$E28,0)</f>
        <v>2.5093678208772112</v>
      </c>
      <c r="O28" s="212">
        <f ca="1">OFFSET(IND!R$25,$E28,0)</f>
        <v>2.3830134080359886</v>
      </c>
      <c r="P28" s="133">
        <f ca="1">OFFSET(IND!S$25,$E28,0)</f>
        <v>2.4546656055618037</v>
      </c>
      <c r="Q28" s="133">
        <f ca="1">OFFSET(IND!T$25,$E28,0)</f>
        <v>2.5201541731929251</v>
      </c>
      <c r="R28" s="133">
        <f ca="1">OFFSET(IND!U$25,$E28,0)</f>
        <v>2.5738291168592169</v>
      </c>
      <c r="S28" s="133">
        <f ca="1">OFFSET(IND!V$25,$E28,0)</f>
        <v>2.6241654276658828</v>
      </c>
      <c r="T28" s="212">
        <f ca="1">OFFSET(IND!W$25,$E28,0)</f>
        <v>2.6780971892444536</v>
      </c>
      <c r="U28" s="133">
        <f ca="1">OFFSET(IND!X$25,$E28,0)</f>
        <v>2.7520607479807793</v>
      </c>
      <c r="V28" s="133">
        <f ca="1">OFFSET(IND!Y$25,$E28,0)</f>
        <v>2.8224288559452</v>
      </c>
      <c r="W28" s="133">
        <f ca="1">OFFSET(IND!Z$25,$E28,0)</f>
        <v>2.8930537818218998</v>
      </c>
      <c r="X28" s="133">
        <f ca="1">OFFSET(IND!AA$25,$E28,0)</f>
        <v>2.9590559852775788</v>
      </c>
      <c r="Y28" s="214">
        <f ca="1">OFFSET(IND!AB$25,$E28,0)</f>
        <v>3.0263422782946527</v>
      </c>
      <c r="Z28" s="133">
        <f ca="1">OFFSET(IND!AC$25,$E28,0)</f>
        <v>3.0931149354871685</v>
      </c>
      <c r="AA28" s="133">
        <f ca="1">OFFSET(IND!AD$25,$E28,0)</f>
        <v>3.155008052346385</v>
      </c>
      <c r="AB28" s="133">
        <f ca="1">OFFSET(IND!AE$25,$E28,0)</f>
        <v>3.2222943453634594</v>
      </c>
      <c r="AC28" s="133">
        <f ca="1">OFFSET(IND!AF$25,$E28,0)</f>
        <v>3.2926624533278805</v>
      </c>
      <c r="AD28" s="133">
        <f ca="1">OFFSET(IND!AG$25,$E28,0)</f>
        <v>3.3645714687659747</v>
      </c>
      <c r="AE28" s="133">
        <f ca="1">OFFSET(IND!AH$25,$E28,0)</f>
        <v>3.4444418394847158</v>
      </c>
      <c r="AF28" s="133">
        <f ca="1">OFFSET(IND!AI$25,$E28,0)</f>
        <v>3.5268803893262457</v>
      </c>
      <c r="AG28" s="133">
        <f ca="1">OFFSET(IND!AJ$25,$E28,0)</f>
        <v>3.6080348496063803</v>
      </c>
      <c r="AH28" s="133">
        <f ca="1">OFFSET(IND!AK$25,$E28,0)</f>
        <v>3.6909870352724674</v>
      </c>
      <c r="AI28" s="133">
        <f ca="1">OFFSET(IND!AL$25,$E28,0)</f>
        <v>3.7775346717104594</v>
      </c>
      <c r="AJ28" s="133">
        <f ca="1">OFFSET(IND!AM$25,$E28,0)</f>
        <v>4.2120705792863715</v>
      </c>
      <c r="AK28" s="133">
        <f ca="1">OFFSET(IND!AN$25,$E28,0)</f>
        <v>4.7354654845107857</v>
      </c>
      <c r="AL28" s="133">
        <f ca="1">OFFSET(IND!AO$25,$E28,0)</f>
        <v>5.6785864643696815</v>
      </c>
      <c r="AM28" s="133">
        <f ca="1">OFFSET(IND!AP$25,$E28,0)</f>
        <v>6.6365172771700136</v>
      </c>
      <c r="AQ28" s="4"/>
    </row>
    <row r="29" spans="1:43">
      <c r="A29" s="36" t="s">
        <v>329</v>
      </c>
      <c r="B29">
        <v>5.9428730587610001</v>
      </c>
      <c r="E29" s="136">
        <f ca="1">MATCH(F29,IND!$D$26:$D$255,0)</f>
        <v>173</v>
      </c>
      <c r="F29" s="4" t="str">
        <f t="shared" si="0"/>
        <v>IFBP</v>
      </c>
      <c r="G29" s="133">
        <f ca="1">OFFSET(IND!J$25,$E29,0)</f>
        <v>3.576342925445553</v>
      </c>
      <c r="H29" s="133">
        <f ca="1">OFFSET(IND!K$25,$E29,0)</f>
        <v>3.6420308567292468</v>
      </c>
      <c r="I29" s="133">
        <f ca="1">OFFSET(IND!L$25,$E29,0)</f>
        <v>3.6892800704596236</v>
      </c>
      <c r="J29" s="133">
        <f ca="1">OFFSET(IND!M$25,$E29,0)</f>
        <v>3.3492480000000002</v>
      </c>
      <c r="K29" s="133">
        <f ca="1">OFFSET(IND!N$25,$E29,0)</f>
        <v>3.3492480000000002</v>
      </c>
      <c r="L29" s="133">
        <f ca="1">OFFSET(IND!O$25,$E29,0)</f>
        <v>3.3492480000000002</v>
      </c>
      <c r="M29" s="133">
        <f ca="1">OFFSET(IND!P$25,$E29,0)</f>
        <v>3.372190400163583</v>
      </c>
      <c r="N29" s="133">
        <f ca="1">OFFSET(IND!Q$25,$E29,0)</f>
        <v>3.3458237611696147</v>
      </c>
      <c r="O29" s="212">
        <f ca="1">OFFSET(IND!R$25,$E29,0)</f>
        <v>3.1773512107146513</v>
      </c>
      <c r="P29" s="133">
        <f ca="1">OFFSET(IND!S$25,$E29,0)</f>
        <v>3.2728874740824048</v>
      </c>
      <c r="Q29" s="133">
        <f ca="1">OFFSET(IND!T$25,$E29,0)</f>
        <v>3.3602055642572335</v>
      </c>
      <c r="R29" s="133">
        <f ca="1">OFFSET(IND!U$25,$E29,0)</f>
        <v>3.4317721558122893</v>
      </c>
      <c r="S29" s="133">
        <f ca="1">OFFSET(IND!V$25,$E29,0)</f>
        <v>3.4988872368878439</v>
      </c>
      <c r="T29" s="212">
        <f ca="1">OFFSET(IND!W$25,$E29,0)</f>
        <v>3.570796252325938</v>
      </c>
      <c r="U29" s="133">
        <f ca="1">OFFSET(IND!X$25,$E29,0)</f>
        <v>3.6694143306410387</v>
      </c>
      <c r="V29" s="133">
        <f ca="1">OFFSET(IND!Y$25,$E29,0)</f>
        <v>3.7632384745935998</v>
      </c>
      <c r="W29" s="133">
        <f ca="1">OFFSET(IND!Z$25,$E29,0)</f>
        <v>3.8574050424291997</v>
      </c>
      <c r="X29" s="133">
        <f ca="1">OFFSET(IND!AA$25,$E29,0)</f>
        <v>3.945407980370105</v>
      </c>
      <c r="Y29" s="214">
        <f ca="1">OFFSET(IND!AB$25,$E29,0)</f>
        <v>4.0351230377262031</v>
      </c>
      <c r="Z29" s="133">
        <f ca="1">OFFSET(IND!AC$25,$E29,0)</f>
        <v>4.1241532473162241</v>
      </c>
      <c r="AA29" s="133">
        <f ca="1">OFFSET(IND!AD$25,$E29,0)</f>
        <v>4.2066774031285128</v>
      </c>
      <c r="AB29" s="133">
        <f ca="1">OFFSET(IND!AE$25,$E29,0)</f>
        <v>4.2963924604846113</v>
      </c>
      <c r="AC29" s="133">
        <f ca="1">OFFSET(IND!AF$25,$E29,0)</f>
        <v>4.3902166044371729</v>
      </c>
      <c r="AD29" s="133">
        <f ca="1">OFFSET(IND!AG$25,$E29,0)</f>
        <v>4.4860952916879651</v>
      </c>
      <c r="AE29" s="133">
        <f ca="1">OFFSET(IND!AH$25,$E29,0)</f>
        <v>4.5925891193129527</v>
      </c>
      <c r="AF29" s="133">
        <f ca="1">OFFSET(IND!AI$25,$E29,0)</f>
        <v>4.7025071857683258</v>
      </c>
      <c r="AG29" s="133">
        <f ca="1">OFFSET(IND!AJ$25,$E29,0)</f>
        <v>4.8107131328085053</v>
      </c>
      <c r="AH29" s="133">
        <f ca="1">OFFSET(IND!AK$25,$E29,0)</f>
        <v>4.9213160470299542</v>
      </c>
      <c r="AI29" s="133">
        <f ca="1">OFFSET(IND!AL$25,$E29,0)</f>
        <v>5.0367128956139435</v>
      </c>
      <c r="AJ29" s="133">
        <f ca="1">OFFSET(IND!AM$25,$E29,0)</f>
        <v>5.6160941057151597</v>
      </c>
      <c r="AK29" s="133">
        <f ca="1">OFFSET(IND!AN$25,$E29,0)</f>
        <v>6.313953979347712</v>
      </c>
      <c r="AL29" s="133">
        <f ca="1">OFFSET(IND!AO$25,$E29,0)</f>
        <v>7.5714486191595727</v>
      </c>
      <c r="AM29" s="133">
        <f ca="1">OFFSET(IND!AP$25,$E29,0)</f>
        <v>8.8486897028933473</v>
      </c>
      <c r="AQ29" s="4"/>
    </row>
    <row r="30" spans="1:43">
      <c r="A30" s="36" t="s">
        <v>330</v>
      </c>
      <c r="B30">
        <v>28.205650466129999</v>
      </c>
      <c r="E30" s="136">
        <f ca="1">MATCH(F30,IND!$D$26:$D$255,0)</f>
        <v>178</v>
      </c>
      <c r="F30" s="4" t="str">
        <f t="shared" si="0"/>
        <v>IFBS</v>
      </c>
      <c r="G30" s="133">
        <f ca="1">OFFSET(IND!J$25,$E30,0)</f>
        <v>20.421862032418336</v>
      </c>
      <c r="H30" s="133">
        <f ca="1">OFFSET(IND!K$25,$E30,0)</f>
        <v>20.79695745750357</v>
      </c>
      <c r="I30" s="133">
        <f ca="1">OFFSET(IND!L$25,$E30,0)</f>
        <v>21.066762938705232</v>
      </c>
      <c r="J30" s="133">
        <f ca="1">OFFSET(IND!M$25,$E30,0)</f>
        <v>6.8922304000000008</v>
      </c>
      <c r="K30" s="133">
        <f ca="1">OFFSET(IND!N$25,$E30,0)</f>
        <v>6.8922304000000008</v>
      </c>
      <c r="L30" s="133">
        <f ca="1">OFFSET(IND!O$25,$E30,0)</f>
        <v>6.8922304000000008</v>
      </c>
      <c r="M30" s="133">
        <f ca="1">OFFSET(IND!P$25,$E30,0)</f>
        <v>6.9394422839382486</v>
      </c>
      <c r="N30" s="133">
        <f ca="1">OFFSET(IND!Q$25,$E30,0)</f>
        <v>6.8851838501584703</v>
      </c>
      <c r="O30" s="212">
        <f ca="1">OFFSET(IND!R$25,$E30,0)</f>
        <v>6.5384935979552194</v>
      </c>
      <c r="P30" s="133">
        <f ca="1">OFFSET(IND!S$25,$E30,0)</f>
        <v>6.7350923385338914</v>
      </c>
      <c r="Q30" s="133">
        <f ca="1">OFFSET(IND!T$25,$E30,0)</f>
        <v>6.9147793594928935</v>
      </c>
      <c r="R30" s="133">
        <f ca="1">OFFSET(IND!U$25,$E30,0)</f>
        <v>7.0620522511808606</v>
      </c>
      <c r="S30" s="133">
        <f ca="1">OFFSET(IND!V$25,$E30,0)</f>
        <v>7.2001646280748384</v>
      </c>
      <c r="T30" s="212">
        <f ca="1">OFFSET(IND!W$25,$E30,0)</f>
        <v>7.3481421747469575</v>
      </c>
      <c r="U30" s="133">
        <f ca="1">OFFSET(IND!X$25,$E30,0)</f>
        <v>7.551082810183007</v>
      </c>
      <c r="V30" s="133">
        <f ca="1">OFFSET(IND!Y$25,$E30,0)</f>
        <v>7.7441582758409151</v>
      </c>
      <c r="W30" s="133">
        <f ca="1">OFFSET(IND!Z$25,$E30,0)</f>
        <v>7.9379383964829771</v>
      </c>
      <c r="X30" s="133">
        <f ca="1">OFFSET(IND!AA$25,$E30,0)</f>
        <v>8.1190347274102841</v>
      </c>
      <c r="Y30" s="214">
        <f ca="1">OFFSET(IND!AB$25,$E30,0)</f>
        <v>8.3036543332583559</v>
      </c>
      <c r="Z30" s="133">
        <f ca="1">OFFSET(IND!AC$25,$E30,0)</f>
        <v>8.4868646291381218</v>
      </c>
      <c r="AA30" s="133">
        <f ca="1">OFFSET(IND!AD$25,$E30,0)</f>
        <v>8.6566864803189816</v>
      </c>
      <c r="AB30" s="133">
        <f ca="1">OFFSET(IND!AE$25,$E30,0)</f>
        <v>8.8413060861670552</v>
      </c>
      <c r="AC30" s="133">
        <f ca="1">OFFSET(IND!AF$25,$E30,0)</f>
        <v>9.0343815518249642</v>
      </c>
      <c r="AD30" s="133">
        <f ca="1">OFFSET(IND!AG$25,$E30,0)</f>
        <v>9.2316849473877891</v>
      </c>
      <c r="AE30" s="133">
        <f ca="1">OFFSET(IND!AH$25,$E30,0)</f>
        <v>9.4508326474593574</v>
      </c>
      <c r="AF30" s="133">
        <f ca="1">OFFSET(IND!AI$25,$E30,0)</f>
        <v>9.6770268973724551</v>
      </c>
      <c r="AG30" s="133">
        <f ca="1">OFFSET(IND!AJ$25,$E30,0)</f>
        <v>9.8996978723647864</v>
      </c>
      <c r="AH30" s="133">
        <f ca="1">OFFSET(IND!AK$25,$E30,0)</f>
        <v>10.127301432246188</v>
      </c>
      <c r="AI30" s="133">
        <f ca="1">OFFSET(IND!AL$25,$E30,0)</f>
        <v>10.364770161905732</v>
      </c>
      <c r="AJ30" s="133">
        <f ca="1">OFFSET(IND!AM$25,$E30,0)</f>
        <v>11.55704639509252</v>
      </c>
      <c r="AK30" s="133">
        <f ca="1">OFFSET(IND!AN$25,$E30,0)</f>
        <v>12.99313325279623</v>
      </c>
      <c r="AL30" s="133">
        <f ca="1">OFFSET(IND!AO$25,$E30,0)</f>
        <v>15.580861239600539</v>
      </c>
      <c r="AM30" s="133">
        <f ca="1">OFFSET(IND!AP$25,$E30,0)</f>
        <v>18.209224330491054</v>
      </c>
      <c r="AQ30" s="4"/>
    </row>
    <row r="31" spans="1:43">
      <c r="A31" s="36" t="s">
        <v>331</v>
      </c>
      <c r="B31">
        <v>1.0975498905550001</v>
      </c>
      <c r="E31" s="136">
        <f ca="1">MATCH(F31,IND!$D$26:$D$255,0)</f>
        <v>47</v>
      </c>
      <c r="F31" s="4" t="str">
        <f t="shared" si="0"/>
        <v>IMIA</v>
      </c>
      <c r="G31" s="133">
        <f ca="1">OFFSET(IND!J$25,$E31,0)</f>
        <v>0.99318058118269725</v>
      </c>
      <c r="H31" s="133">
        <f ca="1">OFFSET(IND!K$25,$E31,0)</f>
        <v>1.0193812422608317</v>
      </c>
      <c r="I31" s="133">
        <f ca="1">OFFSET(IND!L$25,$E31,0)</f>
        <v>1.0212123456398166</v>
      </c>
      <c r="J31" s="133">
        <f ca="1">OFFSET(IND!M$25,$E31,0)</f>
        <v>1.0228235984706235</v>
      </c>
      <c r="K31" s="133">
        <f ca="1">OFFSET(IND!N$25,$E31,0)</f>
        <v>1.0228235984706235</v>
      </c>
      <c r="L31" s="133">
        <f ca="1">OFFSET(IND!O$25,$E31,0)</f>
        <v>1.0228235984706235</v>
      </c>
      <c r="M31" s="133">
        <f ca="1">OFFSET(IND!P$25,$E31,0)</f>
        <v>1.0151524881224319</v>
      </c>
      <c r="N31" s="133">
        <f ca="1">OFFSET(IND!Q$25,$E31,0)</f>
        <v>1.000849843656753</v>
      </c>
      <c r="O31" s="212">
        <f ca="1">OFFSET(IND!R$25,$E31,0)</f>
        <v>0.92234418114356254</v>
      </c>
      <c r="P31" s="133">
        <f ca="1">OFFSET(IND!S$25,$E31,0)</f>
        <v>0.94241529135267876</v>
      </c>
      <c r="Q31" s="133">
        <f ca="1">OFFSET(IND!T$25,$E31,0)</f>
        <v>0.95954475510008885</v>
      </c>
      <c r="R31" s="133">
        <f ca="1">OFFSET(IND!U$25,$E31,0)</f>
        <v>0.97591839899894306</v>
      </c>
      <c r="S31" s="133">
        <f ca="1">OFFSET(IND!V$25,$E31,0)</f>
        <v>0.9918163528594961</v>
      </c>
      <c r="T31" s="212">
        <f ca="1">OFFSET(IND!W$25,$E31,0)</f>
        <v>1.0120187720071914</v>
      </c>
      <c r="U31" s="133">
        <f ca="1">OFFSET(IND!X$25,$E31,0)</f>
        <v>1.0412926678446102</v>
      </c>
      <c r="V31" s="133">
        <f ca="1">OFFSET(IND!Y$25,$E31,0)</f>
        <v>1.0728064853661383</v>
      </c>
      <c r="W31" s="133">
        <f ca="1">OFFSET(IND!Z$25,$E31,0)</f>
        <v>1.106586896516933</v>
      </c>
      <c r="X31" s="133">
        <f ca="1">OFFSET(IND!AA$25,$E31,0)</f>
        <v>1.1371411944941159</v>
      </c>
      <c r="Y31" s="214">
        <f ca="1">OFFSET(IND!AB$25,$E31,0)</f>
        <v>1.1719149885225106</v>
      </c>
      <c r="Z31" s="133">
        <f ca="1">OFFSET(IND!AC$25,$E31,0)</f>
        <v>1.2000817000850563</v>
      </c>
      <c r="AA31" s="133">
        <f ca="1">OFFSET(IND!AD$25,$E31,0)</f>
        <v>1.226200831551743</v>
      </c>
      <c r="AB31" s="133">
        <f ca="1">OFFSET(IND!AE$25,$E31,0)</f>
        <v>1.2540179562686542</v>
      </c>
      <c r="AC31" s="133">
        <f ca="1">OFFSET(IND!AF$25,$E31,0)</f>
        <v>1.2830336644563121</v>
      </c>
      <c r="AD31" s="133">
        <f ca="1">OFFSET(IND!AG$25,$E31,0)</f>
        <v>1.3125987234013954</v>
      </c>
      <c r="AE31" s="133">
        <f ca="1">OFFSET(IND!AH$25,$E31,0)</f>
        <v>1.3452601229792409</v>
      </c>
      <c r="AF31" s="133">
        <f ca="1">OFFSET(IND!AI$25,$E31,0)</f>
        <v>1.3792199879837288</v>
      </c>
      <c r="AG31" s="133">
        <f ca="1">OFFSET(IND!AJ$25,$E31,0)</f>
        <v>1.4132297939661642</v>
      </c>
      <c r="AH31" s="133">
        <f ca="1">OFFSET(IND!AK$25,$E31,0)</f>
        <v>1.448538065375242</v>
      </c>
      <c r="AI31" s="133">
        <f ca="1">OFFSET(IND!AL$25,$E31,0)</f>
        <v>1.4863433856817083</v>
      </c>
      <c r="AJ31" s="133">
        <f ca="1">OFFSET(IND!AM$25,$E31,0)</f>
        <v>1.669576833772098</v>
      </c>
      <c r="AK31" s="133">
        <f ca="1">OFFSET(IND!AN$25,$E31,0)</f>
        <v>1.8977571620154867</v>
      </c>
      <c r="AL31" s="133">
        <f ca="1">OFFSET(IND!AO$25,$E31,0)</f>
        <v>2.3016797916571039</v>
      </c>
      <c r="AM31" s="133">
        <f ca="1">OFFSET(IND!AP$25,$E31,0)</f>
        <v>2.7130935679908874</v>
      </c>
      <c r="AQ31" s="4"/>
    </row>
    <row r="32" spans="1:43">
      <c r="A32" s="36" t="s">
        <v>332</v>
      </c>
      <c r="B32">
        <v>19.17682172608</v>
      </c>
      <c r="E32" s="136">
        <f ca="1">MATCH(F32,IND!$D$26:$D$255,0)</f>
        <v>49</v>
      </c>
      <c r="F32" s="4" t="str">
        <f t="shared" si="0"/>
        <v>IMIC</v>
      </c>
      <c r="G32" s="133">
        <f ca="1">OFFSET(IND!J$25,$E32,0)</f>
        <v>17.35324025908308</v>
      </c>
      <c r="H32" s="133">
        <f ca="1">OFFSET(IND!K$25,$E32,0)</f>
        <v>17.811028475294727</v>
      </c>
      <c r="I32" s="133">
        <f ca="1">OFFSET(IND!L$25,$E32,0)</f>
        <v>17.843022230989085</v>
      </c>
      <c r="J32" s="133">
        <f ca="1">OFFSET(IND!M$25,$E32,0)</f>
        <v>17.871174671764589</v>
      </c>
      <c r="K32" s="133">
        <f ca="1">OFFSET(IND!N$25,$E32,0)</f>
        <v>17.871174671764589</v>
      </c>
      <c r="L32" s="133">
        <f ca="1">OFFSET(IND!O$25,$E32,0)</f>
        <v>17.871174671764589</v>
      </c>
      <c r="M32" s="133">
        <f ca="1">OFFSET(IND!P$25,$E32,0)</f>
        <v>17.737142026092449</v>
      </c>
      <c r="N32" s="133">
        <f ca="1">OFFSET(IND!Q$25,$E32,0)</f>
        <v>17.48724061797429</v>
      </c>
      <c r="O32" s="212">
        <f ca="1">OFFSET(IND!R$25,$E32,0)</f>
        <v>16.115558922720439</v>
      </c>
      <c r="P32" s="133">
        <f ca="1">OFFSET(IND!S$25,$E32,0)</f>
        <v>16.466249224488692</v>
      </c>
      <c r="Q32" s="133">
        <f ca="1">OFFSET(IND!T$25,$E32,0)</f>
        <v>16.765541926692041</v>
      </c>
      <c r="R32" s="133">
        <f ca="1">OFFSET(IND!U$25,$E32,0)</f>
        <v>17.051628648358641</v>
      </c>
      <c r="S32" s="133">
        <f ca="1">OFFSET(IND!V$25,$E32,0)</f>
        <v>17.32940392729278</v>
      </c>
      <c r="T32" s="212">
        <f ca="1">OFFSET(IND!W$25,$E32,0)</f>
        <v>17.682388510284913</v>
      </c>
      <c r="U32" s="133">
        <f ca="1">OFFSET(IND!X$25,$E32,0)</f>
        <v>18.193873488355234</v>
      </c>
      <c r="V32" s="133">
        <f ca="1">OFFSET(IND!Y$25,$E32,0)</f>
        <v>18.744495255728857</v>
      </c>
      <c r="W32" s="133">
        <f ca="1">OFFSET(IND!Z$25,$E32,0)</f>
        <v>19.334719835082083</v>
      </c>
      <c r="X32" s="133">
        <f ca="1">OFFSET(IND!AA$25,$E32,0)</f>
        <v>19.868576501021202</v>
      </c>
      <c r="Y32" s="214">
        <f ca="1">OFFSET(IND!AB$25,$E32,0)</f>
        <v>20.476157855235776</v>
      </c>
      <c r="Z32" s="133">
        <f ca="1">OFFSET(IND!AC$25,$E32,0)</f>
        <v>20.968297675842315</v>
      </c>
      <c r="AA32" s="133">
        <f ca="1">OFFSET(IND!AD$25,$E32,0)</f>
        <v>21.42466137473809</v>
      </c>
      <c r="AB32" s="133">
        <f ca="1">OFFSET(IND!AE$25,$E32,0)</f>
        <v>21.910693077003764</v>
      </c>
      <c r="AC32" s="133">
        <f ca="1">OFFSET(IND!AF$25,$E32,0)</f>
        <v>22.417666899295252</v>
      </c>
      <c r="AD32" s="133">
        <f ca="1">OFFSET(IND!AG$25,$E32,0)</f>
        <v>22.934239193265235</v>
      </c>
      <c r="AE32" s="133">
        <f ca="1">OFFSET(IND!AH$25,$E32,0)</f>
        <v>23.50491196396856</v>
      </c>
      <c r="AF32" s="133">
        <f ca="1">OFFSET(IND!AI$25,$E32,0)</f>
        <v>24.098272031366513</v>
      </c>
      <c r="AG32" s="133">
        <f ca="1">OFFSET(IND!AJ$25,$E32,0)</f>
        <v>24.692504687098872</v>
      </c>
      <c r="AH32" s="133">
        <f ca="1">OFFSET(IND!AK$25,$E32,0)</f>
        <v>25.309424639525862</v>
      </c>
      <c r="AI32" s="133">
        <f ca="1">OFFSET(IND!AL$25,$E32,0)</f>
        <v>25.969974008673287</v>
      </c>
      <c r="AJ32" s="133">
        <f ca="1">OFFSET(IND!AM$25,$E32,0)</f>
        <v>29.171500607618992</v>
      </c>
      <c r="AK32" s="133">
        <f ca="1">OFFSET(IND!AN$25,$E32,0)</f>
        <v>33.158356707532583</v>
      </c>
      <c r="AL32" s="133">
        <f ca="1">OFFSET(IND!AO$25,$E32,0)</f>
        <v>40.215851156230663</v>
      </c>
      <c r="AM32" s="133">
        <f ca="1">OFFSET(IND!AP$25,$E32,0)</f>
        <v>47.404233855090048</v>
      </c>
      <c r="AQ32" s="4"/>
    </row>
    <row r="33" spans="1:43">
      <c r="A33" s="36" t="s">
        <v>333</v>
      </c>
      <c r="B33">
        <v>0.20646280210080001</v>
      </c>
      <c r="E33" s="136">
        <f ca="1">MATCH(F33,IND!$D$26:$D$255,0)</f>
        <v>54</v>
      </c>
      <c r="F33" s="4" t="str">
        <f t="shared" si="0"/>
        <v>IMIE</v>
      </c>
      <c r="G33" s="133">
        <f ca="1">OFFSET(IND!J$25,$E33,0)</f>
        <v>0.18682963530638833</v>
      </c>
      <c r="H33" s="133">
        <f ca="1">OFFSET(IND!K$25,$E33,0)</f>
        <v>0.19175830592959464</v>
      </c>
      <c r="I33" s="133">
        <f ca="1">OFFSET(IND!L$25,$E33,0)</f>
        <v>0.1921027592777427</v>
      </c>
      <c r="J33" s="133">
        <f ca="1">OFFSET(IND!M$25,$E33,0)</f>
        <v>0.19240585599999999</v>
      </c>
      <c r="K33" s="133">
        <f ca="1">OFFSET(IND!N$25,$E33,0)</f>
        <v>0.19240585599999999</v>
      </c>
      <c r="L33" s="133">
        <f ca="1">OFFSET(IND!O$25,$E33,0)</f>
        <v>0.19240585599999999</v>
      </c>
      <c r="M33" s="133">
        <f ca="1">OFFSET(IND!P$25,$E33,0)</f>
        <v>0.19096282461587744</v>
      </c>
      <c r="N33" s="133">
        <f ca="1">OFFSET(IND!Q$25,$E33,0)</f>
        <v>0.18827231908237452</v>
      </c>
      <c r="O33" s="212">
        <f ca="1">OFFSET(IND!R$25,$E33,0)</f>
        <v>0.17350442633988872</v>
      </c>
      <c r="P33" s="133">
        <f ca="1">OFFSET(IND!S$25,$E33,0)</f>
        <v>0.17728005211390263</v>
      </c>
      <c r="Q33" s="133">
        <f ca="1">OFFSET(IND!T$25,$E33,0)</f>
        <v>0.1805023175564183</v>
      </c>
      <c r="R33" s="133">
        <f ca="1">OFFSET(IND!U$25,$E33,0)</f>
        <v>0.18358240387326594</v>
      </c>
      <c r="S33" s="133">
        <f ca="1">OFFSET(IND!V$25,$E33,0)</f>
        <v>0.18657300697018506</v>
      </c>
      <c r="T33" s="212">
        <f ca="1">OFFSET(IND!W$25,$E33,0)</f>
        <v>0.19037333359072378</v>
      </c>
      <c r="U33" s="133">
        <f ca="1">OFFSET(IND!X$25,$E33,0)</f>
        <v>0.19588011794285973</v>
      </c>
      <c r="V33" s="133">
        <f ca="1">OFFSET(IND!Y$25,$E33,0)</f>
        <v>0.2018082594573142</v>
      </c>
      <c r="W33" s="133">
        <f ca="1">OFFSET(IND!Z$25,$E33,0)</f>
        <v>0.20816277545911457</v>
      </c>
      <c r="X33" s="133">
        <f ca="1">OFFSET(IND!AA$25,$E33,0)</f>
        <v>0.21391041939846955</v>
      </c>
      <c r="Y33" s="214">
        <f ca="1">OFFSET(IND!AB$25,$E33,0)</f>
        <v>0.22045180309005158</v>
      </c>
      <c r="Z33" s="133">
        <f ca="1">OFFSET(IND!AC$25,$E33,0)</f>
        <v>0.22575031229242054</v>
      </c>
      <c r="AA33" s="133">
        <f ca="1">OFFSET(IND!AD$25,$E33,0)</f>
        <v>0.23066364618043281</v>
      </c>
      <c r="AB33" s="133">
        <f ca="1">OFFSET(IND!AE$25,$E33,0)</f>
        <v>0.23589639374376523</v>
      </c>
      <c r="AC33" s="133">
        <f ca="1">OFFSET(IND!AF$25,$E33,0)</f>
        <v>0.24135460978379422</v>
      </c>
      <c r="AD33" s="133">
        <f ca="1">OFFSET(IND!AG$25,$E33,0)</f>
        <v>0.24691616554230914</v>
      </c>
      <c r="AE33" s="133">
        <f ca="1">OFFSET(IND!AH$25,$E33,0)</f>
        <v>0.2530601815322901</v>
      </c>
      <c r="AF33" s="133">
        <f ca="1">OFFSET(IND!AI$25,$E33,0)</f>
        <v>0.25944845503869235</v>
      </c>
      <c r="AG33" s="133">
        <f ca="1">OFFSET(IND!AJ$25,$E33,0)</f>
        <v>0.26584612306495697</v>
      </c>
      <c r="AH33" s="133">
        <f ca="1">OFFSET(IND!AK$25,$E33,0)</f>
        <v>0.27248804860764286</v>
      </c>
      <c r="AI33" s="133">
        <f ca="1">OFFSET(IND!AL$25,$E33,0)</f>
        <v>0.27959970014344654</v>
      </c>
      <c r="AJ33" s="133">
        <f ca="1">OFFSET(IND!AM$25,$E33,0)</f>
        <v>0.31406819351843152</v>
      </c>
      <c r="AK33" s="133">
        <f ca="1">OFFSET(IND!AN$25,$E33,0)</f>
        <v>0.35699175476953726</v>
      </c>
      <c r="AL33" s="133">
        <f ca="1">OFFSET(IND!AO$25,$E33,0)</f>
        <v>0.43297463141627551</v>
      </c>
      <c r="AM33" s="133">
        <f ca="1">OFFSET(IND!AP$25,$E33,0)</f>
        <v>0.51036668604236712</v>
      </c>
      <c r="AQ33" s="4"/>
    </row>
    <row r="34" spans="1:43">
      <c r="A34" s="36" t="s">
        <v>334</v>
      </c>
      <c r="B34">
        <v>6.5077475668130003</v>
      </c>
      <c r="E34" s="136">
        <f ca="1">MATCH(F34,IND!$D$26:$D$255,0)</f>
        <v>52</v>
      </c>
      <c r="F34" s="4" t="str">
        <f t="shared" si="0"/>
        <v>IMIF</v>
      </c>
      <c r="G34" s="133">
        <f ca="1">OFFSET(IND!J$25,$E34,0)</f>
        <v>5.8889063414920679</v>
      </c>
      <c r="H34" s="133">
        <f ca="1">OFFSET(IND!K$25,$E34,0)</f>
        <v>6.0442589954782893</v>
      </c>
      <c r="I34" s="133">
        <f ca="1">OFFSET(IND!L$25,$E34,0)</f>
        <v>6.055116231820536</v>
      </c>
      <c r="J34" s="133">
        <f ca="1">OFFSET(IND!M$25,$E34,0)</f>
        <v>6.0646698992933636</v>
      </c>
      <c r="K34" s="133">
        <f ca="1">OFFSET(IND!N$25,$E34,0)</f>
        <v>6.0646698992933636</v>
      </c>
      <c r="L34" s="133">
        <f ca="1">OFFSET(IND!O$25,$E34,0)</f>
        <v>6.0646698992933636</v>
      </c>
      <c r="M34" s="133">
        <f ca="1">OFFSET(IND!P$25,$E34,0)</f>
        <v>6.0191852701819517</v>
      </c>
      <c r="N34" s="133">
        <f ca="1">OFFSET(IND!Q$25,$E34,0)</f>
        <v>5.9343800139276022</v>
      </c>
      <c r="O34" s="212">
        <f ca="1">OFFSET(IND!R$25,$E34,0)</f>
        <v>5.4688931703704782</v>
      </c>
      <c r="P34" s="133">
        <f ca="1">OFFSET(IND!S$25,$E34,0)</f>
        <v>5.5879016270707691</v>
      </c>
      <c r="Q34" s="133">
        <f ca="1">OFFSET(IND!T$25,$E34,0)</f>
        <v>5.6894680587949571</v>
      </c>
      <c r="R34" s="133">
        <f ca="1">OFFSET(IND!U$25,$E34,0)</f>
        <v>5.7865529769016657</v>
      </c>
      <c r="S34" s="133">
        <f ca="1">OFFSET(IND!V$25,$E34,0)</f>
        <v>5.8808173665604651</v>
      </c>
      <c r="T34" s="212">
        <f ca="1">OFFSET(IND!W$25,$E34,0)</f>
        <v>6.0006043987340822</v>
      </c>
      <c r="U34" s="133">
        <f ca="1">OFFSET(IND!X$25,$E34,0)</f>
        <v>6.1741793095845008</v>
      </c>
      <c r="V34" s="133">
        <f ca="1">OFFSET(IND!Y$25,$E34,0)</f>
        <v>6.3610354799157376</v>
      </c>
      <c r="W34" s="133">
        <f ca="1">OFFSET(IND!Z$25,$E34,0)</f>
        <v>6.5613310567857921</v>
      </c>
      <c r="X34" s="133">
        <f ca="1">OFFSET(IND!AA$25,$E34,0)</f>
        <v>6.7424979085413961</v>
      </c>
      <c r="Y34" s="214">
        <f ca="1">OFFSET(IND!AB$25,$E34,0)</f>
        <v>6.9486835912373843</v>
      </c>
      <c r="Z34" s="133">
        <f ca="1">OFFSET(IND!AC$25,$E34,0)</f>
        <v>7.1156936289710373</v>
      </c>
      <c r="AA34" s="133">
        <f ca="1">OFFSET(IND!AD$25,$E34,0)</f>
        <v>7.2705628660892989</v>
      </c>
      <c r="AB34" s="133">
        <f ca="1">OFFSET(IND!AE$25,$E34,0)</f>
        <v>7.4355000842056889</v>
      </c>
      <c r="AC34" s="133">
        <f ca="1">OFFSET(IND!AF$25,$E34,0)</f>
        <v>7.607544112438406</v>
      </c>
      <c r="AD34" s="133">
        <f ca="1">OFFSET(IND!AG$25,$E34,0)</f>
        <v>7.7828454286411048</v>
      </c>
      <c r="AE34" s="133">
        <f ca="1">OFFSET(IND!AH$25,$E34,0)</f>
        <v>7.9765060043109779</v>
      </c>
      <c r="AF34" s="133">
        <f ca="1">OFFSET(IND!AI$25,$E34,0)</f>
        <v>8.1778656242735384</v>
      </c>
      <c r="AG34" s="133">
        <f ca="1">OFFSET(IND!AJ$25,$E34,0)</f>
        <v>8.3795213613242776</v>
      </c>
      <c r="AH34" s="133">
        <f ca="1">OFFSET(IND!AK$25,$E34,0)</f>
        <v>8.5888761426677043</v>
      </c>
      <c r="AI34" s="133">
        <f ca="1">OFFSET(IND!AL$25,$E34,0)</f>
        <v>8.8130367784201411</v>
      </c>
      <c r="AJ34" s="133">
        <f ca="1">OFFSET(IND!AM$25,$E34,0)</f>
        <v>9.8994903749534195</v>
      </c>
      <c r="AK34" s="133">
        <f ca="1">OFFSET(IND!AN$25,$E34,0)</f>
        <v>11.252449350848913</v>
      </c>
      <c r="AL34" s="133">
        <f ca="1">OFFSET(IND!AO$25,$E34,0)</f>
        <v>13.647444360050681</v>
      </c>
      <c r="AM34" s="133">
        <f ca="1">OFFSET(IND!AP$25,$E34,0)</f>
        <v>16.086856932479481</v>
      </c>
      <c r="AQ34" s="4"/>
    </row>
    <row r="35" spans="1:43">
      <c r="A35" s="36" t="s">
        <v>335</v>
      </c>
      <c r="B35">
        <v>8.5041886448849997</v>
      </c>
      <c r="E35" s="136">
        <f ca="1">MATCH(F35,IND!$D$26:$D$255,0)</f>
        <v>50</v>
      </c>
      <c r="F35" s="4" t="str">
        <f t="shared" si="0"/>
        <v>IMIH</v>
      </c>
      <c r="G35" s="133">
        <f ca="1">OFFSET(IND!J$25,$E35,0)</f>
        <v>7.6954998524370488</v>
      </c>
      <c r="H35" s="133">
        <f ca="1">OFFSET(IND!K$25,$E35,0)</f>
        <v>7.8985114570542425</v>
      </c>
      <c r="I35" s="133">
        <f ca="1">OFFSET(IND!L$25,$E35,0)</f>
        <v>7.9126994668177781</v>
      </c>
      <c r="J35" s="133">
        <f ca="1">OFFSET(IND!M$25,$E35,0)</f>
        <v>7.9251840000000016</v>
      </c>
      <c r="K35" s="133">
        <f ca="1">OFFSET(IND!N$25,$E35,0)</f>
        <v>7.9251840000000016</v>
      </c>
      <c r="L35" s="133">
        <f ca="1">OFFSET(IND!O$25,$E35,0)</f>
        <v>7.9251840000000016</v>
      </c>
      <c r="M35" s="133">
        <f ca="1">OFFSET(IND!P$25,$E35,0)</f>
        <v>7.8657456363519334</v>
      </c>
      <c r="N35" s="133">
        <f ca="1">OFFSET(IND!Q$25,$E35,0)</f>
        <v>7.754923898129845</v>
      </c>
      <c r="O35" s="212">
        <f ca="1">OFFSET(IND!R$25,$E35,0)</f>
        <v>7.1466354098810019</v>
      </c>
      <c r="P35" s="133">
        <f ca="1">OFFSET(IND!S$25,$E35,0)</f>
        <v>7.3021531763163576</v>
      </c>
      <c r="Q35" s="133">
        <f ca="1">OFFSET(IND!T$25,$E35,0)</f>
        <v>7.4348780686854239</v>
      </c>
      <c r="R35" s="133">
        <f ca="1">OFFSET(IND!U$25,$E35,0)</f>
        <v>7.5617466126288049</v>
      </c>
      <c r="S35" s="133">
        <f ca="1">OFFSET(IND!V$25,$E35,0)</f>
        <v>7.6849293488863433</v>
      </c>
      <c r="T35" s="212">
        <f ca="1">OFFSET(IND!W$25,$E35,0)</f>
        <v>7.8414645414943456</v>
      </c>
      <c r="U35" s="133">
        <f ca="1">OFFSET(IND!X$25,$E35,0)</f>
        <v>8.0682886109187102</v>
      </c>
      <c r="V35" s="133">
        <f ca="1">OFFSET(IND!Y$25,$E35,0)</f>
        <v>8.3124683529328536</v>
      </c>
      <c r="W35" s="133">
        <f ca="1">OFFSET(IND!Z$25,$E35,0)</f>
        <v>8.5742104308102149</v>
      </c>
      <c r="X35" s="133">
        <f ca="1">OFFSET(IND!AA$25,$E35,0)</f>
        <v>8.8109554900971485</v>
      </c>
      <c r="Y35" s="214">
        <f ca="1">OFFSET(IND!AB$25,$E35,0)</f>
        <v>9.0803946352881706</v>
      </c>
      <c r="Z35" s="133">
        <f ca="1">OFFSET(IND!AC$25,$E35,0)</f>
        <v>9.2986398655916975</v>
      </c>
      <c r="AA35" s="133">
        <f ca="1">OFFSET(IND!AD$25,$E35,0)</f>
        <v>9.5010197511391148</v>
      </c>
      <c r="AB35" s="133">
        <f ca="1">OFFSET(IND!AE$25,$E35,0)</f>
        <v>9.7165562640452556</v>
      </c>
      <c r="AC35" s="133">
        <f ca="1">OFFSET(IND!AF$25,$E35,0)</f>
        <v>9.9413798080281435</v>
      </c>
      <c r="AD35" s="133">
        <f ca="1">OFFSET(IND!AG$25,$E35,0)</f>
        <v>10.170459907921206</v>
      </c>
      <c r="AE35" s="133">
        <f ca="1">OFFSET(IND!AH$25,$E35,0)</f>
        <v>10.423531504762527</v>
      </c>
      <c r="AF35" s="133">
        <f ca="1">OFFSET(IND!AI$25,$E35,0)</f>
        <v>10.686664051936992</v>
      </c>
      <c r="AG35" s="133">
        <f ca="1">OFFSET(IND!AJ$25,$E35,0)</f>
        <v>10.950183558739653</v>
      </c>
      <c r="AH35" s="133">
        <f ca="1">OFFSET(IND!AK$25,$E35,0)</f>
        <v>11.223764015875457</v>
      </c>
      <c r="AI35" s="133">
        <f ca="1">OFFSET(IND!AL$25,$E35,0)</f>
        <v>11.516692454421145</v>
      </c>
      <c r="AJ35" s="133">
        <f ca="1">OFFSET(IND!AM$25,$E35,0)</f>
        <v>12.936447330278652</v>
      </c>
      <c r="AK35" s="133">
        <f ca="1">OFFSET(IND!AN$25,$E35,0)</f>
        <v>14.704465871514129</v>
      </c>
      <c r="AL35" s="133">
        <f ca="1">OFFSET(IND!AO$25,$E35,0)</f>
        <v>17.834195344377491</v>
      </c>
      <c r="AM35" s="133">
        <f ca="1">OFFSET(IND!AP$25,$E35,0)</f>
        <v>21.021968761470514</v>
      </c>
      <c r="AQ35" s="4"/>
    </row>
    <row r="36" spans="1:43">
      <c r="A36" s="36" t="s">
        <v>336</v>
      </c>
      <c r="B36">
        <v>2.3622746235790002</v>
      </c>
      <c r="E36" s="136">
        <f ca="1">MATCH(F36,IND!$D$26:$D$255,0)</f>
        <v>46</v>
      </c>
      <c r="F36" s="4" t="str">
        <f t="shared" si="0"/>
        <v>IMIK</v>
      </c>
      <c r="G36" s="133">
        <f ca="1">OFFSET(IND!J$25,$E36,0)</f>
        <v>2.1376388478991801</v>
      </c>
      <c r="H36" s="133">
        <f ca="1">OFFSET(IND!K$25,$E36,0)</f>
        <v>2.1940309602928449</v>
      </c>
      <c r="I36" s="133">
        <f ca="1">OFFSET(IND!L$25,$E36,0)</f>
        <v>2.1979720741160493</v>
      </c>
      <c r="J36" s="133">
        <f ca="1">OFFSET(IND!M$25,$E36,0)</f>
        <v>2.2014400000000003</v>
      </c>
      <c r="K36" s="133">
        <f ca="1">OFFSET(IND!N$25,$E36,0)</f>
        <v>2.2014400000000003</v>
      </c>
      <c r="L36" s="133">
        <f ca="1">OFFSET(IND!O$25,$E36,0)</f>
        <v>2.2014400000000003</v>
      </c>
      <c r="M36" s="133">
        <f ca="1">OFFSET(IND!P$25,$E36,0)</f>
        <v>2.1849293434310924</v>
      </c>
      <c r="N36" s="133">
        <f ca="1">OFFSET(IND!Q$25,$E36,0)</f>
        <v>2.1541455272582901</v>
      </c>
      <c r="O36" s="212">
        <f ca="1">OFFSET(IND!R$25,$E36,0)</f>
        <v>1.9851765027447228</v>
      </c>
      <c r="P36" s="133">
        <f ca="1">OFFSET(IND!S$25,$E36,0)</f>
        <v>2.0283758823100992</v>
      </c>
      <c r="Q36" s="133">
        <f ca="1">OFFSET(IND!T$25,$E36,0)</f>
        <v>2.0652439079681733</v>
      </c>
      <c r="R36" s="133">
        <f ca="1">OFFSET(IND!U$25,$E36,0)</f>
        <v>2.1004851701746681</v>
      </c>
      <c r="S36" s="133">
        <f ca="1">OFFSET(IND!V$25,$E36,0)</f>
        <v>2.1347025969128732</v>
      </c>
      <c r="T36" s="212">
        <f ca="1">OFFSET(IND!W$25,$E36,0)</f>
        <v>2.1781845948595406</v>
      </c>
      <c r="U36" s="133">
        <f ca="1">OFFSET(IND!X$25,$E36,0)</f>
        <v>2.241191280810753</v>
      </c>
      <c r="V36" s="133">
        <f ca="1">OFFSET(IND!Y$25,$E36,0)</f>
        <v>2.3090189869257927</v>
      </c>
      <c r="W36" s="133">
        <f ca="1">OFFSET(IND!Z$25,$E36,0)</f>
        <v>2.381725119669504</v>
      </c>
      <c r="X36" s="133">
        <f ca="1">OFFSET(IND!AA$25,$E36,0)</f>
        <v>2.4474876361380966</v>
      </c>
      <c r="Y36" s="214">
        <f ca="1">OFFSET(IND!AB$25,$E36,0)</f>
        <v>2.5223318431356025</v>
      </c>
      <c r="Z36" s="133">
        <f ca="1">OFFSET(IND!AC$25,$E36,0)</f>
        <v>2.5829555182199155</v>
      </c>
      <c r="AA36" s="133">
        <f ca="1">OFFSET(IND!AD$25,$E36,0)</f>
        <v>2.6391721530941981</v>
      </c>
      <c r="AB36" s="133">
        <f ca="1">OFFSET(IND!AE$25,$E36,0)</f>
        <v>2.699043406679237</v>
      </c>
      <c r="AC36" s="133">
        <f ca="1">OFFSET(IND!AF$25,$E36,0)</f>
        <v>2.7614943911189282</v>
      </c>
      <c r="AD36" s="133">
        <f ca="1">OFFSET(IND!AG$25,$E36,0)</f>
        <v>2.8251277522003346</v>
      </c>
      <c r="AE36" s="133">
        <f ca="1">OFFSET(IND!AH$25,$E36,0)</f>
        <v>2.8954254179895909</v>
      </c>
      <c r="AF36" s="133">
        <f ca="1">OFFSET(IND!AI$25,$E36,0)</f>
        <v>2.9685177922047199</v>
      </c>
      <c r="AG36" s="133">
        <f ca="1">OFFSET(IND!AJ$25,$E36,0)</f>
        <v>3.041717655205459</v>
      </c>
      <c r="AH36" s="133">
        <f ca="1">OFFSET(IND!AK$25,$E36,0)</f>
        <v>3.1177122266320714</v>
      </c>
      <c r="AI36" s="133">
        <f ca="1">OFFSET(IND!AL$25,$E36,0)</f>
        <v>3.1990812373392075</v>
      </c>
      <c r="AJ36" s="133">
        <f ca="1">OFFSET(IND!AM$25,$E36,0)</f>
        <v>3.5934575917440705</v>
      </c>
      <c r="AK36" s="133">
        <f ca="1">OFFSET(IND!AN$25,$E36,0)</f>
        <v>4.0845738531983695</v>
      </c>
      <c r="AL36" s="133">
        <f ca="1">OFFSET(IND!AO$25,$E36,0)</f>
        <v>4.9539431512159702</v>
      </c>
      <c r="AM36" s="133">
        <f ca="1">OFFSET(IND!AP$25,$E36,0)</f>
        <v>5.8394357670751429</v>
      </c>
      <c r="AQ36" s="4"/>
    </row>
    <row r="37" spans="1:43">
      <c r="A37" s="36" t="s">
        <v>337</v>
      </c>
      <c r="B37">
        <v>1.594535370916</v>
      </c>
      <c r="E37" s="136">
        <f ca="1">MATCH(F37,IND!$D$26:$D$255,0)</f>
        <v>48</v>
      </c>
      <c r="F37" s="4" t="str">
        <f t="shared" si="0"/>
        <v>IMIL</v>
      </c>
      <c r="G37" s="133">
        <f ca="1">OFFSET(IND!J$25,$E37,0)</f>
        <v>1.4429062223319464</v>
      </c>
      <c r="H37" s="133">
        <f ca="1">OFFSET(IND!K$25,$E37,0)</f>
        <v>1.4809708981976701</v>
      </c>
      <c r="I37" s="133">
        <f ca="1">OFFSET(IND!L$25,$E37,0)</f>
        <v>1.483631150028333</v>
      </c>
      <c r="J37" s="133">
        <f ca="1">OFFSET(IND!M$25,$E37,0)</f>
        <v>1.4859720000000001</v>
      </c>
      <c r="K37" s="133">
        <f ca="1">OFFSET(IND!N$25,$E37,0)</f>
        <v>1.4859720000000001</v>
      </c>
      <c r="L37" s="133">
        <f ca="1">OFFSET(IND!O$25,$E37,0)</f>
        <v>1.4859720000000001</v>
      </c>
      <c r="M37" s="133">
        <f ca="1">OFFSET(IND!P$25,$E37,0)</f>
        <v>1.4748273068159872</v>
      </c>
      <c r="N37" s="133">
        <f ca="1">OFFSET(IND!Q$25,$E37,0)</f>
        <v>1.4540482308993454</v>
      </c>
      <c r="O37" s="212">
        <f ca="1">OFFSET(IND!R$25,$E37,0)</f>
        <v>1.3399941393526875</v>
      </c>
      <c r="P37" s="133">
        <f ca="1">OFFSET(IND!S$25,$E37,0)</f>
        <v>1.3691537205593167</v>
      </c>
      <c r="Q37" s="133">
        <f ca="1">OFFSET(IND!T$25,$E37,0)</f>
        <v>1.3940396378785167</v>
      </c>
      <c r="R37" s="133">
        <f ca="1">OFFSET(IND!U$25,$E37,0)</f>
        <v>1.4178274898679006</v>
      </c>
      <c r="S37" s="133">
        <f ca="1">OFFSET(IND!V$25,$E37,0)</f>
        <v>1.440924252916189</v>
      </c>
      <c r="T37" s="212">
        <f ca="1">OFFSET(IND!W$25,$E37,0)</f>
        <v>1.4702746015301893</v>
      </c>
      <c r="U37" s="133">
        <f ca="1">OFFSET(IND!X$25,$E37,0)</f>
        <v>1.5128041145472575</v>
      </c>
      <c r="V37" s="133">
        <f ca="1">OFFSET(IND!Y$25,$E37,0)</f>
        <v>1.5585878161749094</v>
      </c>
      <c r="W37" s="133">
        <f ca="1">OFFSET(IND!Z$25,$E37,0)</f>
        <v>1.6076644557769144</v>
      </c>
      <c r="X37" s="133">
        <f ca="1">OFFSET(IND!AA$25,$E37,0)</f>
        <v>1.6520541543932143</v>
      </c>
      <c r="Y37" s="214">
        <f ca="1">OFFSET(IND!AB$25,$E37,0)</f>
        <v>1.7025739941165308</v>
      </c>
      <c r="Z37" s="133">
        <f ca="1">OFFSET(IND!AC$25,$E37,0)</f>
        <v>1.7434949747984421</v>
      </c>
      <c r="AA37" s="133">
        <f ca="1">OFFSET(IND!AD$25,$E37,0)</f>
        <v>1.7814412033385827</v>
      </c>
      <c r="AB37" s="133">
        <f ca="1">OFFSET(IND!AE$25,$E37,0)</f>
        <v>1.8218542995084841</v>
      </c>
      <c r="AC37" s="133">
        <f ca="1">OFFSET(IND!AF$25,$E37,0)</f>
        <v>1.8640087140052755</v>
      </c>
      <c r="AD37" s="133">
        <f ca="1">OFFSET(IND!AG$25,$E37,0)</f>
        <v>1.9069612327352246</v>
      </c>
      <c r="AE37" s="133">
        <f ca="1">OFFSET(IND!AH$25,$E37,0)</f>
        <v>1.9544121571429725</v>
      </c>
      <c r="AF37" s="133">
        <f ca="1">OFFSET(IND!AI$25,$E37,0)</f>
        <v>2.0037495097381846</v>
      </c>
      <c r="AG37" s="133">
        <f ca="1">OFFSET(IND!AJ$25,$E37,0)</f>
        <v>2.0531594172636836</v>
      </c>
      <c r="AH37" s="133">
        <f ca="1">OFFSET(IND!AK$25,$E37,0)</f>
        <v>2.1044557529766466</v>
      </c>
      <c r="AI37" s="133">
        <f ca="1">OFFSET(IND!AL$25,$E37,0)</f>
        <v>2.1593798352039633</v>
      </c>
      <c r="AJ37" s="133">
        <f ca="1">OFFSET(IND!AM$25,$E37,0)</f>
        <v>2.4255838744272453</v>
      </c>
      <c r="AK37" s="133">
        <f ca="1">OFFSET(IND!AN$25,$E37,0)</f>
        <v>2.7570873509088969</v>
      </c>
      <c r="AL37" s="133">
        <f ca="1">OFFSET(IND!AO$25,$E37,0)</f>
        <v>3.3439116270707769</v>
      </c>
      <c r="AM37" s="133">
        <f ca="1">OFFSET(IND!AP$25,$E37,0)</f>
        <v>3.9416191427757181</v>
      </c>
      <c r="AQ37" s="4"/>
    </row>
    <row r="38" spans="1:43">
      <c r="A38" s="36" t="s">
        <v>338</v>
      </c>
      <c r="B38">
        <v>31.93143244434</v>
      </c>
      <c r="E38" s="136">
        <f ca="1">MATCH(F38,IND!$D$26:$D$255,0)</f>
        <v>53</v>
      </c>
      <c r="F38" s="4" t="str">
        <f t="shared" si="0"/>
        <v>IMIO</v>
      </c>
      <c r="G38" s="133">
        <f ca="1">OFFSET(IND!J$25,$E38,0)</f>
        <v>28.894976807848312</v>
      </c>
      <c r="H38" s="133">
        <f ca="1">OFFSET(IND!K$25,$E38,0)</f>
        <v>29.657242511132058</v>
      </c>
      <c r="I38" s="133">
        <f ca="1">OFFSET(IND!L$25,$E38,0)</f>
        <v>29.710515491565818</v>
      </c>
      <c r="J38" s="133">
        <f ca="1">OFFSET(IND!M$25,$E38,0)</f>
        <v>29.757392277177463</v>
      </c>
      <c r="K38" s="133">
        <f ca="1">OFFSET(IND!N$25,$E38,0)</f>
        <v>29.757392277177463</v>
      </c>
      <c r="L38" s="133">
        <f ca="1">OFFSET(IND!O$25,$E38,0)</f>
        <v>29.757392277177463</v>
      </c>
      <c r="M38" s="133">
        <f ca="1">OFFSET(IND!P$25,$E38,0)</f>
        <v>29.534213773891089</v>
      </c>
      <c r="N38" s="133">
        <f ca="1">OFFSET(IND!Q$25,$E38,0)</f>
        <v>29.1181015502363</v>
      </c>
      <c r="O38" s="212">
        <f ca="1">OFFSET(IND!R$25,$E38,0)</f>
        <v>26.834106735414075</v>
      </c>
      <c r="P38" s="133">
        <f ca="1">OFFSET(IND!S$25,$E38,0)</f>
        <v>27.41804310608854</v>
      </c>
      <c r="Q38" s="133">
        <f ca="1">OFFSET(IND!T$25,$E38,0)</f>
        <v>27.916397048050325</v>
      </c>
      <c r="R38" s="133">
        <f ca="1">OFFSET(IND!U$25,$E38,0)</f>
        <v>28.392761638419142</v>
      </c>
      <c r="S38" s="133">
        <f ca="1">OFFSET(IND!V$25,$E38,0)</f>
        <v>28.855286799297634</v>
      </c>
      <c r="T38" s="212">
        <f ca="1">OFFSET(IND!W$25,$E38,0)</f>
        <v>29.44304339039001</v>
      </c>
      <c r="U38" s="133">
        <f ca="1">OFFSET(IND!X$25,$E38,0)</f>
        <v>30.294719870300952</v>
      </c>
      <c r="V38" s="133">
        <f ca="1">OFFSET(IND!Y$25,$E38,0)</f>
        <v>31.211563235610178</v>
      </c>
      <c r="W38" s="133">
        <f ca="1">OFFSET(IND!Z$25,$E38,0)</f>
        <v>32.194349463266235</v>
      </c>
      <c r="X38" s="133">
        <f ca="1">OFFSET(IND!AA$25,$E38,0)</f>
        <v>33.083277164993405</v>
      </c>
      <c r="Y38" s="214">
        <f ca="1">OFFSET(IND!AB$25,$E38,0)</f>
        <v>34.094964254943193</v>
      </c>
      <c r="Z38" s="133">
        <f ca="1">OFFSET(IND!AC$25,$E38,0)</f>
        <v>34.914429005637309</v>
      </c>
      <c r="AA38" s="133">
        <f ca="1">OFFSET(IND!AD$25,$E38,0)</f>
        <v>35.67432273722067</v>
      </c>
      <c r="AB38" s="133">
        <f ca="1">OFFSET(IND!AE$25,$E38,0)</f>
        <v>36.48361682611538</v>
      </c>
      <c r="AC38" s="133">
        <f ca="1">OFFSET(IND!AF$25,$E38,0)</f>
        <v>37.327781755465168</v>
      </c>
      <c r="AD38" s="133">
        <f ca="1">OFFSET(IND!AG$25,$E38,0)</f>
        <v>38.187929153356855</v>
      </c>
      <c r="AE38" s="133">
        <f ca="1">OFFSET(IND!AH$25,$E38,0)</f>
        <v>39.138159555757468</v>
      </c>
      <c r="AF38" s="133">
        <f ca="1">OFFSET(IND!AI$25,$E38,0)</f>
        <v>40.12616670198441</v>
      </c>
      <c r="AG38" s="133">
        <f ca="1">OFFSET(IND!AJ$25,$E38,0)</f>
        <v>41.11562679989698</v>
      </c>
      <c r="AH38" s="133">
        <f ca="1">OFFSET(IND!AK$25,$E38,0)</f>
        <v>42.142863641635877</v>
      </c>
      <c r="AI38" s="133">
        <f ca="1">OFFSET(IND!AL$25,$E38,0)</f>
        <v>43.242748067656159</v>
      </c>
      <c r="AJ38" s="133">
        <f ca="1">OFFSET(IND!AM$25,$E38,0)</f>
        <v>48.573627802224742</v>
      </c>
      <c r="AK38" s="133">
        <f ca="1">OFFSET(IND!AN$25,$E38,0)</f>
        <v>55.212164053858409</v>
      </c>
      <c r="AL38" s="133">
        <f ca="1">OFFSET(IND!AO$25,$E38,0)</f>
        <v>66.963637287216628</v>
      </c>
      <c r="AM38" s="133">
        <f ca="1">OFFSET(IND!AP$25,$E38,0)</f>
        <v>78.93305327341902</v>
      </c>
      <c r="AQ38" s="4"/>
    </row>
    <row r="39" spans="1:43">
      <c r="A39" s="36" t="s">
        <v>339</v>
      </c>
      <c r="B39">
        <v>16.901755910559999</v>
      </c>
      <c r="E39" s="136">
        <f ca="1">MATCH(F39,IND!$D$26:$D$255,0)</f>
        <v>51</v>
      </c>
      <c r="F39" s="4" t="str">
        <f t="shared" si="0"/>
        <v>IMIP</v>
      </c>
      <c r="G39" s="133">
        <f ca="1">OFFSET(IND!J$25,$E39,0)</f>
        <v>15.294517272248457</v>
      </c>
      <c r="H39" s="133">
        <f ca="1">OFFSET(IND!K$25,$E39,0)</f>
        <v>15.697995220766805</v>
      </c>
      <c r="I39" s="133">
        <f ca="1">OFFSET(IND!L$25,$E39,0)</f>
        <v>15.726193357931152</v>
      </c>
      <c r="J39" s="133">
        <f ca="1">OFFSET(IND!M$25,$E39,0)</f>
        <v>15.751005899293361</v>
      </c>
      <c r="K39" s="133">
        <f ca="1">OFFSET(IND!N$25,$E39,0)</f>
        <v>15.751005899293361</v>
      </c>
      <c r="L39" s="133">
        <f ca="1">OFFSET(IND!O$25,$E39,0)</f>
        <v>15.751005899293361</v>
      </c>
      <c r="M39" s="133">
        <f ca="1">OFFSET(IND!P$25,$E39,0)</f>
        <v>15.632874381278754</v>
      </c>
      <c r="N39" s="133">
        <f ca="1">OFFSET(IND!Q$25,$E39,0)</f>
        <v>15.412620333864073</v>
      </c>
      <c r="O39" s="212">
        <f ca="1">OFFSET(IND!R$25,$E39,0)</f>
        <v>14.203669782447253</v>
      </c>
      <c r="P39" s="133">
        <f ca="1">OFFSET(IND!S$25,$E39,0)</f>
        <v>14.512755509235202</v>
      </c>
      <c r="Q39" s="133">
        <f ca="1">OFFSET(IND!T$25,$E39,0)</f>
        <v>14.776541253854916</v>
      </c>
      <c r="R39" s="133">
        <f ca="1">OFFSET(IND!U$25,$E39,0)</f>
        <v>15.028687725670201</v>
      </c>
      <c r="S39" s="133">
        <f ca="1">OFFSET(IND!V$25,$E39,0)</f>
        <v>15.273508792977102</v>
      </c>
      <c r="T39" s="212">
        <f ca="1">OFFSET(IND!W$25,$E39,0)</f>
        <v>15.584616616116055</v>
      </c>
      <c r="U39" s="133">
        <f ca="1">OFFSET(IND!X$25,$E39,0)</f>
        <v>16.035420945151806</v>
      </c>
      <c r="V39" s="133">
        <f ca="1">OFFSET(IND!Y$25,$E39,0)</f>
        <v>16.520719022389219</v>
      </c>
      <c r="W39" s="133">
        <f ca="1">OFFSET(IND!Z$25,$E39,0)</f>
        <v>17.040921583331603</v>
      </c>
      <c r="X39" s="133">
        <f ca="1">OFFSET(IND!AA$25,$E39,0)</f>
        <v>17.511443507549014</v>
      </c>
      <c r="Y39" s="214">
        <f ca="1">OFFSET(IND!AB$25,$E39,0)</f>
        <v>18.046943701034028</v>
      </c>
      <c r="Z39" s="133">
        <f ca="1">OFFSET(IND!AC$25,$E39,0)</f>
        <v>18.480697909138659</v>
      </c>
      <c r="AA39" s="133">
        <f ca="1">OFFSET(IND!AD$25,$E39,0)</f>
        <v>18.882920339703762</v>
      </c>
      <c r="AB39" s="133">
        <f ca="1">OFFSET(IND!AE$25,$E39,0)</f>
        <v>19.311291073594326</v>
      </c>
      <c r="AC39" s="133">
        <f ca="1">OFFSET(IND!AF$25,$E39,0)</f>
        <v>19.758119433361685</v>
      </c>
      <c r="AD39" s="133">
        <f ca="1">OFFSET(IND!AG$25,$E39,0)</f>
        <v>20.213407538322571</v>
      </c>
      <c r="AE39" s="133">
        <f ca="1">OFFSET(IND!AH$25,$E39,0)</f>
        <v>20.716377843465171</v>
      </c>
      <c r="AF39" s="133">
        <f ca="1">OFFSET(IND!AI$25,$E39,0)</f>
        <v>21.239343909974298</v>
      </c>
      <c r="AG39" s="133">
        <f ca="1">OFFSET(IND!AJ$25,$E39,0)</f>
        <v>21.763079044228292</v>
      </c>
      <c r="AH39" s="133">
        <f ca="1">OFFSET(IND!AK$25,$E39,0)</f>
        <v>22.306809939848812</v>
      </c>
      <c r="AI39" s="133">
        <f ca="1">OFFSET(IND!AL$25,$E39,0)</f>
        <v>22.888994222712647</v>
      </c>
      <c r="AJ39" s="133">
        <f ca="1">OFFSET(IND!AM$25,$E39,0)</f>
        <v>25.710703778627323</v>
      </c>
      <c r="AK39" s="133">
        <f ca="1">OFFSET(IND!AN$25,$E39,0)</f>
        <v>29.224574304921731</v>
      </c>
      <c r="AL39" s="133">
        <f ca="1">OFFSET(IND!AO$25,$E39,0)</f>
        <v>35.44479422540094</v>
      </c>
      <c r="AM39" s="133">
        <f ca="1">OFFSET(IND!AP$25,$E39,0)</f>
        <v>41.780374307610103</v>
      </c>
      <c r="AQ39" s="4"/>
    </row>
    <row r="40" spans="1:43">
      <c r="A40" s="36" t="s">
        <v>340</v>
      </c>
      <c r="B40">
        <v>28.149155918999998</v>
      </c>
      <c r="E40" s="136">
        <f ca="1">MATCH(F40,IND!$D$26:$D$255,0)</f>
        <v>63</v>
      </c>
      <c r="F40" s="4" t="str">
        <f t="shared" si="0"/>
        <v>IMIR</v>
      </c>
      <c r="G40" s="133">
        <f ca="1">OFFSET(IND!J$25,$E40,0)</f>
        <v>51.488523217763458</v>
      </c>
      <c r="H40" s="133">
        <f ca="1">OFFSET(IND!K$25,$E40,0)</f>
        <v>52.846819354238278</v>
      </c>
      <c r="I40" s="133">
        <f ca="1">OFFSET(IND!L$25,$E40,0)</f>
        <v>52.941747517987423</v>
      </c>
      <c r="J40" s="133">
        <f ca="1">OFFSET(IND!M$25,$E40,0)</f>
        <v>46.045999999999999</v>
      </c>
      <c r="K40" s="133">
        <f ca="1">OFFSET(IND!N$25,$E40,0)</f>
        <v>46.045999999999999</v>
      </c>
      <c r="L40" s="133">
        <f ca="1">OFFSET(IND!O$25,$E40,0)</f>
        <v>46.045999999999999</v>
      </c>
      <c r="M40" s="133">
        <f ca="1">OFFSET(IND!P$25,$E40,0)</f>
        <v>45.700658000049089</v>
      </c>
      <c r="N40" s="133">
        <f ca="1">OFFSET(IND!Q$25,$E40,0)</f>
        <v>45.056774178780799</v>
      </c>
      <c r="O40" s="212">
        <f ca="1">OFFSET(IND!R$25,$E40,0)</f>
        <v>41.52256579574437</v>
      </c>
      <c r="P40" s="133">
        <f ca="1">OFFSET(IND!S$25,$E40,0)</f>
        <v>42.426137381373472</v>
      </c>
      <c r="Q40" s="133">
        <f ca="1">OFFSET(IND!T$25,$E40,0)</f>
        <v>43.197280410232615</v>
      </c>
      <c r="R40" s="133">
        <f ca="1">OFFSET(IND!U$25,$E40,0)</f>
        <v>43.934397551540236</v>
      </c>
      <c r="S40" s="133">
        <f ca="1">OFFSET(IND!V$25,$E40,0)</f>
        <v>44.650099833495403</v>
      </c>
      <c r="T40" s="212">
        <f ca="1">OFFSET(IND!W$25,$E40,0)</f>
        <v>45.559582752608456</v>
      </c>
      <c r="U40" s="133">
        <f ca="1">OFFSET(IND!X$25,$E40,0)</f>
        <v>46.877450085494893</v>
      </c>
      <c r="V40" s="133">
        <f ca="1">OFFSET(IND!Y$25,$E40,0)</f>
        <v>48.296155367389069</v>
      </c>
      <c r="W40" s="133">
        <f ca="1">OFFSET(IND!Z$25,$E40,0)</f>
        <v>49.81689932966691</v>
      </c>
      <c r="X40" s="133">
        <f ca="1">OFFSET(IND!AA$25,$E40,0)</f>
        <v>51.192408466101611</v>
      </c>
      <c r="Y40" s="214">
        <f ca="1">OFFSET(IND!AB$25,$E40,0)</f>
        <v>52.757873050831222</v>
      </c>
      <c r="Z40" s="133">
        <f ca="1">OFFSET(IND!AC$25,$E40,0)</f>
        <v>54.025896591301219</v>
      </c>
      <c r="AA40" s="133">
        <f ca="1">OFFSET(IND!AD$25,$E40,0)</f>
        <v>55.201741115531362</v>
      </c>
      <c r="AB40" s="133">
        <f ca="1">OFFSET(IND!AE$25,$E40,0)</f>
        <v>56.454026775179912</v>
      </c>
      <c r="AC40" s="133">
        <f ca="1">OFFSET(IND!AF$25,$E40,0)</f>
        <v>57.760270883359112</v>
      </c>
      <c r="AD40" s="133">
        <f ca="1">OFFSET(IND!AG$25,$E40,0)</f>
        <v>59.091245947114849</v>
      </c>
      <c r="AE40" s="133">
        <f ca="1">OFFSET(IND!AH$25,$E40,0)</f>
        <v>60.561613669574733</v>
      </c>
      <c r="AF40" s="133">
        <f ca="1">OFFSET(IND!AI$25,$E40,0)</f>
        <v>62.090436377942815</v>
      </c>
      <c r="AG40" s="133">
        <f ca="1">OFFSET(IND!AJ$25,$E40,0)</f>
        <v>63.621507354999665</v>
      </c>
      <c r="AH40" s="133">
        <f ca="1">OFFSET(IND!AK$25,$E40,0)</f>
        <v>65.21103331796472</v>
      </c>
      <c r="AI40" s="133">
        <f ca="1">OFFSET(IND!AL$25,$E40,0)</f>
        <v>66.912972715368596</v>
      </c>
      <c r="AJ40" s="133">
        <f ca="1">OFFSET(IND!AM$25,$E40,0)</f>
        <v>75.16187053448985</v>
      </c>
      <c r="AK40" s="133">
        <f ca="1">OFFSET(IND!AN$25,$E40,0)</f>
        <v>85.434210173510053</v>
      </c>
      <c r="AL40" s="133">
        <f ca="1">OFFSET(IND!AO$25,$E40,0)</f>
        <v>103.61820732833526</v>
      </c>
      <c r="AM40" s="133">
        <f ca="1">OFFSET(IND!AP$25,$E40,0)</f>
        <v>122.13944478647694</v>
      </c>
      <c r="AQ40" s="4"/>
    </row>
    <row r="41" spans="1:43">
      <c r="A41" s="36" t="s">
        <v>341</v>
      </c>
      <c r="B41">
        <v>5.2585839407999997E-2</v>
      </c>
      <c r="E41" s="136">
        <f ca="1">MATCH(F41,IND!$D$26:$D$255,0)</f>
        <v>56</v>
      </c>
      <c r="F41" s="4" t="str">
        <f t="shared" si="0"/>
        <v>IMIS</v>
      </c>
      <c r="G41" s="133">
        <f ca="1">OFFSET(IND!J$25,$E41,0)</f>
        <v>20.275122960000004</v>
      </c>
      <c r="H41" s="133">
        <f ca="1">OFFSET(IND!K$25,$E41,0)</f>
        <v>20.809992081544721</v>
      </c>
      <c r="I41" s="133">
        <f ca="1">OFFSET(IND!L$25,$E41,0)</f>
        <v>20.847372842772632</v>
      </c>
      <c r="J41" s="133">
        <f ca="1">OFFSET(IND!M$25,$E41,0)</f>
        <v>0.90805719120000006</v>
      </c>
      <c r="K41" s="133">
        <f ca="1">OFFSET(IND!N$25,$E41,0)</f>
        <v>0.90805719120000006</v>
      </c>
      <c r="L41" s="133">
        <f ca="1">OFFSET(IND!O$25,$E41,0)</f>
        <v>0.90805719120000006</v>
      </c>
      <c r="M41" s="133">
        <f ca="1">OFFSET(IND!P$25,$E41,0)</f>
        <v>0.90124682142892731</v>
      </c>
      <c r="N41" s="133">
        <f ca="1">OFFSET(IND!Q$25,$E41,0)</f>
        <v>0.8885490119731656</v>
      </c>
      <c r="O41" s="212">
        <f ca="1">OFFSET(IND!R$25,$E41,0)</f>
        <v>0.81885211457891727</v>
      </c>
      <c r="P41" s="133">
        <f ca="1">OFFSET(IND!S$25,$E41,0)</f>
        <v>0.83667113634181722</v>
      </c>
      <c r="Q41" s="133">
        <f ca="1">OFFSET(IND!T$25,$E41,0)</f>
        <v>0.8518785804802721</v>
      </c>
      <c r="R41" s="133">
        <f ca="1">OFFSET(IND!U$25,$E41,0)</f>
        <v>0.86641501189496983</v>
      </c>
      <c r="S41" s="133">
        <f ca="1">OFFSET(IND!V$25,$E41,0)</f>
        <v>0.88052912829786345</v>
      </c>
      <c r="T41" s="212">
        <f ca="1">OFFSET(IND!W$25,$E41,0)</f>
        <v>0.89846472541757361</v>
      </c>
      <c r="U41" s="133">
        <f ca="1">OFFSET(IND!X$25,$E41,0)</f>
        <v>0.924453929879961</v>
      </c>
      <c r="V41" s="133">
        <f ca="1">OFFSET(IND!Y$25,$E41,0)</f>
        <v>0.95243172455088643</v>
      </c>
      <c r="W41" s="133">
        <f ca="1">OFFSET(IND!Z$25,$E41,0)</f>
        <v>0.98242178863724305</v>
      </c>
      <c r="X41" s="133">
        <f ca="1">OFFSET(IND!AA$25,$E41,0)</f>
        <v>1.0095477271096585</v>
      </c>
      <c r="Y41" s="214">
        <f ca="1">OFFSET(IND!AB$25,$E41,0)</f>
        <v>1.0404197110764015</v>
      </c>
      <c r="Z41" s="133">
        <f ca="1">OFFSET(IND!AC$25,$E41,0)</f>
        <v>1.0654259634009176</v>
      </c>
      <c r="AA41" s="133">
        <f ca="1">OFFSET(IND!AD$25,$E41,0)</f>
        <v>1.088614385325956</v>
      </c>
      <c r="AB41" s="133">
        <f ca="1">OFFSET(IND!AE$25,$E41,0)</f>
        <v>1.1133102763627563</v>
      </c>
      <c r="AC41" s="133">
        <f ca="1">OFFSET(IND!AF$25,$E41,0)</f>
        <v>1.1390702632431531</v>
      </c>
      <c r="AD41" s="133">
        <f ca="1">OFFSET(IND!AG$25,$E41,0)</f>
        <v>1.1653179607185316</v>
      </c>
      <c r="AE41" s="133">
        <f ca="1">OFFSET(IND!AH$25,$E41,0)</f>
        <v>1.1943145724565341</v>
      </c>
      <c r="AF41" s="133">
        <f ca="1">OFFSET(IND!AI$25,$E41,0)</f>
        <v>1.2244639546917662</v>
      </c>
      <c r="AG41" s="133">
        <f ca="1">OFFSET(IND!AJ$25,$E41,0)</f>
        <v>1.2546576742538147</v>
      </c>
      <c r="AH41" s="133">
        <f ca="1">OFFSET(IND!AK$25,$E41,0)</f>
        <v>1.2860041643130928</v>
      </c>
      <c r="AI41" s="133">
        <f ca="1">OFFSET(IND!AL$25,$E41,0)</f>
        <v>1.3195675207131967</v>
      </c>
      <c r="AJ41" s="133">
        <f ca="1">OFFSET(IND!AM$25,$E41,0)</f>
        <v>1.4822411728029994</v>
      </c>
      <c r="AK41" s="133">
        <f ca="1">OFFSET(IND!AN$25,$E41,0)</f>
        <v>1.6848184190276685</v>
      </c>
      <c r="AL41" s="133">
        <f ca="1">OFFSET(IND!AO$25,$E41,0)</f>
        <v>2.0434187183196673</v>
      </c>
      <c r="AM41" s="133">
        <f ca="1">OFFSET(IND!AP$25,$E41,0)</f>
        <v>2.4086696166341435</v>
      </c>
      <c r="AQ41" s="4"/>
    </row>
    <row r="42" spans="1:43">
      <c r="A42" s="36" t="s">
        <v>342</v>
      </c>
      <c r="B42" t="s">
        <v>386</v>
      </c>
      <c r="E42" s="136">
        <f ca="1">MATCH(F42,IND!$D$26:$D$255,0)</f>
        <v>131</v>
      </c>
      <c r="F42" s="4" t="str">
        <f t="shared" si="0"/>
        <v>INFA</v>
      </c>
      <c r="G42" s="133">
        <f ca="1">OFFSET(IND!J$25,$E42,0)</f>
        <v>0</v>
      </c>
      <c r="H42" s="133">
        <f ca="1">OFFSET(IND!K$25,$E42,0)</f>
        <v>0</v>
      </c>
      <c r="I42" s="133">
        <f ca="1">OFFSET(IND!L$25,$E42,0)</f>
        <v>0</v>
      </c>
      <c r="J42" s="133">
        <f ca="1">OFFSET(IND!M$25,$E42,0)</f>
        <v>0</v>
      </c>
      <c r="K42" s="133">
        <f ca="1">OFFSET(IND!N$25,$E42,0)</f>
        <v>0</v>
      </c>
      <c r="L42" s="133">
        <f ca="1">OFFSET(IND!O$25,$E42,0)</f>
        <v>0</v>
      </c>
      <c r="M42" s="133">
        <f ca="1">OFFSET(IND!P$25,$E42,0)</f>
        <v>0</v>
      </c>
      <c r="N42" s="133">
        <f ca="1">OFFSET(IND!Q$25,$E42,0)</f>
        <v>0</v>
      </c>
      <c r="O42" s="212">
        <f ca="1">OFFSET(IND!R$25,$E42,0)</f>
        <v>0</v>
      </c>
      <c r="P42" s="133">
        <f ca="1">OFFSET(IND!S$25,$E42,0)</f>
        <v>0</v>
      </c>
      <c r="Q42" s="133">
        <f ca="1">OFFSET(IND!T$25,$E42,0)</f>
        <v>0</v>
      </c>
      <c r="R42" s="133">
        <f ca="1">OFFSET(IND!U$25,$E42,0)</f>
        <v>0</v>
      </c>
      <c r="S42" s="133">
        <f ca="1">OFFSET(IND!V$25,$E42,0)</f>
        <v>0</v>
      </c>
      <c r="T42" s="212">
        <f ca="1">OFFSET(IND!W$25,$E42,0)</f>
        <v>0</v>
      </c>
      <c r="U42" s="133">
        <f ca="1">OFFSET(IND!X$25,$E42,0)</f>
        <v>0</v>
      </c>
      <c r="V42" s="133">
        <f ca="1">OFFSET(IND!Y$25,$E42,0)</f>
        <v>0</v>
      </c>
      <c r="W42" s="133">
        <f ca="1">OFFSET(IND!Z$25,$E42,0)</f>
        <v>0</v>
      </c>
      <c r="X42" s="133">
        <f ca="1">OFFSET(IND!AA$25,$E42,0)</f>
        <v>0</v>
      </c>
      <c r="Y42" s="214">
        <f ca="1">OFFSET(IND!AB$25,$E42,0)</f>
        <v>0</v>
      </c>
      <c r="Z42" s="133">
        <f ca="1">OFFSET(IND!AC$25,$E42,0)</f>
        <v>0</v>
      </c>
      <c r="AA42" s="133">
        <f ca="1">OFFSET(IND!AD$25,$E42,0)</f>
        <v>0</v>
      </c>
      <c r="AB42" s="133">
        <f ca="1">OFFSET(IND!AE$25,$E42,0)</f>
        <v>0</v>
      </c>
      <c r="AC42" s="133">
        <f ca="1">OFFSET(IND!AF$25,$E42,0)</f>
        <v>0</v>
      </c>
      <c r="AD42" s="133">
        <f ca="1">OFFSET(IND!AG$25,$E42,0)</f>
        <v>0</v>
      </c>
      <c r="AE42" s="133">
        <f ca="1">OFFSET(IND!AH$25,$E42,0)</f>
        <v>0</v>
      </c>
      <c r="AF42" s="133">
        <f ca="1">OFFSET(IND!AI$25,$E42,0)</f>
        <v>0</v>
      </c>
      <c r="AG42" s="133">
        <f ca="1">OFFSET(IND!AJ$25,$E42,0)</f>
        <v>0</v>
      </c>
      <c r="AH42" s="133">
        <f ca="1">OFFSET(IND!AK$25,$E42,0)</f>
        <v>0</v>
      </c>
      <c r="AI42" s="133">
        <f ca="1">OFFSET(IND!AL$25,$E42,0)</f>
        <v>0</v>
      </c>
      <c r="AJ42" s="133">
        <f ca="1">OFFSET(IND!AM$25,$E42,0)</f>
        <v>0</v>
      </c>
      <c r="AK42" s="133">
        <f ca="1">OFFSET(IND!AN$25,$E42,0)</f>
        <v>0</v>
      </c>
      <c r="AL42" s="133">
        <f ca="1">OFFSET(IND!AO$25,$E42,0)</f>
        <v>0</v>
      </c>
      <c r="AM42" s="133">
        <f ca="1">OFFSET(IND!AP$25,$E42,0)</f>
        <v>0</v>
      </c>
      <c r="AQ42" s="4"/>
    </row>
    <row r="43" spans="1:43">
      <c r="A43" s="36" t="s">
        <v>343</v>
      </c>
      <c r="B43" t="s">
        <v>386</v>
      </c>
      <c r="E43" s="136">
        <f ca="1">MATCH(F43,IND!$D$26:$D$255,0)</f>
        <v>133</v>
      </c>
      <c r="F43" s="4" t="str">
        <f t="shared" si="0"/>
        <v>INFC</v>
      </c>
      <c r="G43" s="133">
        <f ca="1">OFFSET(IND!J$25,$E43,0)</f>
        <v>0</v>
      </c>
      <c r="H43" s="133">
        <f ca="1">OFFSET(IND!K$25,$E43,0)</f>
        <v>0</v>
      </c>
      <c r="I43" s="133">
        <f ca="1">OFFSET(IND!L$25,$E43,0)</f>
        <v>0</v>
      </c>
      <c r="J43" s="133">
        <f ca="1">OFFSET(IND!M$25,$E43,0)</f>
        <v>0</v>
      </c>
      <c r="K43" s="133">
        <f ca="1">OFFSET(IND!N$25,$E43,0)</f>
        <v>0</v>
      </c>
      <c r="L43" s="133">
        <f ca="1">OFFSET(IND!O$25,$E43,0)</f>
        <v>0</v>
      </c>
      <c r="M43" s="133">
        <f ca="1">OFFSET(IND!P$25,$E43,0)</f>
        <v>0</v>
      </c>
      <c r="N43" s="133">
        <f ca="1">OFFSET(IND!Q$25,$E43,0)</f>
        <v>0</v>
      </c>
      <c r="O43" s="212">
        <f ca="1">OFFSET(IND!R$25,$E43,0)</f>
        <v>0</v>
      </c>
      <c r="P43" s="133">
        <f ca="1">OFFSET(IND!S$25,$E43,0)</f>
        <v>0</v>
      </c>
      <c r="Q43" s="133">
        <f ca="1">OFFSET(IND!T$25,$E43,0)</f>
        <v>0</v>
      </c>
      <c r="R43" s="133">
        <f ca="1">OFFSET(IND!U$25,$E43,0)</f>
        <v>0</v>
      </c>
      <c r="S43" s="133">
        <f ca="1">OFFSET(IND!V$25,$E43,0)</f>
        <v>0</v>
      </c>
      <c r="T43" s="212">
        <f ca="1">OFFSET(IND!W$25,$E43,0)</f>
        <v>0</v>
      </c>
      <c r="U43" s="133">
        <f ca="1">OFFSET(IND!X$25,$E43,0)</f>
        <v>0</v>
      </c>
      <c r="V43" s="133">
        <f ca="1">OFFSET(IND!Y$25,$E43,0)</f>
        <v>0</v>
      </c>
      <c r="W43" s="133">
        <f ca="1">OFFSET(IND!Z$25,$E43,0)</f>
        <v>0</v>
      </c>
      <c r="X43" s="133">
        <f ca="1">OFFSET(IND!AA$25,$E43,0)</f>
        <v>0</v>
      </c>
      <c r="Y43" s="214">
        <f ca="1">OFFSET(IND!AB$25,$E43,0)</f>
        <v>0</v>
      </c>
      <c r="Z43" s="133">
        <f ca="1">OFFSET(IND!AC$25,$E43,0)</f>
        <v>0</v>
      </c>
      <c r="AA43" s="133">
        <f ca="1">OFFSET(IND!AD$25,$E43,0)</f>
        <v>0</v>
      </c>
      <c r="AB43" s="133">
        <f ca="1">OFFSET(IND!AE$25,$E43,0)</f>
        <v>0</v>
      </c>
      <c r="AC43" s="133">
        <f ca="1">OFFSET(IND!AF$25,$E43,0)</f>
        <v>0</v>
      </c>
      <c r="AD43" s="133">
        <f ca="1">OFFSET(IND!AG$25,$E43,0)</f>
        <v>0</v>
      </c>
      <c r="AE43" s="133">
        <f ca="1">OFFSET(IND!AH$25,$E43,0)</f>
        <v>0</v>
      </c>
      <c r="AF43" s="133">
        <f ca="1">OFFSET(IND!AI$25,$E43,0)</f>
        <v>0</v>
      </c>
      <c r="AG43" s="133">
        <f ca="1">OFFSET(IND!AJ$25,$E43,0)</f>
        <v>0</v>
      </c>
      <c r="AH43" s="133">
        <f ca="1">OFFSET(IND!AK$25,$E43,0)</f>
        <v>0</v>
      </c>
      <c r="AI43" s="133">
        <f ca="1">OFFSET(IND!AL$25,$E43,0)</f>
        <v>0</v>
      </c>
      <c r="AJ43" s="133">
        <f ca="1">OFFSET(IND!AM$25,$E43,0)</f>
        <v>0</v>
      </c>
      <c r="AK43" s="133">
        <f ca="1">OFFSET(IND!AN$25,$E43,0)</f>
        <v>0</v>
      </c>
      <c r="AL43" s="133">
        <f ca="1">OFFSET(IND!AO$25,$E43,0)</f>
        <v>0</v>
      </c>
      <c r="AM43" s="133">
        <f ca="1">OFFSET(IND!AP$25,$E43,0)</f>
        <v>0</v>
      </c>
      <c r="AQ43" s="4"/>
    </row>
    <row r="44" spans="1:43">
      <c r="A44" s="36" t="s">
        <v>344</v>
      </c>
      <c r="B44">
        <v>55.015944485879999</v>
      </c>
      <c r="E44" s="136">
        <f ca="1">MATCH(F44,IND!$D$26:$D$255,0)</f>
        <v>138</v>
      </c>
      <c r="F44" s="4" t="str">
        <f t="shared" si="0"/>
        <v>INFE</v>
      </c>
      <c r="G44" s="133">
        <f ca="1">OFFSET(IND!J$25,$E44,0)</f>
        <v>45.684078335879221</v>
      </c>
      <c r="H44" s="133">
        <f ca="1">OFFSET(IND!K$25,$E44,0)</f>
        <v>38.092658790451225</v>
      </c>
      <c r="I44" s="133">
        <f ca="1">OFFSET(IND!L$25,$E44,0)</f>
        <v>32.805777321313869</v>
      </c>
      <c r="J44" s="133">
        <f ca="1">OFFSET(IND!M$25,$E44,0)</f>
        <v>36.990036000000003</v>
      </c>
      <c r="K44" s="133">
        <f ca="1">OFFSET(IND!N$25,$E44,0)</f>
        <v>36.990036000000003</v>
      </c>
      <c r="L44" s="133">
        <f ca="1">OFFSET(IND!O$25,$E44,0)</f>
        <v>36.990036000000003</v>
      </c>
      <c r="M44" s="133">
        <f ca="1">OFFSET(IND!P$25,$E44,0)</f>
        <v>36.245270174496646</v>
      </c>
      <c r="N44" s="133">
        <f ca="1">OFFSET(IND!Q$25,$E44,0)</f>
        <v>34.259227973154367</v>
      </c>
      <c r="O44" s="212">
        <f ca="1">OFFSET(IND!R$25,$E44,0)</f>
        <v>28.114909912751685</v>
      </c>
      <c r="P44" s="133">
        <f ca="1">OFFSET(IND!S$25,$E44,0)</f>
        <v>29.107931013422824</v>
      </c>
      <c r="Q44" s="133">
        <f ca="1">OFFSET(IND!T$25,$E44,0)</f>
        <v>29.232058651006714</v>
      </c>
      <c r="R44" s="133">
        <f ca="1">OFFSET(IND!U$25,$E44,0)</f>
        <v>29.418250107382551</v>
      </c>
      <c r="S44" s="133">
        <f ca="1">OFFSET(IND!V$25,$E44,0)</f>
        <v>29.604441563758385</v>
      </c>
      <c r="T44" s="212">
        <f ca="1">OFFSET(IND!W$25,$E44,0)</f>
        <v>30.038888295302012</v>
      </c>
      <c r="U44" s="133">
        <f ca="1">OFFSET(IND!X$25,$E44,0)</f>
        <v>31.0939732147651</v>
      </c>
      <c r="V44" s="133">
        <f ca="1">OFFSET(IND!Y$25,$E44,0)</f>
        <v>32.335249590604022</v>
      </c>
      <c r="W44" s="133">
        <f ca="1">OFFSET(IND!Z$25,$E44,0)</f>
        <v>33.824781241610729</v>
      </c>
      <c r="X44" s="133">
        <f ca="1">OFFSET(IND!AA$25,$E44,0)</f>
        <v>35.003993798657703</v>
      </c>
      <c r="Y44" s="214">
        <f ca="1">OFFSET(IND!AB$25,$E44,0)</f>
        <v>36.493525449664418</v>
      </c>
      <c r="Z44" s="133">
        <f ca="1">OFFSET(IND!AC$25,$E44,0)</f>
        <v>37.734801825503347</v>
      </c>
      <c r="AA44" s="133">
        <f ca="1">OFFSET(IND!AD$25,$E44,0)</f>
        <v>38.541631469798645</v>
      </c>
      <c r="AB44" s="133">
        <f ca="1">OFFSET(IND!AE$25,$E44,0)</f>
        <v>39.47258875167784</v>
      </c>
      <c r="AC44" s="133">
        <f ca="1">OFFSET(IND!AF$25,$E44,0)</f>
        <v>40.465609852348969</v>
      </c>
      <c r="AD44" s="133">
        <f ca="1">OFFSET(IND!AG$25,$E44,0)</f>
        <v>41.334503315436223</v>
      </c>
      <c r="AE44" s="133">
        <f ca="1">OFFSET(IND!AH$25,$E44,0)</f>
        <v>42.389588234899314</v>
      </c>
      <c r="AF44" s="133">
        <f ca="1">OFFSET(IND!AI$25,$E44,0)</f>
        <v>43.444673154362398</v>
      </c>
      <c r="AG44" s="133">
        <f ca="1">OFFSET(IND!AJ$25,$E44,0)</f>
        <v>44.499758073825483</v>
      </c>
      <c r="AH44" s="133">
        <f ca="1">OFFSET(IND!AK$25,$E44,0)</f>
        <v>45.554842993288567</v>
      </c>
      <c r="AI44" s="133">
        <f ca="1">OFFSET(IND!AL$25,$E44,0)</f>
        <v>46.671991731543599</v>
      </c>
      <c r="AJ44" s="133">
        <f ca="1">OFFSET(IND!AM$25,$E44,0)</f>
        <v>50.147565583892593</v>
      </c>
      <c r="AK44" s="133">
        <f ca="1">OFFSET(IND!AN$25,$E44,0)</f>
        <v>54.740288174496619</v>
      </c>
      <c r="AL44" s="133">
        <f ca="1">OFFSET(IND!AO$25,$E44,0)</f>
        <v>62.622393161073646</v>
      </c>
      <c r="AM44" s="133">
        <f ca="1">OFFSET(IND!AP$25,$E44,0)</f>
        <v>70.69068960402673</v>
      </c>
      <c r="AQ44" s="4"/>
    </row>
    <row r="45" spans="1:43">
      <c r="A45" s="36" t="s">
        <v>345</v>
      </c>
      <c r="B45" t="s">
        <v>386</v>
      </c>
      <c r="E45" s="136">
        <f ca="1">MATCH(F45,IND!$D$26:$D$255,0)</f>
        <v>136</v>
      </c>
      <c r="F45" s="4" t="str">
        <f t="shared" si="0"/>
        <v>INFF</v>
      </c>
      <c r="G45" s="133">
        <f ca="1">OFFSET(IND!J$25,$E45,0)</f>
        <v>0</v>
      </c>
      <c r="H45" s="133">
        <f ca="1">OFFSET(IND!K$25,$E45,0)</f>
        <v>0</v>
      </c>
      <c r="I45" s="133">
        <f ca="1">OFFSET(IND!L$25,$E45,0)</f>
        <v>0</v>
      </c>
      <c r="J45" s="133">
        <f ca="1">OFFSET(IND!M$25,$E45,0)</f>
        <v>0</v>
      </c>
      <c r="K45" s="133">
        <f ca="1">OFFSET(IND!N$25,$E45,0)</f>
        <v>0</v>
      </c>
      <c r="L45" s="133">
        <f ca="1">OFFSET(IND!O$25,$E45,0)</f>
        <v>0</v>
      </c>
      <c r="M45" s="133">
        <f ca="1">OFFSET(IND!P$25,$E45,0)</f>
        <v>0</v>
      </c>
      <c r="N45" s="133">
        <f ca="1">OFFSET(IND!Q$25,$E45,0)</f>
        <v>0</v>
      </c>
      <c r="O45" s="212">
        <f ca="1">OFFSET(IND!R$25,$E45,0)</f>
        <v>0</v>
      </c>
      <c r="P45" s="133">
        <f ca="1">OFFSET(IND!S$25,$E45,0)</f>
        <v>0</v>
      </c>
      <c r="Q45" s="133">
        <f ca="1">OFFSET(IND!T$25,$E45,0)</f>
        <v>0</v>
      </c>
      <c r="R45" s="133">
        <f ca="1">OFFSET(IND!U$25,$E45,0)</f>
        <v>0</v>
      </c>
      <c r="S45" s="133">
        <f ca="1">OFFSET(IND!V$25,$E45,0)</f>
        <v>0</v>
      </c>
      <c r="T45" s="212">
        <f ca="1">OFFSET(IND!W$25,$E45,0)</f>
        <v>0</v>
      </c>
      <c r="U45" s="133">
        <f ca="1">OFFSET(IND!X$25,$E45,0)</f>
        <v>0</v>
      </c>
      <c r="V45" s="133">
        <f ca="1">OFFSET(IND!Y$25,$E45,0)</f>
        <v>0</v>
      </c>
      <c r="W45" s="133">
        <f ca="1">OFFSET(IND!Z$25,$E45,0)</f>
        <v>0</v>
      </c>
      <c r="X45" s="133">
        <f ca="1">OFFSET(IND!AA$25,$E45,0)</f>
        <v>0</v>
      </c>
      <c r="Y45" s="214">
        <f ca="1">OFFSET(IND!AB$25,$E45,0)</f>
        <v>0</v>
      </c>
      <c r="Z45" s="133">
        <f ca="1">OFFSET(IND!AC$25,$E45,0)</f>
        <v>0</v>
      </c>
      <c r="AA45" s="133">
        <f ca="1">OFFSET(IND!AD$25,$E45,0)</f>
        <v>0</v>
      </c>
      <c r="AB45" s="133">
        <f ca="1">OFFSET(IND!AE$25,$E45,0)</f>
        <v>0</v>
      </c>
      <c r="AC45" s="133">
        <f ca="1">OFFSET(IND!AF$25,$E45,0)</f>
        <v>0</v>
      </c>
      <c r="AD45" s="133">
        <f ca="1">OFFSET(IND!AG$25,$E45,0)</f>
        <v>0</v>
      </c>
      <c r="AE45" s="133">
        <f ca="1">OFFSET(IND!AH$25,$E45,0)</f>
        <v>0</v>
      </c>
      <c r="AF45" s="133">
        <f ca="1">OFFSET(IND!AI$25,$E45,0)</f>
        <v>0</v>
      </c>
      <c r="AG45" s="133">
        <f ca="1">OFFSET(IND!AJ$25,$E45,0)</f>
        <v>0</v>
      </c>
      <c r="AH45" s="133">
        <f ca="1">OFFSET(IND!AK$25,$E45,0)</f>
        <v>0</v>
      </c>
      <c r="AI45" s="133">
        <f ca="1">OFFSET(IND!AL$25,$E45,0)</f>
        <v>0</v>
      </c>
      <c r="AJ45" s="133">
        <f ca="1">OFFSET(IND!AM$25,$E45,0)</f>
        <v>0</v>
      </c>
      <c r="AK45" s="133">
        <f ca="1">OFFSET(IND!AN$25,$E45,0)</f>
        <v>0</v>
      </c>
      <c r="AL45" s="133">
        <f ca="1">OFFSET(IND!AO$25,$E45,0)</f>
        <v>0</v>
      </c>
      <c r="AM45" s="133">
        <f ca="1">OFFSET(IND!AP$25,$E45,0)</f>
        <v>0</v>
      </c>
      <c r="AQ45" s="4"/>
    </row>
    <row r="46" spans="1:43">
      <c r="A46" s="36" t="s">
        <v>346</v>
      </c>
      <c r="B46">
        <v>0.72389400639309998</v>
      </c>
      <c r="E46" s="136">
        <f ca="1">MATCH(F46,IND!$D$26:$D$255,0)</f>
        <v>134</v>
      </c>
      <c r="F46" s="4" t="str">
        <f t="shared" si="0"/>
        <v>INFH</v>
      </c>
      <c r="G46" s="133">
        <f ca="1">OFFSET(IND!J$25,$E46,0)</f>
        <v>0.60110629389314751</v>
      </c>
      <c r="H46" s="133">
        <f ca="1">OFFSET(IND!K$25,$E46,0)</f>
        <v>0.50121919461120013</v>
      </c>
      <c r="I46" s="133">
        <f ca="1">OFFSET(IND!L$25,$E46,0)</f>
        <v>0.43165496475412962</v>
      </c>
      <c r="J46" s="133">
        <f ca="1">OFFSET(IND!M$25,$E46,0)</f>
        <v>0.486711</v>
      </c>
      <c r="K46" s="133">
        <f ca="1">OFFSET(IND!N$25,$E46,0)</f>
        <v>0.486711</v>
      </c>
      <c r="L46" s="133">
        <f ca="1">OFFSET(IND!O$25,$E46,0)</f>
        <v>0.486711</v>
      </c>
      <c r="M46" s="133">
        <f ca="1">OFFSET(IND!P$25,$E46,0)</f>
        <v>0.47691144966442955</v>
      </c>
      <c r="N46" s="133">
        <f ca="1">OFFSET(IND!Q$25,$E46,0)</f>
        <v>0.45077931543624161</v>
      </c>
      <c r="O46" s="212">
        <f ca="1">OFFSET(IND!R$25,$E46,0)</f>
        <v>0.36993302516778526</v>
      </c>
      <c r="P46" s="133">
        <f ca="1">OFFSET(IND!S$25,$E46,0)</f>
        <v>0.38299909228187923</v>
      </c>
      <c r="Q46" s="133">
        <f ca="1">OFFSET(IND!T$25,$E46,0)</f>
        <v>0.38463235067114093</v>
      </c>
      <c r="R46" s="133">
        <f ca="1">OFFSET(IND!U$25,$E46,0)</f>
        <v>0.38708223825503357</v>
      </c>
      <c r="S46" s="133">
        <f ca="1">OFFSET(IND!V$25,$E46,0)</f>
        <v>0.3895321258389261</v>
      </c>
      <c r="T46" s="212">
        <f ca="1">OFFSET(IND!W$25,$E46,0)</f>
        <v>0.39524853020134226</v>
      </c>
      <c r="U46" s="133">
        <f ca="1">OFFSET(IND!X$25,$E46,0)</f>
        <v>0.40913122651006711</v>
      </c>
      <c r="V46" s="133">
        <f ca="1">OFFSET(IND!Y$25,$E46,0)</f>
        <v>0.42546381040268455</v>
      </c>
      <c r="W46" s="133">
        <f ca="1">OFFSET(IND!Z$25,$E46,0)</f>
        <v>0.44506291107382545</v>
      </c>
      <c r="X46" s="133">
        <f ca="1">OFFSET(IND!AA$25,$E46,0)</f>
        <v>0.46057886577181195</v>
      </c>
      <c r="Y46" s="214">
        <f ca="1">OFFSET(IND!AB$25,$E46,0)</f>
        <v>0.48017796644295291</v>
      </c>
      <c r="Z46" s="133">
        <f ca="1">OFFSET(IND!AC$25,$E46,0)</f>
        <v>0.4965105503355704</v>
      </c>
      <c r="AA46" s="133">
        <f ca="1">OFFSET(IND!AD$25,$E46,0)</f>
        <v>0.50712672986577167</v>
      </c>
      <c r="AB46" s="133">
        <f ca="1">OFFSET(IND!AE$25,$E46,0)</f>
        <v>0.51937616778523477</v>
      </c>
      <c r="AC46" s="133">
        <f ca="1">OFFSET(IND!AF$25,$E46,0)</f>
        <v>0.53244223489932863</v>
      </c>
      <c r="AD46" s="133">
        <f ca="1">OFFSET(IND!AG$25,$E46,0)</f>
        <v>0.54387504362416084</v>
      </c>
      <c r="AE46" s="133">
        <f ca="1">OFFSET(IND!AH$25,$E46,0)</f>
        <v>0.55775773993288569</v>
      </c>
      <c r="AF46" s="133">
        <f ca="1">OFFSET(IND!AI$25,$E46,0)</f>
        <v>0.57164043624161043</v>
      </c>
      <c r="AG46" s="133">
        <f ca="1">OFFSET(IND!AJ$25,$E46,0)</f>
        <v>0.58552313255033528</v>
      </c>
      <c r="AH46" s="133">
        <f ca="1">OFFSET(IND!AK$25,$E46,0)</f>
        <v>0.59940582885906002</v>
      </c>
      <c r="AI46" s="133">
        <f ca="1">OFFSET(IND!AL$25,$E46,0)</f>
        <v>0.61410515436241575</v>
      </c>
      <c r="AJ46" s="133">
        <f ca="1">OFFSET(IND!AM$25,$E46,0)</f>
        <v>0.65983638926174459</v>
      </c>
      <c r="AK46" s="133">
        <f ca="1">OFFSET(IND!AN$25,$E46,0)</f>
        <v>0.72026694966442917</v>
      </c>
      <c r="AL46" s="133">
        <f ca="1">OFFSET(IND!AO$25,$E46,0)</f>
        <v>0.82397885738254795</v>
      </c>
      <c r="AM46" s="133">
        <f ca="1">OFFSET(IND!AP$25,$E46,0)</f>
        <v>0.93014065268456214</v>
      </c>
      <c r="AQ46" s="4"/>
    </row>
    <row r="47" spans="1:43">
      <c r="A47" s="36" t="s">
        <v>347</v>
      </c>
      <c r="B47">
        <v>0.80432667377019995</v>
      </c>
      <c r="E47" s="136">
        <f ca="1">MATCH(F47,IND!$D$26:$D$255,0)</f>
        <v>130</v>
      </c>
      <c r="F47" s="4" t="str">
        <f t="shared" si="0"/>
        <v>INFK</v>
      </c>
      <c r="G47" s="133">
        <f ca="1">OFFSET(IND!J$25,$E47,0)</f>
        <v>0.66789588210349726</v>
      </c>
      <c r="H47" s="133">
        <f ca="1">OFFSET(IND!K$25,$E47,0)</f>
        <v>0.55691021623466685</v>
      </c>
      <c r="I47" s="133">
        <f ca="1">OFFSET(IND!L$25,$E47,0)</f>
        <v>0.47961662750458856</v>
      </c>
      <c r="J47" s="133">
        <f ca="1">OFFSET(IND!M$25,$E47,0)</f>
        <v>0.54078999999999999</v>
      </c>
      <c r="K47" s="133">
        <f ca="1">OFFSET(IND!N$25,$E47,0)</f>
        <v>0.54078999999999999</v>
      </c>
      <c r="L47" s="133">
        <f ca="1">OFFSET(IND!O$25,$E47,0)</f>
        <v>0.54078999999999999</v>
      </c>
      <c r="M47" s="133">
        <f ca="1">OFFSET(IND!P$25,$E47,0)</f>
        <v>0.52990161073825504</v>
      </c>
      <c r="N47" s="133">
        <f ca="1">OFFSET(IND!Q$25,$E47,0)</f>
        <v>0.50086590604026848</v>
      </c>
      <c r="O47" s="212">
        <f ca="1">OFFSET(IND!R$25,$E47,0)</f>
        <v>0.41103669463087256</v>
      </c>
      <c r="P47" s="133">
        <f ca="1">OFFSET(IND!S$25,$E47,0)</f>
        <v>0.42555454697986583</v>
      </c>
      <c r="Q47" s="133">
        <f ca="1">OFFSET(IND!T$25,$E47,0)</f>
        <v>0.42736927852348994</v>
      </c>
      <c r="R47" s="133">
        <f ca="1">OFFSET(IND!U$25,$E47,0)</f>
        <v>0.4300913758389262</v>
      </c>
      <c r="S47" s="133">
        <f ca="1">OFFSET(IND!V$25,$E47,0)</f>
        <v>0.43281347315436236</v>
      </c>
      <c r="T47" s="212">
        <f ca="1">OFFSET(IND!W$25,$E47,0)</f>
        <v>0.439165033557047</v>
      </c>
      <c r="U47" s="133">
        <f ca="1">OFFSET(IND!X$25,$E47,0)</f>
        <v>0.45459025167785239</v>
      </c>
      <c r="V47" s="133">
        <f ca="1">OFFSET(IND!Y$25,$E47,0)</f>
        <v>0.47273756711409398</v>
      </c>
      <c r="W47" s="133">
        <f ca="1">OFFSET(IND!Z$25,$E47,0)</f>
        <v>0.4945143456375839</v>
      </c>
      <c r="X47" s="133">
        <f ca="1">OFFSET(IND!AA$25,$E47,0)</f>
        <v>0.51175429530201333</v>
      </c>
      <c r="Y47" s="214">
        <f ca="1">OFFSET(IND!AB$25,$E47,0)</f>
        <v>0.53353107382550324</v>
      </c>
      <c r="Z47" s="133">
        <f ca="1">OFFSET(IND!AC$25,$E47,0)</f>
        <v>0.55167838926174484</v>
      </c>
      <c r="AA47" s="133">
        <f ca="1">OFFSET(IND!AD$25,$E47,0)</f>
        <v>0.56347414429530185</v>
      </c>
      <c r="AB47" s="133">
        <f ca="1">OFFSET(IND!AE$25,$E47,0)</f>
        <v>0.57708463087248307</v>
      </c>
      <c r="AC47" s="133">
        <f ca="1">OFFSET(IND!AF$25,$E47,0)</f>
        <v>0.59160248322147624</v>
      </c>
      <c r="AD47" s="133">
        <f ca="1">OFFSET(IND!AG$25,$E47,0)</f>
        <v>0.60430560402684541</v>
      </c>
      <c r="AE47" s="133">
        <f ca="1">OFFSET(IND!AH$25,$E47,0)</f>
        <v>0.61973082214765085</v>
      </c>
      <c r="AF47" s="133">
        <f ca="1">OFFSET(IND!AI$25,$E47,0)</f>
        <v>0.63515604026845618</v>
      </c>
      <c r="AG47" s="133">
        <f ca="1">OFFSET(IND!AJ$25,$E47,0)</f>
        <v>0.65058125838926151</v>
      </c>
      <c r="AH47" s="133">
        <f ca="1">OFFSET(IND!AK$25,$E47,0)</f>
        <v>0.66600647651006684</v>
      </c>
      <c r="AI47" s="133">
        <f ca="1">OFFSET(IND!AL$25,$E47,0)</f>
        <v>0.68233906040268433</v>
      </c>
      <c r="AJ47" s="133">
        <f ca="1">OFFSET(IND!AM$25,$E47,0)</f>
        <v>0.73315154362416091</v>
      </c>
      <c r="AK47" s="133">
        <f ca="1">OFFSET(IND!AN$25,$E47,0)</f>
        <v>0.80029661073825487</v>
      </c>
      <c r="AL47" s="133">
        <f ca="1">OFFSET(IND!AO$25,$E47,0)</f>
        <v>0.9155320637583868</v>
      </c>
      <c r="AM47" s="133">
        <f ca="1">OFFSET(IND!AP$25,$E47,0)</f>
        <v>1.0334896140939582</v>
      </c>
      <c r="AQ47" s="4"/>
    </row>
    <row r="48" spans="1:43">
      <c r="A48" s="36" t="s">
        <v>348</v>
      </c>
      <c r="B48">
        <v>0.241298002131</v>
      </c>
      <c r="E48" s="136">
        <f ca="1">MATCH(F48,IND!$D$26:$D$255,0)</f>
        <v>132</v>
      </c>
      <c r="F48" s="4" t="str">
        <f t="shared" si="0"/>
        <v>INFL</v>
      </c>
      <c r="G48" s="133">
        <f ca="1">OFFSET(IND!J$25,$E48,0)</f>
        <v>0.20036876463104916</v>
      </c>
      <c r="H48" s="133">
        <f ca="1">OFFSET(IND!K$25,$E48,0)</f>
        <v>0.16707306487040005</v>
      </c>
      <c r="I48" s="133">
        <f ca="1">OFFSET(IND!L$25,$E48,0)</f>
        <v>0.14388498825137655</v>
      </c>
      <c r="J48" s="133">
        <f ca="1">OFFSET(IND!M$25,$E48,0)</f>
        <v>0.16223699999999999</v>
      </c>
      <c r="K48" s="133">
        <f ca="1">OFFSET(IND!N$25,$E48,0)</f>
        <v>0.16223699999999999</v>
      </c>
      <c r="L48" s="133">
        <f ca="1">OFFSET(IND!O$25,$E48,0)</f>
        <v>0.16223699999999999</v>
      </c>
      <c r="M48" s="133">
        <f ca="1">OFFSET(IND!P$25,$E48,0)</f>
        <v>0.1589704832214765</v>
      </c>
      <c r="N48" s="133">
        <f ca="1">OFFSET(IND!Q$25,$E48,0)</f>
        <v>0.15025977181208053</v>
      </c>
      <c r="O48" s="212">
        <f ca="1">OFFSET(IND!R$25,$E48,0)</f>
        <v>0.12331100838926175</v>
      </c>
      <c r="P48" s="133">
        <f ca="1">OFFSET(IND!S$25,$E48,0)</f>
        <v>0.12766636409395973</v>
      </c>
      <c r="Q48" s="133">
        <f ca="1">OFFSET(IND!T$25,$E48,0)</f>
        <v>0.12821078355704696</v>
      </c>
      <c r="R48" s="133">
        <f ca="1">OFFSET(IND!U$25,$E48,0)</f>
        <v>0.12902741275167784</v>
      </c>
      <c r="S48" s="133">
        <f ca="1">OFFSET(IND!V$25,$E48,0)</f>
        <v>0.12984404194630869</v>
      </c>
      <c r="T48" s="212">
        <f ca="1">OFFSET(IND!W$25,$E48,0)</f>
        <v>0.13174951006711408</v>
      </c>
      <c r="U48" s="133">
        <f ca="1">OFFSET(IND!X$25,$E48,0)</f>
        <v>0.1363770755033557</v>
      </c>
      <c r="V48" s="133">
        <f ca="1">OFFSET(IND!Y$25,$E48,0)</f>
        <v>0.14182127013422818</v>
      </c>
      <c r="W48" s="133">
        <f ca="1">OFFSET(IND!Z$25,$E48,0)</f>
        <v>0.14835430369127517</v>
      </c>
      <c r="X48" s="133">
        <f ca="1">OFFSET(IND!AA$25,$E48,0)</f>
        <v>0.15352628859060399</v>
      </c>
      <c r="Y48" s="214">
        <f ca="1">OFFSET(IND!AB$25,$E48,0)</f>
        <v>0.16005932214765098</v>
      </c>
      <c r="Z48" s="133">
        <f ca="1">OFFSET(IND!AC$25,$E48,0)</f>
        <v>0.16550351677852346</v>
      </c>
      <c r="AA48" s="133">
        <f ca="1">OFFSET(IND!AD$25,$E48,0)</f>
        <v>0.16904224328859055</v>
      </c>
      <c r="AB48" s="133">
        <f ca="1">OFFSET(IND!AE$25,$E48,0)</f>
        <v>0.17312538926174492</v>
      </c>
      <c r="AC48" s="133">
        <f ca="1">OFFSET(IND!AF$25,$E48,0)</f>
        <v>0.17748074496644287</v>
      </c>
      <c r="AD48" s="133">
        <f ca="1">OFFSET(IND!AG$25,$E48,0)</f>
        <v>0.18129168120805361</v>
      </c>
      <c r="AE48" s="133">
        <f ca="1">OFFSET(IND!AH$25,$E48,0)</f>
        <v>0.18591924664429524</v>
      </c>
      <c r="AF48" s="133">
        <f ca="1">OFFSET(IND!AI$25,$E48,0)</f>
        <v>0.19054681208053684</v>
      </c>
      <c r="AG48" s="133">
        <f ca="1">OFFSET(IND!AJ$25,$E48,0)</f>
        <v>0.19517437751677844</v>
      </c>
      <c r="AH48" s="133">
        <f ca="1">OFFSET(IND!AK$25,$E48,0)</f>
        <v>0.19980194295302003</v>
      </c>
      <c r="AI48" s="133">
        <f ca="1">OFFSET(IND!AL$25,$E48,0)</f>
        <v>0.20470171812080526</v>
      </c>
      <c r="AJ48" s="133">
        <f ca="1">OFFSET(IND!AM$25,$E48,0)</f>
        <v>0.21994546308724822</v>
      </c>
      <c r="AK48" s="133">
        <f ca="1">OFFSET(IND!AN$25,$E48,0)</f>
        <v>0.24008898322147643</v>
      </c>
      <c r="AL48" s="133">
        <f ca="1">OFFSET(IND!AO$25,$E48,0)</f>
        <v>0.27465961912751602</v>
      </c>
      <c r="AM48" s="133">
        <f ca="1">OFFSET(IND!AP$25,$E48,0)</f>
        <v>0.31004688422818744</v>
      </c>
      <c r="AQ48" s="4"/>
    </row>
    <row r="49" spans="1:43">
      <c r="A49" s="36" t="s">
        <v>349</v>
      </c>
      <c r="B49">
        <v>4.5042293731129996</v>
      </c>
      <c r="E49" s="136">
        <f ca="1">MATCH(F49,IND!$D$26:$D$255,0)</f>
        <v>137</v>
      </c>
      <c r="F49" s="4" t="str">
        <f t="shared" si="0"/>
        <v>INFO</v>
      </c>
      <c r="G49" s="133">
        <f ca="1">OFFSET(IND!J$25,$E49,0)</f>
        <v>3.7402169397795855</v>
      </c>
      <c r="H49" s="133">
        <f ca="1">OFFSET(IND!K$25,$E49,0)</f>
        <v>3.1186972109141351</v>
      </c>
      <c r="I49" s="133">
        <f ca="1">OFFSET(IND!L$25,$E49,0)</f>
        <v>2.6858531140256963</v>
      </c>
      <c r="J49" s="133">
        <f ca="1">OFFSET(IND!M$25,$E49,0)</f>
        <v>3.0284240000000007</v>
      </c>
      <c r="K49" s="133">
        <f ca="1">OFFSET(IND!N$25,$E49,0)</f>
        <v>3.0284240000000007</v>
      </c>
      <c r="L49" s="133">
        <f ca="1">OFFSET(IND!O$25,$E49,0)</f>
        <v>3.0284240000000007</v>
      </c>
      <c r="M49" s="133">
        <f ca="1">OFFSET(IND!P$25,$E49,0)</f>
        <v>2.9674490201342287</v>
      </c>
      <c r="N49" s="133">
        <f ca="1">OFFSET(IND!Q$25,$E49,0)</f>
        <v>2.8048490738255039</v>
      </c>
      <c r="O49" s="212">
        <f ca="1">OFFSET(IND!R$25,$E49,0)</f>
        <v>2.3018054899328866</v>
      </c>
      <c r="P49" s="133">
        <f ca="1">OFFSET(IND!S$25,$E49,0)</f>
        <v>2.383105463087249</v>
      </c>
      <c r="Q49" s="133">
        <f ca="1">OFFSET(IND!T$25,$E49,0)</f>
        <v>2.3932679597315443</v>
      </c>
      <c r="R49" s="133">
        <f ca="1">OFFSET(IND!U$25,$E49,0)</f>
        <v>2.4085117046979874</v>
      </c>
      <c r="S49" s="133">
        <f ca="1">OFFSET(IND!V$25,$E49,0)</f>
        <v>2.42375544966443</v>
      </c>
      <c r="T49" s="212">
        <f ca="1">OFFSET(IND!W$25,$E49,0)</f>
        <v>2.4593241879194641</v>
      </c>
      <c r="U49" s="133">
        <f ca="1">OFFSET(IND!X$25,$E49,0)</f>
        <v>2.5457054093959743</v>
      </c>
      <c r="V49" s="133">
        <f ca="1">OFFSET(IND!Y$25,$E49,0)</f>
        <v>2.6473303758389273</v>
      </c>
      <c r="W49" s="133">
        <f ca="1">OFFSET(IND!Z$25,$E49,0)</f>
        <v>2.7692803355704707</v>
      </c>
      <c r="X49" s="133">
        <f ca="1">OFFSET(IND!AA$25,$E49,0)</f>
        <v>2.8658240536912758</v>
      </c>
      <c r="Y49" s="214">
        <f ca="1">OFFSET(IND!AB$25,$E49,0)</f>
        <v>2.9877740134228197</v>
      </c>
      <c r="Z49" s="133">
        <f ca="1">OFFSET(IND!AC$25,$E49,0)</f>
        <v>3.0893989798657731</v>
      </c>
      <c r="AA49" s="133">
        <f ca="1">OFFSET(IND!AD$25,$E49,0)</f>
        <v>3.1554552080536924</v>
      </c>
      <c r="AB49" s="133">
        <f ca="1">OFFSET(IND!AE$25,$E49,0)</f>
        <v>3.2316739328859074</v>
      </c>
      <c r="AC49" s="133">
        <f ca="1">OFFSET(IND!AF$25,$E49,0)</f>
        <v>3.312973906040269</v>
      </c>
      <c r="AD49" s="133">
        <f ca="1">OFFSET(IND!AG$25,$E49,0)</f>
        <v>3.3841113825503366</v>
      </c>
      <c r="AE49" s="133">
        <f ca="1">OFFSET(IND!AH$25,$E49,0)</f>
        <v>3.4704926040268469</v>
      </c>
      <c r="AF49" s="133">
        <f ca="1">OFFSET(IND!AI$25,$E49,0)</f>
        <v>3.5568738255033567</v>
      </c>
      <c r="AG49" s="133">
        <f ca="1">OFFSET(IND!AJ$25,$E49,0)</f>
        <v>3.6432550469798666</v>
      </c>
      <c r="AH49" s="133">
        <f ca="1">OFFSET(IND!AK$25,$E49,0)</f>
        <v>3.7296362684563764</v>
      </c>
      <c r="AI49" s="133">
        <f ca="1">OFFSET(IND!AL$25,$E49,0)</f>
        <v>3.8210987382550341</v>
      </c>
      <c r="AJ49" s="133">
        <f ca="1">OFFSET(IND!AM$25,$E49,0)</f>
        <v>4.1056486442953029</v>
      </c>
      <c r="AK49" s="133">
        <f ca="1">OFFSET(IND!AN$25,$E49,0)</f>
        <v>4.4816610201342293</v>
      </c>
      <c r="AL49" s="133">
        <f ca="1">OFFSET(IND!AO$25,$E49,0)</f>
        <v>5.1269795570469689</v>
      </c>
      <c r="AM49" s="133">
        <f ca="1">OFFSET(IND!AP$25,$E49,0)</f>
        <v>5.7875418389261695</v>
      </c>
      <c r="AQ49" s="4"/>
    </row>
    <row r="50" spans="1:43">
      <c r="A50" s="36" t="s">
        <v>350</v>
      </c>
      <c r="B50" t="s">
        <v>386</v>
      </c>
      <c r="E50" s="136">
        <f ca="1">MATCH(F50,IND!$D$26:$D$255,0)</f>
        <v>135</v>
      </c>
      <c r="F50" s="4" t="str">
        <f t="shared" si="0"/>
        <v>INFP</v>
      </c>
      <c r="G50" s="133">
        <f ca="1">OFFSET(IND!J$25,$E50,0)</f>
        <v>0</v>
      </c>
      <c r="H50" s="133">
        <f ca="1">OFFSET(IND!K$25,$E50,0)</f>
        <v>0</v>
      </c>
      <c r="I50" s="133">
        <f ca="1">OFFSET(IND!L$25,$E50,0)</f>
        <v>0</v>
      </c>
      <c r="J50" s="133">
        <f ca="1">OFFSET(IND!M$25,$E50,0)</f>
        <v>0</v>
      </c>
      <c r="K50" s="133">
        <f ca="1">OFFSET(IND!N$25,$E50,0)</f>
        <v>0</v>
      </c>
      <c r="L50" s="133">
        <f ca="1">OFFSET(IND!O$25,$E50,0)</f>
        <v>0</v>
      </c>
      <c r="M50" s="133">
        <f ca="1">OFFSET(IND!P$25,$E50,0)</f>
        <v>0</v>
      </c>
      <c r="N50" s="133">
        <f ca="1">OFFSET(IND!Q$25,$E50,0)</f>
        <v>0</v>
      </c>
      <c r="O50" s="212">
        <f ca="1">OFFSET(IND!R$25,$E50,0)</f>
        <v>0</v>
      </c>
      <c r="P50" s="133">
        <f ca="1">OFFSET(IND!S$25,$E50,0)</f>
        <v>0</v>
      </c>
      <c r="Q50" s="133">
        <f ca="1">OFFSET(IND!T$25,$E50,0)</f>
        <v>0</v>
      </c>
      <c r="R50" s="133">
        <f ca="1">OFFSET(IND!U$25,$E50,0)</f>
        <v>0</v>
      </c>
      <c r="S50" s="133">
        <f ca="1">OFFSET(IND!V$25,$E50,0)</f>
        <v>0</v>
      </c>
      <c r="T50" s="212">
        <f ca="1">OFFSET(IND!W$25,$E50,0)</f>
        <v>0</v>
      </c>
      <c r="U50" s="133">
        <f ca="1">OFFSET(IND!X$25,$E50,0)</f>
        <v>0</v>
      </c>
      <c r="V50" s="133">
        <f ca="1">OFFSET(IND!Y$25,$E50,0)</f>
        <v>0</v>
      </c>
      <c r="W50" s="133">
        <f ca="1">OFFSET(IND!Z$25,$E50,0)</f>
        <v>0</v>
      </c>
      <c r="X50" s="133">
        <f ca="1">OFFSET(IND!AA$25,$E50,0)</f>
        <v>0</v>
      </c>
      <c r="Y50" s="214">
        <f ca="1">OFFSET(IND!AB$25,$E50,0)</f>
        <v>0</v>
      </c>
      <c r="Z50" s="133">
        <f ca="1">OFFSET(IND!AC$25,$E50,0)</f>
        <v>0</v>
      </c>
      <c r="AA50" s="133">
        <f ca="1">OFFSET(IND!AD$25,$E50,0)</f>
        <v>0</v>
      </c>
      <c r="AB50" s="133">
        <f ca="1">OFFSET(IND!AE$25,$E50,0)</f>
        <v>0</v>
      </c>
      <c r="AC50" s="133">
        <f ca="1">OFFSET(IND!AF$25,$E50,0)</f>
        <v>0</v>
      </c>
      <c r="AD50" s="133">
        <f ca="1">OFFSET(IND!AG$25,$E50,0)</f>
        <v>0</v>
      </c>
      <c r="AE50" s="133">
        <f ca="1">OFFSET(IND!AH$25,$E50,0)</f>
        <v>0</v>
      </c>
      <c r="AF50" s="133">
        <f ca="1">OFFSET(IND!AI$25,$E50,0)</f>
        <v>0</v>
      </c>
      <c r="AG50" s="133">
        <f ca="1">OFFSET(IND!AJ$25,$E50,0)</f>
        <v>0</v>
      </c>
      <c r="AH50" s="133">
        <f ca="1">OFFSET(IND!AK$25,$E50,0)</f>
        <v>0</v>
      </c>
      <c r="AI50" s="133">
        <f ca="1">OFFSET(IND!AL$25,$E50,0)</f>
        <v>0</v>
      </c>
      <c r="AJ50" s="133">
        <f ca="1">OFFSET(IND!AM$25,$E50,0)</f>
        <v>0</v>
      </c>
      <c r="AK50" s="133">
        <f ca="1">OFFSET(IND!AN$25,$E50,0)</f>
        <v>0</v>
      </c>
      <c r="AL50" s="133">
        <f ca="1">OFFSET(IND!AO$25,$E50,0)</f>
        <v>0</v>
      </c>
      <c r="AM50" s="133">
        <f ca="1">OFFSET(IND!AP$25,$E50,0)</f>
        <v>0</v>
      </c>
      <c r="AQ50" s="4"/>
    </row>
    <row r="51" spans="1:43">
      <c r="A51" s="36" t="s">
        <v>351</v>
      </c>
      <c r="B51">
        <v>0.51839999999999997</v>
      </c>
      <c r="E51" s="136">
        <f ca="1">MATCH(F51,IND!$D$26:$D$255,0)</f>
        <v>140</v>
      </c>
      <c r="F51" s="4" t="str">
        <f t="shared" si="0"/>
        <v>INFS</v>
      </c>
      <c r="G51" s="133">
        <f ca="1">OFFSET(IND!J$25,$E51,0)</f>
        <v>2.487856608</v>
      </c>
      <c r="H51" s="133">
        <f ca="1">OFFSET(IND!K$25,$E51,0)</f>
        <v>2.0744442339703264</v>
      </c>
      <c r="I51" s="133">
        <f ca="1">OFFSET(IND!L$25,$E51,0)</f>
        <v>1.7865320449139466</v>
      </c>
      <c r="J51" s="133">
        <f ca="1">OFFSET(IND!M$25,$E51,0)</f>
        <v>0.65368000000000004</v>
      </c>
      <c r="K51" s="133">
        <f ca="1">OFFSET(IND!N$25,$E51,0)</f>
        <v>0.65368000000000004</v>
      </c>
      <c r="L51" s="133">
        <f ca="1">OFFSET(IND!O$25,$E51,0)</f>
        <v>0.65368000000000004</v>
      </c>
      <c r="M51" s="133">
        <f ca="1">OFFSET(IND!P$25,$E51,0)</f>
        <v>0.64051865771812089</v>
      </c>
      <c r="N51" s="133">
        <f ca="1">OFFSET(IND!Q$25,$E51,0)</f>
        <v>0.60542174496644308</v>
      </c>
      <c r="O51" s="212">
        <f ca="1">OFFSET(IND!R$25,$E51,0)</f>
        <v>0.49684067114093977</v>
      </c>
      <c r="P51" s="133">
        <f ca="1">OFFSET(IND!S$25,$E51,0)</f>
        <v>0.51438912751677868</v>
      </c>
      <c r="Q51" s="133">
        <f ca="1">OFFSET(IND!T$25,$E51,0)</f>
        <v>0.51658268456375844</v>
      </c>
      <c r="R51" s="133">
        <f ca="1">OFFSET(IND!U$25,$E51,0)</f>
        <v>0.5198730201342282</v>
      </c>
      <c r="S51" s="133">
        <f ca="1">OFFSET(IND!V$25,$E51,0)</f>
        <v>0.52316335570469785</v>
      </c>
      <c r="T51" s="212">
        <f ca="1">OFFSET(IND!W$25,$E51,0)</f>
        <v>0.53084080536912748</v>
      </c>
      <c r="U51" s="133">
        <f ca="1">OFFSET(IND!X$25,$E51,0)</f>
        <v>0.54948604026845638</v>
      </c>
      <c r="V51" s="133">
        <f ca="1">OFFSET(IND!Y$25,$E51,0)</f>
        <v>0.57142161073825504</v>
      </c>
      <c r="W51" s="133">
        <f ca="1">OFFSET(IND!Z$25,$E51,0)</f>
        <v>0.59774429530201345</v>
      </c>
      <c r="X51" s="133">
        <f ca="1">OFFSET(IND!AA$25,$E51,0)</f>
        <v>0.61858308724832212</v>
      </c>
      <c r="Y51" s="214">
        <f ca="1">OFFSET(IND!AB$25,$E51,0)</f>
        <v>0.64490577181208053</v>
      </c>
      <c r="Z51" s="133">
        <f ca="1">OFFSET(IND!AC$25,$E51,0)</f>
        <v>0.66684134228187919</v>
      </c>
      <c r="AA51" s="133">
        <f ca="1">OFFSET(IND!AD$25,$E51,0)</f>
        <v>0.68109946308724822</v>
      </c>
      <c r="AB51" s="133">
        <f ca="1">OFFSET(IND!AE$25,$E51,0)</f>
        <v>0.69755114093959725</v>
      </c>
      <c r="AC51" s="133">
        <f ca="1">OFFSET(IND!AF$25,$E51,0)</f>
        <v>0.71509959731543604</v>
      </c>
      <c r="AD51" s="133">
        <f ca="1">OFFSET(IND!AG$25,$E51,0)</f>
        <v>0.73045449664429518</v>
      </c>
      <c r="AE51" s="133">
        <f ca="1">OFFSET(IND!AH$25,$E51,0)</f>
        <v>0.74909973154362408</v>
      </c>
      <c r="AF51" s="133">
        <f ca="1">OFFSET(IND!AI$25,$E51,0)</f>
        <v>0.76774496644295287</v>
      </c>
      <c r="AG51" s="133">
        <f ca="1">OFFSET(IND!AJ$25,$E51,0)</f>
        <v>0.78639020134228166</v>
      </c>
      <c r="AH51" s="133">
        <f ca="1">OFFSET(IND!AK$25,$E51,0)</f>
        <v>0.80503543624161045</v>
      </c>
      <c r="AI51" s="133">
        <f ca="1">OFFSET(IND!AL$25,$E51,0)</f>
        <v>0.82477744966442923</v>
      </c>
      <c r="AJ51" s="133">
        <f ca="1">OFFSET(IND!AM$25,$E51,0)</f>
        <v>0.88619704697986545</v>
      </c>
      <c r="AK51" s="133">
        <f ca="1">OFFSET(IND!AN$25,$E51,0)</f>
        <v>0.96735865771812057</v>
      </c>
      <c r="AL51" s="133">
        <f ca="1">OFFSET(IND!AO$25,$E51,0)</f>
        <v>1.1066495302013393</v>
      </c>
      <c r="AM51" s="133">
        <f ca="1">OFFSET(IND!AP$25,$E51,0)</f>
        <v>1.2492307382550316</v>
      </c>
      <c r="AQ51" s="4"/>
    </row>
    <row r="52" spans="1:43">
      <c r="A52" s="36" t="s">
        <v>352</v>
      </c>
      <c r="B52">
        <v>0.24189876324029999</v>
      </c>
      <c r="E52" s="136">
        <f ca="1">MATCH(F52,IND!$D$26:$D$255,0)</f>
        <v>209</v>
      </c>
      <c r="F52" s="4" t="str">
        <f t="shared" si="0"/>
        <v>IOTA</v>
      </c>
      <c r="G52" s="133">
        <f ca="1">OFFSET(IND!J$25,$E52,0)</f>
        <v>0.22789646617646991</v>
      </c>
      <c r="H52" s="133">
        <f ca="1">OFFSET(IND!K$25,$E52,0)</f>
        <v>0.23382854828968336</v>
      </c>
      <c r="I52" s="133">
        <f ca="1">OFFSET(IND!L$25,$E52,0)</f>
        <v>0.23771875548301416</v>
      </c>
      <c r="J52" s="133">
        <f ca="1">OFFSET(IND!M$25,$E52,0)</f>
        <v>0.12355272</v>
      </c>
      <c r="K52" s="133">
        <f ca="1">OFFSET(IND!N$25,$E52,0)</f>
        <v>0.12355272</v>
      </c>
      <c r="L52" s="133">
        <f ca="1">OFFSET(IND!O$25,$E52,0)</f>
        <v>0.12355272</v>
      </c>
      <c r="M52" s="133">
        <f ca="1">OFFSET(IND!P$25,$E52,0)</f>
        <v>0.12462904843905918</v>
      </c>
      <c r="N52" s="133">
        <f ca="1">OFFSET(IND!Q$25,$E52,0)</f>
        <v>0.12459480162508911</v>
      </c>
      <c r="O52" s="212">
        <f ca="1">OFFSET(IND!R$25,$E52,0)</f>
        <v>0.11264266354953673</v>
      </c>
      <c r="P52" s="133">
        <f ca="1">OFFSET(IND!S$25,$E52,0)</f>
        <v>0.11579826283677834</v>
      </c>
      <c r="Q52" s="133">
        <f ca="1">OFFSET(IND!T$25,$E52,0)</f>
        <v>0.11868478001425517</v>
      </c>
      <c r="R52" s="133">
        <f ca="1">OFFSET(IND!U$25,$E52,0)</f>
        <v>0.12149301875980044</v>
      </c>
      <c r="S52" s="133">
        <f ca="1">OFFSET(IND!V$25,$E52,0)</f>
        <v>0.12418383985744835</v>
      </c>
      <c r="T52" s="212">
        <f ca="1">OFFSET(IND!W$25,$E52,0)</f>
        <v>0.12701164821097652</v>
      </c>
      <c r="U52" s="133">
        <f ca="1">OFFSET(IND!X$25,$E52,0)</f>
        <v>0.13058799406985036</v>
      </c>
      <c r="V52" s="133">
        <f ca="1">OFFSET(IND!Y$25,$E52,0)</f>
        <v>0.13411541590876697</v>
      </c>
      <c r="W52" s="133">
        <f ca="1">OFFSET(IND!Z$25,$E52,0)</f>
        <v>0.13778471740555956</v>
      </c>
      <c r="X52" s="133">
        <f ca="1">OFFSET(IND!AA$25,$E52,0)</f>
        <v>0.14150294292230939</v>
      </c>
      <c r="Y52" s="214">
        <f ca="1">OFFSET(IND!AB$25,$E52,0)</f>
        <v>0.14531412407697794</v>
      </c>
      <c r="Z52" s="133">
        <f ca="1">OFFSET(IND!AC$25,$E52,0)</f>
        <v>0.14953137459729157</v>
      </c>
      <c r="AA52" s="133">
        <f ca="1">OFFSET(IND!AD$25,$E52,0)</f>
        <v>0.15357739104775489</v>
      </c>
      <c r="AB52" s="133">
        <f ca="1">OFFSET(IND!AE$25,$E52,0)</f>
        <v>0.15805393887384184</v>
      </c>
      <c r="AC52" s="133">
        <f ca="1">OFFSET(IND!AF$25,$E52,0)</f>
        <v>0.16285338523164652</v>
      </c>
      <c r="AD52" s="133">
        <f ca="1">OFFSET(IND!AG$25,$E52,0)</f>
        <v>0.16794148330719891</v>
      </c>
      <c r="AE52" s="133">
        <f ca="1">OFFSET(IND!AH$25,$E52,0)</f>
        <v>0.1732350622665717</v>
      </c>
      <c r="AF52" s="133">
        <f ca="1">OFFSET(IND!AI$25,$E52,0)</f>
        <v>0.1787194449037777</v>
      </c>
      <c r="AG52" s="133">
        <f ca="1">OFFSET(IND!AJ$25,$E52,0)</f>
        <v>0.18425764396293662</v>
      </c>
      <c r="AH52" s="133">
        <f ca="1">OFFSET(IND!AK$25,$E52,0)</f>
        <v>0.19000132390591598</v>
      </c>
      <c r="AI52" s="133">
        <f ca="1">OFFSET(IND!AL$25,$E52,0)</f>
        <v>0.19608257958660025</v>
      </c>
      <c r="AJ52" s="133">
        <f ca="1">OFFSET(IND!AM$25,$E52,0)</f>
        <v>0.22981569134711344</v>
      </c>
      <c r="AK52" s="133">
        <f ca="1">OFFSET(IND!AN$25,$E52,0)</f>
        <v>0.27236980390591603</v>
      </c>
      <c r="AL52" s="133">
        <f ca="1">OFFSET(IND!AO$25,$E52,0)</f>
        <v>0.34718686142551713</v>
      </c>
      <c r="AM52" s="133">
        <f ca="1">OFFSET(IND!AP$25,$E52,0)</f>
        <v>0.42347408574483131</v>
      </c>
      <c r="AQ52" s="4"/>
    </row>
    <row r="53" spans="1:43">
      <c r="A53" s="36" t="s">
        <v>353</v>
      </c>
      <c r="B53">
        <v>4.5502640185010002</v>
      </c>
      <c r="E53" s="136">
        <f ca="1">MATCH(F53,IND!$D$26:$D$255,0)</f>
        <v>211</v>
      </c>
      <c r="F53" s="4" t="str">
        <f t="shared" si="0"/>
        <v>IOTC</v>
      </c>
      <c r="G53" s="133">
        <f ca="1">OFFSET(IND!J$25,$E53,0)</f>
        <v>4.2868722274366169</v>
      </c>
      <c r="H53" s="133">
        <f ca="1">OFFSET(IND!K$25,$E53,0)</f>
        <v>4.3984583283036507</v>
      </c>
      <c r="I53" s="133">
        <f ca="1">OFFSET(IND!L$25,$E53,0)</f>
        <v>4.4716355102751804</v>
      </c>
      <c r="J53" s="133">
        <f ca="1">OFFSET(IND!M$25,$E53,0)</f>
        <v>2.3241024000000006</v>
      </c>
      <c r="K53" s="133">
        <f ca="1">OFFSET(IND!N$25,$E53,0)</f>
        <v>2.3241024000000006</v>
      </c>
      <c r="L53" s="133">
        <f ca="1">OFFSET(IND!O$25,$E53,0)</f>
        <v>2.3241024000000006</v>
      </c>
      <c r="M53" s="133">
        <f ca="1">OFFSET(IND!P$25,$E53,0)</f>
        <v>2.3443487977191744</v>
      </c>
      <c r="N53" s="133">
        <f ca="1">OFFSET(IND!Q$25,$E53,0)</f>
        <v>2.3437045941553825</v>
      </c>
      <c r="O53" s="212">
        <f ca="1">OFFSET(IND!R$25,$E53,0)</f>
        <v>2.1188775503920181</v>
      </c>
      <c r="P53" s="133">
        <f ca="1">OFFSET(IND!S$25,$E53,0)</f>
        <v>2.1782363073414119</v>
      </c>
      <c r="Q53" s="133">
        <f ca="1">OFFSET(IND!T$25,$E53,0)</f>
        <v>2.2325334648610125</v>
      </c>
      <c r="R53" s="133">
        <f ca="1">OFFSET(IND!U$25,$E53,0)</f>
        <v>2.2853581570919466</v>
      </c>
      <c r="S53" s="133">
        <f ca="1">OFFSET(IND!V$25,$E53,0)</f>
        <v>2.33597415138988</v>
      </c>
      <c r="T53" s="212">
        <f ca="1">OFFSET(IND!W$25,$E53,0)</f>
        <v>2.3891669599429806</v>
      </c>
      <c r="U53" s="133">
        <f ca="1">OFFSET(IND!X$25,$E53,0)</f>
        <v>2.4564402178189604</v>
      </c>
      <c r="V53" s="133">
        <f ca="1">OFFSET(IND!Y$25,$E53,0)</f>
        <v>2.5227931848895233</v>
      </c>
      <c r="W53" s="133">
        <f ca="1">OFFSET(IND!Z$25,$E53,0)</f>
        <v>2.5918149952957958</v>
      </c>
      <c r="X53" s="133">
        <f ca="1">OFFSET(IND!AA$25,$E53,0)</f>
        <v>2.6617570965074853</v>
      </c>
      <c r="Y53" s="214">
        <f ca="1">OFFSET(IND!AB$25,$E53,0)</f>
        <v>2.7334477502494665</v>
      </c>
      <c r="Z53" s="133">
        <f ca="1">OFFSET(IND!AC$25,$E53,0)</f>
        <v>2.8127768176764087</v>
      </c>
      <c r="AA53" s="133">
        <f ca="1">OFFSET(IND!AD$25,$E53,0)</f>
        <v>2.8888848672843919</v>
      </c>
      <c r="AB53" s="133">
        <f ca="1">OFFSET(IND!AE$25,$E53,0)</f>
        <v>2.973091475980044</v>
      </c>
      <c r="AC53" s="133">
        <f ca="1">OFFSET(IND!AF$25,$E53,0)</f>
        <v>3.0633720039914478</v>
      </c>
      <c r="AD53" s="133">
        <f ca="1">OFFSET(IND!AG$25,$E53,0)</f>
        <v>3.1590822477548119</v>
      </c>
      <c r="AE53" s="133">
        <f ca="1">OFFSET(IND!AH$25,$E53,0)</f>
        <v>3.2586577129009275</v>
      </c>
      <c r="AF53" s="133">
        <f ca="1">OFFSET(IND!AI$25,$E53,0)</f>
        <v>3.3618223121881696</v>
      </c>
      <c r="AG53" s="133">
        <f ca="1">OFFSET(IND!AJ$25,$E53,0)</f>
        <v>3.4659992313613697</v>
      </c>
      <c r="AH53" s="133">
        <f ca="1">OFFSET(IND!AK$25,$E53,0)</f>
        <v>3.5740413719173216</v>
      </c>
      <c r="AI53" s="133">
        <f ca="1">OFFSET(IND!AL$25,$E53,0)</f>
        <v>3.6884335190306508</v>
      </c>
      <c r="AJ53" s="133">
        <f ca="1">OFFSET(IND!AM$25,$E53,0)</f>
        <v>4.3229740293656471</v>
      </c>
      <c r="AK53" s="133">
        <f ca="1">OFFSET(IND!AN$25,$E53,0)</f>
        <v>5.1234429719173225</v>
      </c>
      <c r="AL53" s="133">
        <f ca="1">OFFSET(IND!AO$25,$E53,0)</f>
        <v>6.5307976861012191</v>
      </c>
      <c r="AM53" s="133">
        <f ca="1">OFFSET(IND!AP$25,$E53,0)</f>
        <v>7.9658071389878602</v>
      </c>
      <c r="AQ53" s="4"/>
    </row>
    <row r="54" spans="1:43">
      <c r="A54" s="36" t="s">
        <v>354</v>
      </c>
      <c r="B54">
        <v>0.43799389606880001</v>
      </c>
      <c r="E54" s="136">
        <f ca="1">MATCH(F54,IND!$D$26:$D$255,0)</f>
        <v>216</v>
      </c>
      <c r="F54" s="4" t="str">
        <f t="shared" si="0"/>
        <v>IOTE</v>
      </c>
      <c r="G54" s="133">
        <f ca="1">OFFSET(IND!J$25,$E54,0)</f>
        <v>0.41264064265496897</v>
      </c>
      <c r="H54" s="133">
        <f ca="1">OFFSET(IND!K$25,$E54,0)</f>
        <v>0.42338156469095606</v>
      </c>
      <c r="I54" s="133">
        <f ca="1">OFFSET(IND!L$25,$E54,0)</f>
        <v>0.43042536674391985</v>
      </c>
      <c r="J54" s="133">
        <f ca="1">OFFSET(IND!M$25,$E54,0)</f>
        <v>0.22371068160000002</v>
      </c>
      <c r="K54" s="133">
        <f ca="1">OFFSET(IND!N$25,$E54,0)</f>
        <v>0.22371068160000002</v>
      </c>
      <c r="L54" s="133">
        <f ca="1">OFFSET(IND!O$25,$E54,0)</f>
        <v>0.22371068160000002</v>
      </c>
      <c r="M54" s="133">
        <f ca="1">OFFSET(IND!P$25,$E54,0)</f>
        <v>0.22565953524504639</v>
      </c>
      <c r="N54" s="133">
        <f ca="1">OFFSET(IND!Q$25,$E54,0)</f>
        <v>0.22559752626543128</v>
      </c>
      <c r="O54" s="212">
        <f ca="1">OFFSET(IND!R$25,$E54,0)</f>
        <v>0.20395639237975771</v>
      </c>
      <c r="P54" s="133">
        <f ca="1">OFFSET(IND!S$25,$E54,0)</f>
        <v>0.20967007693000717</v>
      </c>
      <c r="Q54" s="133">
        <f ca="1">OFFSET(IND!T$25,$E54,0)</f>
        <v>0.21489654806899502</v>
      </c>
      <c r="R54" s="133">
        <f ca="1">OFFSET(IND!U$25,$E54,0)</f>
        <v>0.21998128439743411</v>
      </c>
      <c r="S54" s="133">
        <f ca="1">OFFSET(IND!V$25,$E54,0)</f>
        <v>0.22485341851004997</v>
      </c>
      <c r="T54" s="212">
        <f ca="1">OFFSET(IND!W$25,$E54,0)</f>
        <v>0.22997358854112623</v>
      </c>
      <c r="U54" s="133">
        <f ca="1">OFFSET(IND!X$25,$E54,0)</f>
        <v>0.23644909769807562</v>
      </c>
      <c r="V54" s="133">
        <f ca="1">OFFSET(IND!Y$25,$E54,0)</f>
        <v>0.24283602259843198</v>
      </c>
      <c r="W54" s="133">
        <f ca="1">OFFSET(IND!Z$25,$E54,0)</f>
        <v>0.24947984184290814</v>
      </c>
      <c r="X54" s="133">
        <f ca="1">OFFSET(IND!AA$25,$E54,0)</f>
        <v>0.2562122453439773</v>
      </c>
      <c r="Y54" s="214">
        <f ca="1">OFFSET(IND!AB$25,$E54,0)</f>
        <v>0.26311295893257314</v>
      </c>
      <c r="Z54" s="133">
        <f ca="1">OFFSET(IND!AC$25,$E54,0)</f>
        <v>0.27074892185089106</v>
      </c>
      <c r="AA54" s="133">
        <f ca="1">OFFSET(IND!AD$25,$E54,0)</f>
        <v>0.27807483987113346</v>
      </c>
      <c r="AB54" s="133">
        <f ca="1">OFFSET(IND!AE$25,$E54,0)</f>
        <v>0.28618029934939432</v>
      </c>
      <c r="AC54" s="133">
        <f ca="1">OFFSET(IND!AF$25,$E54,0)</f>
        <v>0.29487041492116906</v>
      </c>
      <c r="AD54" s="133">
        <f ca="1">OFFSET(IND!AG$25,$E54,0)</f>
        <v>0.30408317760684261</v>
      </c>
      <c r="AE54" s="133">
        <f ca="1">OFFSET(IND!AH$25,$E54,0)</f>
        <v>0.31366799417020685</v>
      </c>
      <c r="AF54" s="133">
        <f ca="1">OFFSET(IND!AI$25,$E54,0)</f>
        <v>0.32359828933428386</v>
      </c>
      <c r="AG54" s="133">
        <f ca="1">OFFSET(IND!AJ$25,$E54,0)</f>
        <v>0.33362602718061313</v>
      </c>
      <c r="AH54" s="133">
        <f ca="1">OFFSET(IND!AK$25,$E54,0)</f>
        <v>0.34402581890463313</v>
      </c>
      <c r="AI54" s="133">
        <f ca="1">OFFSET(IND!AL$25,$E54,0)</f>
        <v>0.35503684199914493</v>
      </c>
      <c r="AJ54" s="133">
        <f ca="1">OFFSET(IND!AM$25,$E54,0)</f>
        <v>0.41611568692002876</v>
      </c>
      <c r="AK54" s="133">
        <f ca="1">OFFSET(IND!AN$25,$E54,0)</f>
        <v>0.49316627330463325</v>
      </c>
      <c r="AL54" s="133">
        <f ca="1">OFFSET(IND!AO$25,$E54,0)</f>
        <v>0.62863374769950187</v>
      </c>
      <c r="AM54" s="133">
        <f ca="1">OFFSET(IND!AP$25,$E54,0)</f>
        <v>0.76676317900498725</v>
      </c>
      <c r="AQ54" s="4"/>
    </row>
    <row r="55" spans="1:43">
      <c r="A55" s="36" t="s">
        <v>355</v>
      </c>
      <c r="B55">
        <v>1.959977536374</v>
      </c>
      <c r="E55" s="136">
        <f ca="1">MATCH(F55,IND!$D$26:$D$255,0)</f>
        <v>214</v>
      </c>
      <c r="F55" s="4" t="str">
        <f t="shared" si="0"/>
        <v>IOTF</v>
      </c>
      <c r="G55" s="133">
        <f ca="1">OFFSET(IND!J$25,$E55,0)</f>
        <v>1.8465243407674456</v>
      </c>
      <c r="H55" s="133">
        <f ca="1">OFFSET(IND!K$25,$E55,0)</f>
        <v>1.8945888597012226</v>
      </c>
      <c r="I55" s="133">
        <f ca="1">OFFSET(IND!L$25,$E55,0)</f>
        <v>1.9261091478111381</v>
      </c>
      <c r="J55" s="133">
        <f ca="1">OFFSET(IND!M$25,$E55,0)</f>
        <v>1.0010822400000001</v>
      </c>
      <c r="K55" s="133">
        <f ca="1">OFFSET(IND!N$25,$E55,0)</f>
        <v>1.0010822400000001</v>
      </c>
      <c r="L55" s="133">
        <f ca="1">OFFSET(IND!O$25,$E55,0)</f>
        <v>1.0010822400000001</v>
      </c>
      <c r="M55" s="133">
        <f ca="1">OFFSET(IND!P$25,$E55,0)</f>
        <v>1.0098031591732006</v>
      </c>
      <c r="N55" s="133">
        <f ca="1">OFFSET(IND!Q$25,$E55,0)</f>
        <v>1.009525675381326</v>
      </c>
      <c r="O55" s="212">
        <f ca="1">OFFSET(IND!R$25,$E55,0)</f>
        <v>0.91268383201710646</v>
      </c>
      <c r="P55" s="133">
        <f ca="1">OFFSET(IND!S$25,$E55,0)</f>
        <v>0.93825198141126176</v>
      </c>
      <c r="Q55" s="133">
        <f ca="1">OFFSET(IND!T$25,$E55,0)</f>
        <v>0.96163990101211705</v>
      </c>
      <c r="R55" s="133">
        <f ca="1">OFFSET(IND!U$25,$E55,0)</f>
        <v>0.98439357194583066</v>
      </c>
      <c r="S55" s="133">
        <f ca="1">OFFSET(IND!V$25,$E55,0)</f>
        <v>1.0061958698788316</v>
      </c>
      <c r="T55" s="212">
        <f ca="1">OFFSET(IND!W$25,$E55,0)</f>
        <v>1.0291081029793305</v>
      </c>
      <c r="U55" s="133">
        <f ca="1">OFFSET(IND!X$25,$E55,0)</f>
        <v>1.0580853389593732</v>
      </c>
      <c r="V55" s="133">
        <f ca="1">OFFSET(IND!Y$25,$E55,0)</f>
        <v>1.0866661695224522</v>
      </c>
      <c r="W55" s="133">
        <f ca="1">OFFSET(IND!Z$25,$E55,0)</f>
        <v>1.1163965757947261</v>
      </c>
      <c r="X55" s="133">
        <f ca="1">OFFSET(IND!AA$25,$E55,0)</f>
        <v>1.1465233874839633</v>
      </c>
      <c r="Y55" s="214">
        <f ca="1">OFFSET(IND!AB$25,$E55,0)</f>
        <v>1.1774033694654316</v>
      </c>
      <c r="Z55" s="133">
        <f ca="1">OFFSET(IND!AC$25,$E55,0)</f>
        <v>1.2115735164076982</v>
      </c>
      <c r="AA55" s="133">
        <f ca="1">OFFSET(IND!AD$25,$E55,0)</f>
        <v>1.2443562443905922</v>
      </c>
      <c r="AB55" s="133">
        <f ca="1">OFFSET(IND!AE$25,$E55,0)</f>
        <v>1.2806273400427661</v>
      </c>
      <c r="AC55" s="133">
        <f ca="1">OFFSET(IND!AF$25,$E55,0)</f>
        <v>1.3195147114469001</v>
      </c>
      <c r="AD55" s="133">
        <f ca="1">OFFSET(IND!AG$25,$E55,0)</f>
        <v>1.3607408748111196</v>
      </c>
      <c r="AE55" s="133">
        <f ca="1">OFFSET(IND!AH$25,$E55,0)</f>
        <v>1.4036319409265865</v>
      </c>
      <c r="AF55" s="133">
        <f ca="1">OFFSET(IND!AI$25,$E55,0)</f>
        <v>1.4480689881682116</v>
      </c>
      <c r="AG55" s="133">
        <f ca="1">OFFSET(IND!AJ$25,$E55,0)</f>
        <v>1.4929420813684966</v>
      </c>
      <c r="AH55" s="133">
        <f ca="1">OFFSET(IND!AK$25,$E55,0)</f>
        <v>1.5394800773200292</v>
      </c>
      <c r="AI55" s="133">
        <f ca="1">OFFSET(IND!AL$25,$E55,0)</f>
        <v>1.5887532706486109</v>
      </c>
      <c r="AJ55" s="133">
        <f ca="1">OFFSET(IND!AM$25,$E55,0)</f>
        <v>1.8620748056450473</v>
      </c>
      <c r="AK55" s="133">
        <f ca="1">OFFSET(IND!AN$25,$E55,0)</f>
        <v>2.2068682373200299</v>
      </c>
      <c r="AL55" s="133">
        <f ca="1">OFFSET(IND!AO$25,$E55,0)</f>
        <v>2.8130712212116928</v>
      </c>
      <c r="AM55" s="133">
        <f ca="1">OFFSET(IND!AP$25,$E55,0)</f>
        <v>3.4311861878830983</v>
      </c>
      <c r="AQ55" s="4"/>
    </row>
    <row r="56" spans="1:43">
      <c r="A56" s="36" t="s">
        <v>356</v>
      </c>
      <c r="B56">
        <v>3.382156358499</v>
      </c>
      <c r="E56" s="136">
        <f ca="1">MATCH(F56,IND!$D$26:$D$255,0)</f>
        <v>212</v>
      </c>
      <c r="F56" s="4" t="str">
        <f t="shared" si="0"/>
        <v>IOTH</v>
      </c>
      <c r="G56" s="133">
        <f ca="1">OFFSET(IND!J$25,$E56,0)</f>
        <v>3.1863804172999206</v>
      </c>
      <c r="H56" s="133">
        <f ca="1">OFFSET(IND!K$25,$E56,0)</f>
        <v>3.269321020094182</v>
      </c>
      <c r="I56" s="133">
        <f ca="1">OFFSET(IND!L$25,$E56,0)</f>
        <v>3.3237127367716583</v>
      </c>
      <c r="J56" s="133">
        <f ca="1">OFFSET(IND!M$25,$E56,0)</f>
        <v>1.7274772800000002</v>
      </c>
      <c r="K56" s="133">
        <f ca="1">OFFSET(IND!N$25,$E56,0)</f>
        <v>1.7274772800000002</v>
      </c>
      <c r="L56" s="133">
        <f ca="1">OFFSET(IND!O$25,$E56,0)</f>
        <v>1.7274772800000002</v>
      </c>
      <c r="M56" s="133">
        <f ca="1">OFFSET(IND!P$25,$E56,0)</f>
        <v>1.7425261832074133</v>
      </c>
      <c r="N56" s="133">
        <f ca="1">OFFSET(IND!Q$25,$E56,0)</f>
        <v>1.7420473544689956</v>
      </c>
      <c r="O56" s="212">
        <f ca="1">OFFSET(IND!R$25,$E56,0)</f>
        <v>1.5749361247612266</v>
      </c>
      <c r="P56" s="133">
        <f ca="1">OFFSET(IND!S$25,$E56,0)</f>
        <v>1.6190567728011409</v>
      </c>
      <c r="Q56" s="133">
        <f ca="1">OFFSET(IND!T$25,$E56,0)</f>
        <v>1.6594151950392022</v>
      </c>
      <c r="R56" s="133">
        <f ca="1">OFFSET(IND!U$25,$E56,0)</f>
        <v>1.6986791515894519</v>
      </c>
      <c r="S56" s="133">
        <f ca="1">OFFSET(IND!V$25,$E56,0)</f>
        <v>1.7363014096079838</v>
      </c>
      <c r="T56" s="212">
        <f ca="1">OFFSET(IND!W$25,$E56,0)</f>
        <v>1.7758389825801864</v>
      </c>
      <c r="U56" s="133">
        <f ca="1">OFFSET(IND!X$25,$E56,0)</f>
        <v>1.8258423836920894</v>
      </c>
      <c r="V56" s="133">
        <f ca="1">OFFSET(IND!Y$25,$E56,0)</f>
        <v>1.8751617437491099</v>
      </c>
      <c r="W56" s="133">
        <f ca="1">OFFSET(IND!Z$25,$E56,0)</f>
        <v>1.9264648228652896</v>
      </c>
      <c r="X56" s="133">
        <f ca="1">OFFSET(IND!AA$25,$E56,0)</f>
        <v>1.9784519430363516</v>
      </c>
      <c r="Y56" s="214">
        <f ca="1">OFFSET(IND!AB$25,$E56,0)</f>
        <v>2.0317387412116901</v>
      </c>
      <c r="Z56" s="133">
        <f ca="1">OFFSET(IND!AC$25,$E56,0)</f>
        <v>2.0907030801425526</v>
      </c>
      <c r="AA56" s="133">
        <f ca="1">OFFSET(IND!AD$25,$E56,0)</f>
        <v>2.1472732753813268</v>
      </c>
      <c r="AB56" s="133">
        <f ca="1">OFFSET(IND!AE$25,$E56,0)</f>
        <v>2.2098630319030659</v>
      </c>
      <c r="AC56" s="133">
        <f ca="1">OFFSET(IND!AF$25,$E56,0)</f>
        <v>2.2769674593870288</v>
      </c>
      <c r="AD56" s="133">
        <f ca="1">OFFSET(IND!AG$25,$E56,0)</f>
        <v>2.348107729094798</v>
      </c>
      <c r="AE56" s="133">
        <f ca="1">OFFSET(IND!AH$25,$E56,0)</f>
        <v>2.4221209712330736</v>
      </c>
      <c r="AF56" s="133">
        <f ca="1">OFFSET(IND!AI$25,$E56,0)</f>
        <v>2.4988019734853903</v>
      </c>
      <c r="AG56" s="133">
        <f ca="1">OFFSET(IND!AJ$25,$E56,0)</f>
        <v>2.5762354208980773</v>
      </c>
      <c r="AH56" s="133">
        <f ca="1">OFFSET(IND!AK$25,$E56,0)</f>
        <v>2.6565418407412706</v>
      </c>
      <c r="AI56" s="133">
        <f ca="1">OFFSET(IND!AL$25,$E56,0)</f>
        <v>2.7415681438631525</v>
      </c>
      <c r="AJ56" s="133">
        <f ca="1">OFFSET(IND!AM$25,$E56,0)</f>
        <v>3.2132144512045642</v>
      </c>
      <c r="AK56" s="133">
        <f ca="1">OFFSET(IND!AN$25,$E56,0)</f>
        <v>3.8081933607412717</v>
      </c>
      <c r="AL56" s="133">
        <f ca="1">OFFSET(IND!AO$25,$E56,0)</f>
        <v>4.8542631439201775</v>
      </c>
      <c r="AM56" s="133">
        <f ca="1">OFFSET(IND!AP$25,$E56,0)</f>
        <v>5.9208883607982736</v>
      </c>
      <c r="AQ56" s="4"/>
    </row>
    <row r="57" spans="1:43">
      <c r="A57" s="36" t="s">
        <v>357</v>
      </c>
      <c r="B57">
        <v>4.2714054259280001</v>
      </c>
      <c r="E57" s="136">
        <f ca="1">MATCH(F57,IND!$D$26:$D$255,0)</f>
        <v>208</v>
      </c>
      <c r="F57" s="4" t="str">
        <f t="shared" si="0"/>
        <v>IOTK</v>
      </c>
      <c r="G57" s="133">
        <f ca="1">OFFSET(IND!J$25,$E57,0)</f>
        <v>4.0241553496851505</v>
      </c>
      <c r="H57" s="133">
        <f ca="1">OFFSET(IND!K$25,$E57,0)</f>
        <v>4.1289030027364033</v>
      </c>
      <c r="I57" s="133">
        <f ca="1">OFFSET(IND!L$25,$E57,0)</f>
        <v>4.1975955908711562</v>
      </c>
      <c r="J57" s="133">
        <f ca="1">OFFSET(IND!M$25,$E57,0)</f>
        <v>2.1816720000000003</v>
      </c>
      <c r="K57" s="133">
        <f ca="1">OFFSET(IND!N$25,$E57,0)</f>
        <v>2.1816720000000003</v>
      </c>
      <c r="L57" s="133">
        <f ca="1">OFFSET(IND!O$25,$E57,0)</f>
        <v>2.1816720000000003</v>
      </c>
      <c r="M57" s="133">
        <f ca="1">OFFSET(IND!P$25,$E57,0)</f>
        <v>2.2006776165359949</v>
      </c>
      <c r="N57" s="133">
        <f ca="1">OFFSET(IND!Q$25,$E57,0)</f>
        <v>2.2000728923734858</v>
      </c>
      <c r="O57" s="212">
        <f ca="1">OFFSET(IND!R$25,$E57,0)</f>
        <v>1.9890241596578764</v>
      </c>
      <c r="P57" s="133">
        <f ca="1">OFFSET(IND!S$25,$E57,0)</f>
        <v>2.0447451717747684</v>
      </c>
      <c r="Q57" s="133">
        <f ca="1">OFFSET(IND!T$25,$E57,0)</f>
        <v>2.0957147797576621</v>
      </c>
      <c r="R57" s="133">
        <f ca="1">OFFSET(IND!U$25,$E57,0)</f>
        <v>2.1453021610833929</v>
      </c>
      <c r="S57" s="133">
        <f ca="1">OFFSET(IND!V$25,$E57,0)</f>
        <v>2.192816202423379</v>
      </c>
      <c r="T57" s="212">
        <f ca="1">OFFSET(IND!W$25,$E57,0)</f>
        <v>2.2427491404134003</v>
      </c>
      <c r="U57" s="133">
        <f ca="1">OFFSET(IND!X$25,$E57,0)</f>
        <v>2.3058996208125451</v>
      </c>
      <c r="V57" s="133">
        <f ca="1">OFFSET(IND!Y$25,$E57,0)</f>
        <v>2.3681862095509625</v>
      </c>
      <c r="W57" s="133">
        <f ca="1">OFFSET(IND!Z$25,$E57,0)</f>
        <v>2.4329780841054887</v>
      </c>
      <c r="X57" s="133">
        <f ca="1">OFFSET(IND!AA$25,$E57,0)</f>
        <v>2.4986338503207417</v>
      </c>
      <c r="Y57" s="214">
        <f ca="1">OFFSET(IND!AB$25,$E57,0)</f>
        <v>2.5659310106913757</v>
      </c>
      <c r="Z57" s="133">
        <f ca="1">OFFSET(IND!AC$25,$E57,0)</f>
        <v>2.6403984718460443</v>
      </c>
      <c r="AA57" s="133">
        <f ca="1">OFFSET(IND!AD$25,$E57,0)</f>
        <v>2.7118423121881685</v>
      </c>
      <c r="AB57" s="133">
        <f ca="1">OFFSET(IND!AE$25,$E57,0)</f>
        <v>2.79088839914469</v>
      </c>
      <c r="AC57" s="133">
        <f ca="1">OFFSET(IND!AF$25,$E57,0)</f>
        <v>2.87563617106201</v>
      </c>
      <c r="AD57" s="133">
        <f ca="1">OFFSET(IND!AG$25,$E57,0)</f>
        <v>2.9654809037776193</v>
      </c>
      <c r="AE57" s="133">
        <f ca="1">OFFSET(IND!AH$25,$E57,0)</f>
        <v>3.0589539814682825</v>
      </c>
      <c r="AF57" s="133">
        <f ca="1">OFFSET(IND!AI$25,$E57,0)</f>
        <v>3.1557962366357808</v>
      </c>
      <c r="AG57" s="133">
        <f ca="1">OFFSET(IND!AJ$25,$E57,0)</f>
        <v>3.2535887726300783</v>
      </c>
      <c r="AH57" s="133">
        <f ca="1">OFFSET(IND!AK$25,$E57,0)</f>
        <v>3.35500965359943</v>
      </c>
      <c r="AI57" s="133">
        <f ca="1">OFFSET(IND!AL$25,$E57,0)</f>
        <v>3.462391387027798</v>
      </c>
      <c r="AJ57" s="133">
        <f ca="1">OFFSET(IND!AM$25,$E57,0)</f>
        <v>4.0580446870990743</v>
      </c>
      <c r="AK57" s="133">
        <f ca="1">OFFSET(IND!AN$25,$E57,0)</f>
        <v>4.8094576535994307</v>
      </c>
      <c r="AL57" s="133">
        <f ca="1">OFFSET(IND!AO$25,$E57,0)</f>
        <v>6.1305639757662203</v>
      </c>
      <c r="AM57" s="133">
        <f ca="1">OFFSET(IND!AP$25,$E57,0)</f>
        <v>7.477630242337824</v>
      </c>
      <c r="AQ57" s="4"/>
    </row>
    <row r="58" spans="1:43">
      <c r="A58" s="36" t="s">
        <v>358</v>
      </c>
      <c r="B58">
        <v>1.0716137343180001</v>
      </c>
      <c r="E58" s="136">
        <f ca="1">MATCH(F58,IND!$D$26:$D$255,0)</f>
        <v>210</v>
      </c>
      <c r="F58" s="4" t="str">
        <f t="shared" si="0"/>
        <v>IOTL</v>
      </c>
      <c r="G58" s="133">
        <f ca="1">OFFSET(IND!J$25,$E58,0)</f>
        <v>1.0095834302163471</v>
      </c>
      <c r="H58" s="133">
        <f ca="1">OFFSET(IND!K$25,$E58,0)</f>
        <v>1.0358626082512781</v>
      </c>
      <c r="I58" s="133">
        <f ca="1">OFFSET(IND!L$25,$E58,0)</f>
        <v>1.0530962617097481</v>
      </c>
      <c r="J58" s="133">
        <f ca="1">OFFSET(IND!M$25,$E58,0)</f>
        <v>0.54733968</v>
      </c>
      <c r="K58" s="133">
        <f ca="1">OFFSET(IND!N$25,$E58,0)</f>
        <v>0.54733968</v>
      </c>
      <c r="L58" s="133">
        <f ca="1">OFFSET(IND!O$25,$E58,0)</f>
        <v>0.54733968</v>
      </c>
      <c r="M58" s="133">
        <f ca="1">OFFSET(IND!P$25,$E58,0)</f>
        <v>0.55210782483250187</v>
      </c>
      <c r="N58" s="133">
        <f ca="1">OFFSET(IND!Q$25,$E58,0)</f>
        <v>0.55195611113328591</v>
      </c>
      <c r="O58" s="212">
        <f ca="1">OFFSET(IND!R$25,$E58,0)</f>
        <v>0.49900803010691386</v>
      </c>
      <c r="P58" s="133">
        <f ca="1">OFFSET(IND!S$25,$E58,0)</f>
        <v>0.5129873638203849</v>
      </c>
      <c r="Q58" s="133">
        <f ca="1">OFFSET(IND!T$25,$E58,0)</f>
        <v>0.52577466132573059</v>
      </c>
      <c r="R58" s="133">
        <f ca="1">OFFSET(IND!U$25,$E58,0)</f>
        <v>0.5382151846614398</v>
      </c>
      <c r="S58" s="133">
        <f ca="1">OFFSET(IND!V$25,$E58,0)</f>
        <v>0.55013554674269427</v>
      </c>
      <c r="T58" s="212">
        <f ca="1">OFFSET(IND!W$25,$E58,0)</f>
        <v>0.56266276362081258</v>
      </c>
      <c r="U58" s="133">
        <f ca="1">OFFSET(IND!X$25,$E58,0)</f>
        <v>0.5785060084960798</v>
      </c>
      <c r="V58" s="133">
        <f ca="1">OFFSET(IND!Y$25,$E58,0)</f>
        <v>0.5941325195153242</v>
      </c>
      <c r="W58" s="133">
        <f ca="1">OFFSET(IND!Z$25,$E58,0)</f>
        <v>0.61038755871703487</v>
      </c>
      <c r="X58" s="133">
        <f ca="1">OFFSET(IND!AA$25,$E58,0)</f>
        <v>0.62685933177476827</v>
      </c>
      <c r="Y58" s="214">
        <f ca="1">OFFSET(IND!AB$25,$E58,0)</f>
        <v>0.643742899158945</v>
      </c>
      <c r="Z58" s="133">
        <f ca="1">OFFSET(IND!AC$25,$E58,0)</f>
        <v>0.66242535754811105</v>
      </c>
      <c r="AA58" s="133">
        <f ca="1">OFFSET(IND!AD$25,$E58,0)</f>
        <v>0.6803492474411974</v>
      </c>
      <c r="AB58" s="133">
        <f ca="1">OFFSET(IND!AE$25,$E58,0)</f>
        <v>0.70018039526728437</v>
      </c>
      <c r="AC58" s="133">
        <f ca="1">OFFSET(IND!AF$25,$E58,0)</f>
        <v>0.72144198654312175</v>
      </c>
      <c r="AD58" s="133">
        <f ca="1">OFFSET(IND!AG$25,$E58,0)</f>
        <v>0.74398230756949379</v>
      </c>
      <c r="AE58" s="133">
        <f ca="1">OFFSET(IND!AH$25,$E58,0)</f>
        <v>0.76743291079116172</v>
      </c>
      <c r="AF58" s="133">
        <f ca="1">OFFSET(IND!AI$25,$E58,0)</f>
        <v>0.79172877605131853</v>
      </c>
      <c r="AG58" s="133">
        <f ca="1">OFFSET(IND!AJ$25,$E58,0)</f>
        <v>0.81626304855310039</v>
      </c>
      <c r="AH58" s="133">
        <f ca="1">OFFSET(IND!AK$25,$E58,0)</f>
        <v>0.84170760325017813</v>
      </c>
      <c r="AI58" s="133">
        <f ca="1">OFFSET(IND!AL$25,$E58,0)</f>
        <v>0.86864762155381325</v>
      </c>
      <c r="AJ58" s="133">
        <f ca="1">OFFSET(IND!AM$25,$E58,0)</f>
        <v>1.0180856152815396</v>
      </c>
      <c r="AK58" s="133">
        <f ca="1">OFFSET(IND!AN$25,$E58,0)</f>
        <v>1.2066007232501783</v>
      </c>
      <c r="AL58" s="133">
        <f ca="1">OFFSET(IND!AO$25,$E58,0)</f>
        <v>1.5380409725730588</v>
      </c>
      <c r="AM58" s="133">
        <f ca="1">OFFSET(IND!AP$25,$E58,0)</f>
        <v>1.8759940742694166</v>
      </c>
      <c r="AQ58" s="4"/>
    </row>
    <row r="59" spans="1:43">
      <c r="A59" s="36" t="s">
        <v>359</v>
      </c>
      <c r="B59">
        <v>13.06049710462</v>
      </c>
      <c r="E59" s="136">
        <f ca="1">MATCH(F59,IND!$D$26:$D$255,0)</f>
        <v>215</v>
      </c>
      <c r="F59" s="4" t="str">
        <f t="shared" si="0"/>
        <v>IOTO</v>
      </c>
      <c r="G59" s="133">
        <f ca="1">OFFSET(IND!J$25,$E59,0)</f>
        <v>12.304490923310874</v>
      </c>
      <c r="H59" s="133">
        <f ca="1">OFFSET(IND!K$25,$E59,0)</f>
        <v>12.624773425900665</v>
      </c>
      <c r="I59" s="133">
        <f ca="1">OFFSET(IND!L$25,$E59,0)</f>
        <v>12.834811869687117</v>
      </c>
      <c r="J59" s="133">
        <f ca="1">OFFSET(IND!M$25,$E59,0)</f>
        <v>6.6708069120000006</v>
      </c>
      <c r="K59" s="133">
        <f ca="1">OFFSET(IND!N$25,$E59,0)</f>
        <v>6.6708069120000006</v>
      </c>
      <c r="L59" s="133">
        <f ca="1">OFFSET(IND!O$25,$E59,0)</f>
        <v>6.6708069120000006</v>
      </c>
      <c r="M59" s="133">
        <f ca="1">OFFSET(IND!P$25,$E59,0)</f>
        <v>6.7289195880370656</v>
      </c>
      <c r="N59" s="133">
        <f ca="1">OFFSET(IND!Q$25,$E59,0)</f>
        <v>6.7270705483449769</v>
      </c>
      <c r="O59" s="212">
        <f ca="1">OFFSET(IND!R$25,$E59,0)</f>
        <v>6.0817556958061312</v>
      </c>
      <c r="P59" s="133">
        <f ca="1">OFFSET(IND!S$25,$E59,0)</f>
        <v>6.2521314960057026</v>
      </c>
      <c r="Q59" s="133">
        <f ca="1">OFFSET(IND!T$25,$E59,0)</f>
        <v>6.4079791271960085</v>
      </c>
      <c r="R59" s="133">
        <f ca="1">OFFSET(IND!U$25,$E59,0)</f>
        <v>6.5596003819472566</v>
      </c>
      <c r="S59" s="133">
        <f ca="1">OFFSET(IND!V$25,$E59,0)</f>
        <v>6.7048820720399158</v>
      </c>
      <c r="T59" s="212">
        <f ca="1">OFFSET(IND!W$25,$E59,0)</f>
        <v>6.8575599209009281</v>
      </c>
      <c r="U59" s="133">
        <f ca="1">OFFSET(IND!X$25,$E59,0)</f>
        <v>7.0506524944604427</v>
      </c>
      <c r="V59" s="133">
        <f ca="1">OFFSET(IND!Y$25,$E59,0)</f>
        <v>7.241103582745545</v>
      </c>
      <c r="W59" s="133">
        <f ca="1">OFFSET(IND!Z$25,$E59,0)</f>
        <v>7.4392149783264436</v>
      </c>
      <c r="X59" s="133">
        <f ca="1">OFFSET(IND!AA$25,$E59,0)</f>
        <v>7.6399678591817537</v>
      </c>
      <c r="Y59" s="214">
        <f ca="1">OFFSET(IND!AB$25,$E59,0)</f>
        <v>7.845739562058446</v>
      </c>
      <c r="Z59" s="133">
        <f ca="1">OFFSET(IND!AC$25,$E59,0)</f>
        <v>8.0734355927127588</v>
      </c>
      <c r="AA59" s="133">
        <f ca="1">OFFSET(IND!AD$25,$E59,0)</f>
        <v>8.2918864249066306</v>
      </c>
      <c r="AB59" s="133">
        <f ca="1">OFFSET(IND!AE$25,$E59,0)</f>
        <v>8.533582327515326</v>
      </c>
      <c r="AC59" s="133">
        <f ca="1">OFFSET(IND!AF$25,$E59,0)</f>
        <v>8.7927120329351407</v>
      </c>
      <c r="AD59" s="133">
        <f ca="1">OFFSET(IND!AG$25,$E59,0)</f>
        <v>9.0674265014739852</v>
      </c>
      <c r="AE59" s="133">
        <f ca="1">OFFSET(IND!AH$25,$E59,0)</f>
        <v>9.353235208165362</v>
      </c>
      <c r="AF59" s="133">
        <f ca="1">OFFSET(IND!AI$25,$E59,0)</f>
        <v>9.6493457074269458</v>
      </c>
      <c r="AG59" s="133">
        <f ca="1">OFFSET(IND!AJ$25,$E59,0)</f>
        <v>9.9483618404903797</v>
      </c>
      <c r="AH59" s="133">
        <f ca="1">OFFSET(IND!AK$25,$E59,0)</f>
        <v>10.258472211706346</v>
      </c>
      <c r="AI59" s="133">
        <f ca="1">OFFSET(IND!AL$25,$E59,0)</f>
        <v>10.586808831315755</v>
      </c>
      <c r="AJ59" s="133">
        <f ca="1">OFFSET(IND!AM$25,$E59,0)</f>
        <v>12.408112928022812</v>
      </c>
      <c r="AK59" s="133">
        <f ca="1">OFFSET(IND!AN$25,$E59,0)</f>
        <v>14.705676819706348</v>
      </c>
      <c r="AL59" s="133">
        <f ca="1">OFFSET(IND!AO$25,$E59,0)</f>
        <v>18.74516817560087</v>
      </c>
      <c r="AM59" s="133">
        <f ca="1">OFFSET(IND!AP$25,$E59,0)</f>
        <v>22.864036163991376</v>
      </c>
      <c r="AQ59" s="4"/>
    </row>
    <row r="60" spans="1:43">
      <c r="A60" s="36" t="s">
        <v>360</v>
      </c>
      <c r="B60">
        <v>4.6033799408959997</v>
      </c>
      <c r="E60" s="136">
        <f ca="1">MATCH(F60,IND!$D$26:$D$255,0)</f>
        <v>213</v>
      </c>
      <c r="F60" s="4" t="str">
        <f t="shared" si="0"/>
        <v>IOTP</v>
      </c>
      <c r="G60" s="133">
        <f ca="1">OFFSET(IND!J$25,$E60,0)</f>
        <v>4.3369135374845138</v>
      </c>
      <c r="H60" s="133">
        <f ca="1">OFFSET(IND!K$25,$E60,0)</f>
        <v>4.4498021998402679</v>
      </c>
      <c r="I60" s="133">
        <f ca="1">OFFSET(IND!L$25,$E60,0)</f>
        <v>4.5238335901616598</v>
      </c>
      <c r="J60" s="133">
        <f ca="1">OFFSET(IND!M$25,$E60,0)</f>
        <v>2.3512320000000004</v>
      </c>
      <c r="K60" s="133">
        <f ca="1">OFFSET(IND!N$25,$E60,0)</f>
        <v>2.3512320000000004</v>
      </c>
      <c r="L60" s="133">
        <f ca="1">OFFSET(IND!O$25,$E60,0)</f>
        <v>2.3512320000000004</v>
      </c>
      <c r="M60" s="133">
        <f ca="1">OFFSET(IND!P$25,$E60,0)</f>
        <v>2.3717147369921605</v>
      </c>
      <c r="N60" s="133">
        <f ca="1">OFFSET(IND!Q$25,$E60,0)</f>
        <v>2.3710630135424098</v>
      </c>
      <c r="O60" s="212">
        <f ca="1">OFFSET(IND!R$25,$E60,0)</f>
        <v>2.1436115295794731</v>
      </c>
      <c r="P60" s="133">
        <f ca="1">OFFSET(IND!S$25,$E60,0)</f>
        <v>2.2036631903064863</v>
      </c>
      <c r="Q60" s="133">
        <f ca="1">OFFSET(IND!T$25,$E60,0)</f>
        <v>2.2585941667854597</v>
      </c>
      <c r="R60" s="133">
        <f ca="1">OFFSET(IND!U$25,$E60,0)</f>
        <v>2.3120354896650039</v>
      </c>
      <c r="S60" s="133">
        <f ca="1">OFFSET(IND!V$25,$E60,0)</f>
        <v>2.3632423321454032</v>
      </c>
      <c r="T60" s="212">
        <f ca="1">OFFSET(IND!W$25,$E60,0)</f>
        <v>2.4170560684248046</v>
      </c>
      <c r="U60" s="133">
        <f ca="1">OFFSET(IND!X$25,$E60,0)</f>
        <v>2.4851146172487533</v>
      </c>
      <c r="V60" s="133">
        <f ca="1">OFFSET(IND!Y$25,$E60,0)</f>
        <v>2.552242132573058</v>
      </c>
      <c r="W60" s="133">
        <f ca="1">OFFSET(IND!Z$25,$E60,0)</f>
        <v>2.6220696450463299</v>
      </c>
      <c r="X60" s="133">
        <f ca="1">OFFSET(IND!AA$25,$E60,0)</f>
        <v>2.6928281910192449</v>
      </c>
      <c r="Y60" s="214">
        <f ca="1">OFFSET(IND!AB$25,$E60,0)</f>
        <v>2.7653557006414826</v>
      </c>
      <c r="Z60" s="133">
        <f ca="1">OFFSET(IND!AC$25,$E60,0)</f>
        <v>2.8456107883107631</v>
      </c>
      <c r="AA60" s="133">
        <f ca="1">OFFSET(IND!AD$25,$E60,0)</f>
        <v>2.9226072587312908</v>
      </c>
      <c r="AB60" s="133">
        <f ca="1">OFFSET(IND!AE$25,$E60,0)</f>
        <v>3.0077968239486821</v>
      </c>
      <c r="AC60" s="133">
        <f ca="1">OFFSET(IND!AF$25,$E60,0)</f>
        <v>3.099131210263721</v>
      </c>
      <c r="AD60" s="133">
        <f ca="1">OFFSET(IND!AG$25,$E60,0)</f>
        <v>3.1959586942266576</v>
      </c>
      <c r="AE60" s="133">
        <f ca="1">OFFSET(IND!AH$25,$E60,0)</f>
        <v>3.2966965188880977</v>
      </c>
      <c r="AF60" s="133">
        <f ca="1">OFFSET(IND!AI$25,$E60,0)</f>
        <v>3.401065374198148</v>
      </c>
      <c r="AG60" s="133">
        <f ca="1">OFFSET(IND!AJ$25,$E60,0)</f>
        <v>3.5064583663578057</v>
      </c>
      <c r="AH60" s="133">
        <f ca="1">OFFSET(IND!AK$25,$E60,0)</f>
        <v>3.6157616992159674</v>
      </c>
      <c r="AI60" s="133">
        <f ca="1">OFFSET(IND!AL$25,$E60,0)</f>
        <v>3.7314891632216698</v>
      </c>
      <c r="AJ60" s="133">
        <f ca="1">OFFSET(IND!AM$25,$E60,0)</f>
        <v>4.373436761225947</v>
      </c>
      <c r="AK60" s="133">
        <f ca="1">OFFSET(IND!AN$25,$E60,0)</f>
        <v>5.1832496992159687</v>
      </c>
      <c r="AL60" s="133">
        <f ca="1">OFFSET(IND!AO$25,$E60,0)</f>
        <v>6.6070326785459805</v>
      </c>
      <c r="AM60" s="133">
        <f ca="1">OFFSET(IND!AP$25,$E60,0)</f>
        <v>8.0587932145402483</v>
      </c>
      <c r="AQ60" s="4"/>
    </row>
    <row r="61" spans="1:43">
      <c r="A61" s="36" t="s">
        <v>361</v>
      </c>
      <c r="B61">
        <v>109.842732955</v>
      </c>
      <c r="E61" s="136">
        <f ca="1">MATCH(F61,IND!$D$26:$D$255,0)</f>
        <v>218</v>
      </c>
      <c r="F61" s="4" t="str">
        <f t="shared" si="0"/>
        <v>IOTS</v>
      </c>
      <c r="G61" s="133">
        <f ca="1">OFFSET(IND!J$25,$E61,0)</f>
        <v>73.690487252999532</v>
      </c>
      <c r="H61" s="133">
        <f ca="1">OFFSET(IND!K$25,$E61,0)</f>
        <v>75.608630296994804</v>
      </c>
      <c r="I61" s="133">
        <f ca="1">OFFSET(IND!L$25,$E61,0)</f>
        <v>76.866531608065117</v>
      </c>
      <c r="J61" s="133">
        <f ca="1">OFFSET(IND!M$25,$E61,0)</f>
        <v>61.561340800000004</v>
      </c>
      <c r="K61" s="133">
        <f ca="1">OFFSET(IND!N$25,$E61,0)</f>
        <v>61.561340800000004</v>
      </c>
      <c r="L61" s="133">
        <f ca="1">OFFSET(IND!O$25,$E61,0)</f>
        <v>61.561340800000004</v>
      </c>
      <c r="M61" s="133">
        <f ca="1">OFFSET(IND!P$25,$E61,0)</f>
        <v>62.097631881650443</v>
      </c>
      <c r="N61" s="133">
        <f ca="1">OFFSET(IND!Q$25,$E61,0)</f>
        <v>62.080568074507021</v>
      </c>
      <c r="O61" s="212">
        <f ca="1">OFFSET(IND!R$25,$E61,0)</f>
        <v>56.125299381452457</v>
      </c>
      <c r="P61" s="133">
        <f ca="1">OFFSET(IND!S$25,$E61,0)</f>
        <v>57.69760732538213</v>
      </c>
      <c r="Q61" s="133">
        <f ca="1">OFFSET(IND!T$25,$E61,0)</f>
        <v>59.135842498899194</v>
      </c>
      <c r="R61" s="133">
        <f ca="1">OFFSET(IND!U$25,$E61,0)</f>
        <v>60.535074684659875</v>
      </c>
      <c r="S61" s="133">
        <f ca="1">OFFSET(IND!V$25,$E61,0)</f>
        <v>61.875802388785964</v>
      </c>
      <c r="T61" s="212">
        <f ca="1">OFFSET(IND!W$25,$E61,0)</f>
        <v>63.284785321485735</v>
      </c>
      <c r="U61" s="133">
        <f ca="1">OFFSET(IND!X$25,$E61,0)</f>
        <v>65.066734324606031</v>
      </c>
      <c r="V61" s="133">
        <f ca="1">OFFSET(IND!Y$25,$E61,0)</f>
        <v>66.82430646037858</v>
      </c>
      <c r="W61" s="133">
        <f ca="1">OFFSET(IND!Z$25,$E61,0)</f>
        <v>68.652571511459598</v>
      </c>
      <c r="X61" s="133">
        <f ca="1">OFFSET(IND!AA$25,$E61,0)</f>
        <v>70.505213429888357</v>
      </c>
      <c r="Y61" s="214">
        <f ca="1">OFFSET(IND!AB$25,$E61,0)</f>
        <v>72.404171396277832</v>
      </c>
      <c r="Z61" s="133">
        <f ca="1">OFFSET(IND!AC$25,$E61,0)</f>
        <v>74.505457361653612</v>
      </c>
      <c r="AA61" s="133">
        <f ca="1">OFFSET(IND!AD$25,$E61,0)</f>
        <v>76.521424291312286</v>
      </c>
      <c r="AB61" s="133">
        <f ca="1">OFFSET(IND!AE$25,$E61,0)</f>
        <v>78.751907653631122</v>
      </c>
      <c r="AC61" s="133">
        <f ca="1">OFFSET(IND!AF$25,$E61,0)</f>
        <v>81.143278340445079</v>
      </c>
      <c r="AD61" s="133">
        <f ca="1">OFFSET(IND!AG$25,$E61,0)</f>
        <v>83.678472544610756</v>
      </c>
      <c r="AE61" s="133">
        <f ca="1">OFFSET(IND!AH$25,$E61,0)</f>
        <v>86.316049591636968</v>
      </c>
      <c r="AF61" s="133">
        <f ca="1">OFFSET(IND!AI$25,$E61,0)</f>
        <v>89.048696421319406</v>
      </c>
      <c r="AG61" s="133">
        <f ca="1">OFFSET(IND!AJ$25,$E61,0)</f>
        <v>91.808157805084349</v>
      </c>
      <c r="AH61" s="133">
        <f ca="1">OFFSET(IND!AK$25,$E61,0)</f>
        <v>94.670002031709842</v>
      </c>
      <c r="AI61" s="133">
        <f ca="1">OFFSET(IND!AL$25,$E61,0)</f>
        <v>97.700046643034796</v>
      </c>
      <c r="AJ61" s="133">
        <f ca="1">OFFSET(IND!AM$25,$E61,0)</f>
        <v>114.50789667930628</v>
      </c>
      <c r="AK61" s="133">
        <f ca="1">OFFSET(IND!AN$25,$E61,0)</f>
        <v>135.71089589837655</v>
      </c>
      <c r="AL61" s="133">
        <f ca="1">OFFSET(IND!AO$25,$E61,0)</f>
        <v>172.98922028991859</v>
      </c>
      <c r="AM61" s="133">
        <f ca="1">OFFSET(IND!AP$25,$E61,0)</f>
        <v>211.00006954525952</v>
      </c>
      <c r="AQ61" s="4"/>
    </row>
    <row r="62" spans="1:43">
      <c r="A62" s="36" t="s">
        <v>362</v>
      </c>
      <c r="B62">
        <v>9.3435013244270007</v>
      </c>
      <c r="E62" s="135">
        <f>MATCH(F62,RES!$D$96:$D$134,0)</f>
        <v>25</v>
      </c>
      <c r="F62" s="4" t="str">
        <f t="shared" si="0"/>
        <v>RHEH</v>
      </c>
      <c r="G62" s="133">
        <f ca="1">OFFSET(RES!J$95,$E62,0)</f>
        <v>7.0807191761646662</v>
      </c>
      <c r="H62" s="133">
        <f ca="1">OFFSET(RES!K$95,$E62,0)</f>
        <v>7.4891838053592767</v>
      </c>
      <c r="I62" s="133">
        <f ca="1">OFFSET(RES!L$95,$E62,0)</f>
        <v>7.8976484345538882</v>
      </c>
      <c r="J62" s="133">
        <f ca="1">OFFSET(RES!M$95,$E62,0)</f>
        <v>8.3061130637484997</v>
      </c>
      <c r="K62" s="133">
        <f ca="1">OFFSET(RES!N$95,$E62,0)</f>
        <v>8.7145776929431094</v>
      </c>
      <c r="L62" s="133">
        <f ca="1">OFFSET(RES!O$95,$E62,0)</f>
        <v>9.1230423221377208</v>
      </c>
      <c r="M62" s="133">
        <f ca="1">OFFSET(RES!P$95,$E62,0)</f>
        <v>9.41292926209006</v>
      </c>
      <c r="N62" s="133">
        <f ca="1">OFFSET(RES!Q$95,$E62,0)</f>
        <v>9.543519511892125</v>
      </c>
      <c r="O62" s="212">
        <f ca="1">OFFSET(RES!R$95,$E62,0)</f>
        <v>8.6551044363100207</v>
      </c>
      <c r="P62" s="133">
        <f ca="1">OFFSET(RES!S$95,$E62,0)</f>
        <v>8.8802862115961947</v>
      </c>
      <c r="Q62" s="133">
        <f ca="1">OFFSET(RES!T$95,$E62,0)</f>
        <v>9.1682348950488031</v>
      </c>
      <c r="R62" s="133">
        <f ca="1">OFFSET(RES!U$95,$E62,0)</f>
        <v>9.4761924218494276</v>
      </c>
      <c r="S62" s="133">
        <f ca="1">OFFSET(RES!V$95,$E62,0)</f>
        <v>9.773148390118175</v>
      </c>
      <c r="T62" s="212">
        <f ca="1">OFFSET(RES!W$95,$E62,0)</f>
        <v>10.060627656525307</v>
      </c>
      <c r="U62" s="133">
        <f ca="1">OFFSET(RES!X$95,$E62,0)</f>
        <v>10.44236544659563</v>
      </c>
      <c r="V62" s="133">
        <f ca="1">OFFSET(RES!Y$95,$E62,0)</f>
        <v>10.818786887030852</v>
      </c>
      <c r="W62" s="133">
        <f ca="1">OFFSET(RES!Z$95,$E62,0)</f>
        <v>11.210797818297163</v>
      </c>
      <c r="X62" s="133">
        <f ca="1">OFFSET(RES!AA$95,$E62,0)</f>
        <v>11.653873406669664</v>
      </c>
      <c r="Y62" s="214">
        <f ca="1">OFFSET(RES!AB$95,$E62,0)</f>
        <v>12.045050607283265</v>
      </c>
      <c r="Z62" s="133">
        <f ca="1">OFFSET(RES!AC$95,$E62,0)</f>
        <v>12.483625963807128</v>
      </c>
      <c r="AA62" s="133">
        <f ca="1">OFFSET(RES!AD$95,$E62,0)</f>
        <v>12.869723265205536</v>
      </c>
      <c r="AB62" s="133">
        <f ca="1">OFFSET(RES!AE$95,$E62,0)</f>
        <v>13.295156573378975</v>
      </c>
      <c r="AC62" s="133">
        <f ca="1">OFFSET(RES!AF$95,$E62,0)</f>
        <v>13.745803764886778</v>
      </c>
      <c r="AD62" s="133">
        <f ca="1">OFFSET(RES!AG$95,$E62,0)</f>
        <v>14.21978916542227</v>
      </c>
      <c r="AE62" s="133">
        <f ca="1">OFFSET(RES!AH$95,$E62,0)</f>
        <v>14.664121772556825</v>
      </c>
      <c r="AF62" s="133">
        <f ca="1">OFFSET(RES!AI$95,$E62,0)</f>
        <v>15.106483737047201</v>
      </c>
      <c r="AG62" s="133">
        <f ca="1">OFFSET(RES!AJ$95,$E62,0)</f>
        <v>15.531936805386175</v>
      </c>
      <c r="AH62" s="133">
        <f ca="1">OFFSET(RES!AK$95,$E62,0)</f>
        <v>15.957015915266654</v>
      </c>
      <c r="AI62" s="133">
        <f ca="1">OFFSET(RES!AL$95,$E62,0)</f>
        <v>16.389087563049603</v>
      </c>
      <c r="AJ62" s="133">
        <f ca="1">OFFSET(RES!AM$95,$E62,0)</f>
        <v>18.618230625956212</v>
      </c>
      <c r="AK62" s="133">
        <f ca="1">OFFSET(RES!AN$95,$E62,0)</f>
        <v>20.6367183009923</v>
      </c>
      <c r="AL62" s="133">
        <f ca="1">OFFSET(RES!AO$95,$E62,0)</f>
        <v>20.6367183009923</v>
      </c>
      <c r="AM62" s="133">
        <f ca="1">OFFSET(RES!AP$95,$E62,0)</f>
        <v>20.6367183009923</v>
      </c>
      <c r="AQ62" s="4"/>
    </row>
    <row r="63" spans="1:43">
      <c r="A63" s="36" t="s">
        <v>363</v>
      </c>
      <c r="B63">
        <v>3.5355599850489998</v>
      </c>
      <c r="E63" s="136">
        <f>MATCH(F63,RES!$D$96:$D$134,0)</f>
        <v>24</v>
      </c>
      <c r="F63" s="4" t="str">
        <f t="shared" si="0"/>
        <v>RHEK</v>
      </c>
      <c r="G63" s="133">
        <f ca="1">OFFSET(RES!J$95,$E63,0)</f>
        <v>3.8899651470038408</v>
      </c>
      <c r="H63" s="133">
        <f ca="1">OFFSET(RES!K$95,$E63,0)</f>
        <v>4.388697141528918</v>
      </c>
      <c r="I63" s="133">
        <f ca="1">OFFSET(RES!L$95,$E63,0)</f>
        <v>4.8874291360539948</v>
      </c>
      <c r="J63" s="133">
        <f ca="1">OFFSET(RES!M$95,$E63,0)</f>
        <v>5.3861611305790715</v>
      </c>
      <c r="K63" s="133">
        <f ca="1">OFFSET(RES!N$95,$E63,0)</f>
        <v>5.8848931251041492</v>
      </c>
      <c r="L63" s="133">
        <f ca="1">OFFSET(RES!O$95,$E63,0)</f>
        <v>6.383625119629226</v>
      </c>
      <c r="M63" s="133">
        <f ca="1">OFFSET(RES!P$95,$E63,0)</f>
        <v>6.5864663962987153</v>
      </c>
      <c r="N63" s="133">
        <f ca="1">OFFSET(RES!Q$95,$E63,0)</f>
        <v>6.6778437208335619</v>
      </c>
      <c r="O63" s="212">
        <f ca="1">OFFSET(RES!R$95,$E63,0)</f>
        <v>6.056197060335081</v>
      </c>
      <c r="P63" s="133">
        <f ca="1">OFFSET(RES!S$95,$E63,0)</f>
        <v>6.2137624849425475</v>
      </c>
      <c r="Q63" s="133">
        <f ca="1">OFFSET(RES!T$95,$E63,0)</f>
        <v>6.415247514162659</v>
      </c>
      <c r="R63" s="133">
        <f ca="1">OFFSET(RES!U$95,$E63,0)</f>
        <v>6.6307332407927975</v>
      </c>
      <c r="S63" s="133">
        <f ca="1">OFFSET(RES!V$95,$E63,0)</f>
        <v>6.8385208966567017</v>
      </c>
      <c r="T63" s="212">
        <f ca="1">OFFSET(RES!W$95,$E63,0)</f>
        <v>7.0396774628118326</v>
      </c>
      <c r="U63" s="133">
        <f ca="1">OFFSET(RES!X$95,$E63,0)</f>
        <v>7.3067891191823646</v>
      </c>
      <c r="V63" s="133">
        <f ca="1">OFFSET(RES!Y$95,$E63,0)</f>
        <v>7.5701807902807658</v>
      </c>
      <c r="W63" s="133">
        <f ca="1">OFFSET(RES!Z$95,$E63,0)</f>
        <v>7.8444808252513907</v>
      </c>
      <c r="X63" s="133">
        <f ca="1">OFFSET(RES!AA$95,$E63,0)</f>
        <v>8.1545121016563922</v>
      </c>
      <c r="Y63" s="214">
        <f ca="1">OFFSET(RES!AB$95,$E63,0)</f>
        <v>8.4282287540502718</v>
      </c>
      <c r="Z63" s="133">
        <f ca="1">OFFSET(RES!AC$95,$E63,0)</f>
        <v>8.735111103588693</v>
      </c>
      <c r="AA63" s="133">
        <f ca="1">OFFSET(RES!AD$95,$E63,0)</f>
        <v>9.0052732210927591</v>
      </c>
      <c r="AB63" s="133">
        <f ca="1">OFFSET(RES!AE$95,$E63,0)</f>
        <v>9.3029597446105576</v>
      </c>
      <c r="AC63" s="133">
        <f ca="1">OFFSET(RES!AF$95,$E63,0)</f>
        <v>9.6182890646137</v>
      </c>
      <c r="AD63" s="133">
        <f ca="1">OFFSET(RES!AG$95,$E63,0)</f>
        <v>9.9499487240075499</v>
      </c>
      <c r="AE63" s="133">
        <f ca="1">OFFSET(RES!AH$95,$E63,0)</f>
        <v>10.260859568462545</v>
      </c>
      <c r="AF63" s="133">
        <f ca="1">OFFSET(RES!AI$95,$E63,0)</f>
        <v>10.570391504057861</v>
      </c>
      <c r="AG63" s="133">
        <f ca="1">OFFSET(RES!AJ$95,$E63,0)</f>
        <v>10.86809185426687</v>
      </c>
      <c r="AH63" s="133">
        <f ca="1">OFFSET(RES!AK$95,$E63,0)</f>
        <v>11.165530536215988</v>
      </c>
      <c r="AI63" s="133">
        <f ca="1">OFFSET(RES!AL$95,$E63,0)</f>
        <v>11.467862075068318</v>
      </c>
      <c r="AJ63" s="133">
        <f ca="1">OFFSET(RES!AM$95,$E63,0)</f>
        <v>13.027650262950303</v>
      </c>
      <c r="AK63" s="133">
        <f ca="1">OFFSET(RES!AN$95,$E63,0)</f>
        <v>14.440037509555015</v>
      </c>
      <c r="AL63" s="133">
        <f ca="1">OFFSET(RES!AO$95,$E63,0)</f>
        <v>14.440037509555015</v>
      </c>
      <c r="AM63" s="133">
        <f ca="1">OFFSET(RES!AP$95,$E63,0)</f>
        <v>14.440037509555015</v>
      </c>
      <c r="AQ63" s="4"/>
    </row>
    <row r="64" spans="1:43">
      <c r="A64" s="36" t="s">
        <v>364</v>
      </c>
      <c r="B64">
        <v>27.200595464100001</v>
      </c>
      <c r="E64" s="136">
        <f>MATCH(F64,RES!$D$96:$D$134,0)</f>
        <v>23</v>
      </c>
      <c r="F64" s="4" t="str">
        <f t="shared" si="0"/>
        <v>RHEL</v>
      </c>
      <c r="G64" s="133">
        <f ca="1">OFFSET(RES!J$95,$E64,0)</f>
        <v>29.137979962225089</v>
      </c>
      <c r="H64" s="133">
        <f ca="1">OFFSET(RES!K$95,$E64,0)</f>
        <v>30.895416547805155</v>
      </c>
      <c r="I64" s="133">
        <f ca="1">OFFSET(RES!L$95,$E64,0)</f>
        <v>32.652853133385221</v>
      </c>
      <c r="J64" s="133">
        <f ca="1">OFFSET(RES!M$95,$E64,0)</f>
        <v>34.410289718965288</v>
      </c>
      <c r="K64" s="133">
        <f ca="1">OFFSET(RES!N$95,$E64,0)</f>
        <v>36.167726304545354</v>
      </c>
      <c r="L64" s="133">
        <f ca="1">OFFSET(RES!O$95,$E64,0)</f>
        <v>37.925162890125421</v>
      </c>
      <c r="M64" s="133">
        <f ca="1">OFFSET(RES!P$95,$E64,0)</f>
        <v>38.078510482314542</v>
      </c>
      <c r="N64" s="133">
        <f ca="1">OFFSET(RES!Q$95,$E64,0)</f>
        <v>38.606792599126273</v>
      </c>
      <c r="O64" s="212">
        <f ca="1">OFFSET(RES!R$95,$E64,0)</f>
        <v>35.012850498185863</v>
      </c>
      <c r="P64" s="133">
        <f ca="1">OFFSET(RES!S$95,$E64,0)</f>
        <v>35.923787609462615</v>
      </c>
      <c r="Q64" s="133">
        <f ca="1">OFFSET(RES!T$95,$E64,0)</f>
        <v>37.088638279846194</v>
      </c>
      <c r="R64" s="133">
        <f ca="1">OFFSET(RES!U$95,$E64,0)</f>
        <v>38.334431548431901</v>
      </c>
      <c r="S64" s="133">
        <f ca="1">OFFSET(RES!V$95,$E64,0)</f>
        <v>39.535719759111238</v>
      </c>
      <c r="T64" s="212">
        <f ca="1">OFFSET(RES!W$95,$E64,0)</f>
        <v>40.69867147738448</v>
      </c>
      <c r="U64" s="133">
        <f ca="1">OFFSET(RES!X$95,$E64,0)</f>
        <v>42.242931084139542</v>
      </c>
      <c r="V64" s="133">
        <f ca="1">OFFSET(RES!Y$95,$E64,0)</f>
        <v>43.765684242724085</v>
      </c>
      <c r="W64" s="133">
        <f ca="1">OFFSET(RES!Z$95,$E64,0)</f>
        <v>45.351502210731596</v>
      </c>
      <c r="X64" s="133">
        <f ca="1">OFFSET(RES!AA$95,$E64,0)</f>
        <v>47.143894139591559</v>
      </c>
      <c r="Y64" s="214">
        <f ca="1">OFFSET(RES!AB$95,$E64,0)</f>
        <v>48.726339382646543</v>
      </c>
      <c r="Z64" s="133">
        <f ca="1">OFFSET(RES!AC$95,$E64,0)</f>
        <v>50.500526338235183</v>
      </c>
      <c r="AA64" s="133">
        <f ca="1">OFFSET(RES!AD$95,$E64,0)</f>
        <v>52.062421655743201</v>
      </c>
      <c r="AB64" s="133">
        <f ca="1">OFFSET(RES!AE$95,$E64,0)</f>
        <v>53.783444541791219</v>
      </c>
      <c r="AC64" s="133">
        <f ca="1">OFFSET(RES!AF$95,$E64,0)</f>
        <v>55.606466188704701</v>
      </c>
      <c r="AD64" s="133">
        <f ca="1">OFFSET(RES!AG$95,$E64,0)</f>
        <v>57.52389885394787</v>
      </c>
      <c r="AE64" s="133">
        <f ca="1">OFFSET(RES!AH$95,$E64,0)</f>
        <v>59.32137585258522</v>
      </c>
      <c r="AF64" s="133">
        <f ca="1">OFFSET(RES!AI$95,$E64,0)</f>
        <v>61.110880929359148</v>
      </c>
      <c r="AG64" s="133">
        <f ca="1">OFFSET(RES!AJ$95,$E64,0)</f>
        <v>62.831983752018765</v>
      </c>
      <c r="AH64" s="133">
        <f ca="1">OFFSET(RES!AK$95,$E64,0)</f>
        <v>64.551573785122088</v>
      </c>
      <c r="AI64" s="133">
        <f ca="1">OFFSET(RES!AL$95,$E64,0)</f>
        <v>66.299451019839651</v>
      </c>
      <c r="AJ64" s="133">
        <f ca="1">OFFSET(RES!AM$95,$E64,0)</f>
        <v>75.317095275313491</v>
      </c>
      <c r="AK64" s="133">
        <f ca="1">OFFSET(RES!AN$95,$E64,0)</f>
        <v>83.48256661289561</v>
      </c>
      <c r="AL64" s="133">
        <f ca="1">OFFSET(RES!AO$95,$E64,0)</f>
        <v>83.48256661289561</v>
      </c>
      <c r="AM64" s="133">
        <f ca="1">OFFSET(RES!AP$95,$E64,0)</f>
        <v>83.48256661289561</v>
      </c>
      <c r="AQ64" s="4"/>
    </row>
    <row r="65" spans="1:39">
      <c r="A65" s="36" t="s">
        <v>365</v>
      </c>
      <c r="B65">
        <v>11.63227160329</v>
      </c>
      <c r="E65" s="136">
        <f>MATCH(F65,RES!$D$96:$D$134,0)</f>
        <v>29</v>
      </c>
      <c r="F65" s="4" t="str">
        <f t="shared" si="0"/>
        <v>RHEO</v>
      </c>
      <c r="G65" s="133">
        <f ca="1">OFFSET(RES!J$95,$E65,0)</f>
        <v>11.683546033026639</v>
      </c>
      <c r="H65" s="133">
        <f ca="1">OFFSET(RES!K$95,$E65,0)</f>
        <v>12.392028127426933</v>
      </c>
      <c r="I65" s="133">
        <f ca="1">OFFSET(RES!L$95,$E65,0)</f>
        <v>13.100510221827227</v>
      </c>
      <c r="J65" s="133">
        <f ca="1">OFFSET(RES!M$95,$E65,0)</f>
        <v>13.808992316227521</v>
      </c>
      <c r="K65" s="133">
        <f ca="1">OFFSET(RES!N$95,$E65,0)</f>
        <v>14.517474410627814</v>
      </c>
      <c r="L65" s="133">
        <f ca="1">OFFSET(RES!O$95,$E65,0)</f>
        <v>15.225956505028108</v>
      </c>
      <c r="M65" s="133">
        <f ca="1">OFFSET(RES!P$95,$E65,0)</f>
        <v>15.709765061783303</v>
      </c>
      <c r="N65" s="133">
        <f ca="1">OFFSET(RES!Q$95,$E65,0)</f>
        <v>15.927714446786384</v>
      </c>
      <c r="O65" s="212">
        <f ca="1">OFFSET(RES!R$95,$E65,0)</f>
        <v>14.444988748320618</v>
      </c>
      <c r="P65" s="133">
        <f ca="1">OFFSET(RES!S$95,$E65,0)</f>
        <v>14.820807230266331</v>
      </c>
      <c r="Q65" s="133">
        <f ca="1">OFFSET(RES!T$95,$E65,0)</f>
        <v>15.301380922146583</v>
      </c>
      <c r="R65" s="133">
        <f ca="1">OFFSET(RES!U$95,$E65,0)</f>
        <v>15.815348493806781</v>
      </c>
      <c r="S65" s="133">
        <f ca="1">OFFSET(RES!V$95,$E65,0)</f>
        <v>16.310954948004284</v>
      </c>
      <c r="T65" s="212">
        <f ca="1">OFFSET(RES!W$95,$E65,0)</f>
        <v>16.790745203475414</v>
      </c>
      <c r="U65" s="133">
        <f ca="1">OFFSET(RES!X$95,$E65,0)</f>
        <v>17.427848790491808</v>
      </c>
      <c r="V65" s="133">
        <f ca="1">OFFSET(RES!Y$95,$E65,0)</f>
        <v>18.056079623721541</v>
      </c>
      <c r="W65" s="133">
        <f ca="1">OFFSET(RES!Z$95,$E65,0)</f>
        <v>18.710328631694772</v>
      </c>
      <c r="X65" s="133">
        <f ca="1">OFFSET(RES!AA$95,$E65,0)</f>
        <v>19.449802307118723</v>
      </c>
      <c r="Y65" s="214">
        <f ca="1">OFFSET(RES!AB$95,$E65,0)</f>
        <v>20.102659855290845</v>
      </c>
      <c r="Z65" s="133">
        <f ca="1">OFFSET(RES!AC$95,$E65,0)</f>
        <v>20.834622841629901</v>
      </c>
      <c r="AA65" s="133">
        <f ca="1">OFFSET(RES!AD$95,$E65,0)</f>
        <v>21.479002261369718</v>
      </c>
      <c r="AB65" s="133">
        <f ca="1">OFFSET(RES!AE$95,$E65,0)</f>
        <v>22.189031746854024</v>
      </c>
      <c r="AC65" s="133">
        <f ca="1">OFFSET(RES!AF$95,$E65,0)</f>
        <v>22.941142094995332</v>
      </c>
      <c r="AD65" s="133">
        <f ca="1">OFFSET(RES!AG$95,$E65,0)</f>
        <v>23.732202887847233</v>
      </c>
      <c r="AE65" s="133">
        <f ca="1">OFFSET(RES!AH$95,$E65,0)</f>
        <v>24.473774472315256</v>
      </c>
      <c r="AF65" s="133">
        <f ca="1">OFFSET(RES!AI$95,$E65,0)</f>
        <v>25.212057140857233</v>
      </c>
      <c r="AG65" s="133">
        <f ca="1">OFFSET(RES!AJ$95,$E65,0)</f>
        <v>25.922119605188986</v>
      </c>
      <c r="AH65" s="133">
        <f ca="1">OFFSET(RES!AK$95,$E65,0)</f>
        <v>26.63155794929607</v>
      </c>
      <c r="AI65" s="133">
        <f ca="1">OFFSET(RES!AL$95,$E65,0)</f>
        <v>27.352666531707808</v>
      </c>
      <c r="AJ65" s="133">
        <f ca="1">OFFSET(RES!AM$95,$E65,0)</f>
        <v>31.073008290612208</v>
      </c>
      <c r="AK65" s="133">
        <f ca="1">OFFSET(RES!AN$95,$E65,0)</f>
        <v>34.441775469457575</v>
      </c>
      <c r="AL65" s="133">
        <f ca="1">OFFSET(RES!AO$95,$E65,0)</f>
        <v>34.441775469457575</v>
      </c>
      <c r="AM65" s="133">
        <f ca="1">OFFSET(RES!AP$95,$E65,0)</f>
        <v>34.441775469457575</v>
      </c>
    </row>
    <row r="66" spans="1:39">
      <c r="A66" s="36" t="s">
        <v>366</v>
      </c>
      <c r="B66">
        <v>4.337948126733</v>
      </c>
      <c r="E66" s="136">
        <f>MATCH(F66,RES!$D$96:$D$134,0)</f>
        <v>28</v>
      </c>
      <c r="F66" s="4" t="str">
        <f t="shared" si="0"/>
        <v>RHER</v>
      </c>
      <c r="G66" s="133">
        <f ca="1">OFFSET(RES!J$95,$E66,0)</f>
        <v>5.2199769796058071</v>
      </c>
      <c r="H66" s="133">
        <f ca="1">OFFSET(RES!K$95,$E66,0)</f>
        <v>5.5365127481796916</v>
      </c>
      <c r="I66" s="133">
        <f ca="1">OFFSET(RES!L$95,$E66,0)</f>
        <v>5.8530485167535753</v>
      </c>
      <c r="J66" s="133">
        <f ca="1">OFFSET(RES!M$95,$E66,0)</f>
        <v>6.1695842853274598</v>
      </c>
      <c r="K66" s="133">
        <f ca="1">OFFSET(RES!N$95,$E66,0)</f>
        <v>6.4861200539013435</v>
      </c>
      <c r="L66" s="133">
        <f ca="1">OFFSET(RES!O$95,$E66,0)</f>
        <v>6.802655822475228</v>
      </c>
      <c r="M66" s="133">
        <f ca="1">OFFSET(RES!P$95,$E66,0)</f>
        <v>7.0188119039987242</v>
      </c>
      <c r="N66" s="133">
        <f ca="1">OFFSET(RES!Q$95,$E66,0)</f>
        <v>7.1161873728178087</v>
      </c>
      <c r="O66" s="212">
        <f ca="1">OFFSET(RES!R$95,$E66,0)</f>
        <v>6.453734895532004</v>
      </c>
      <c r="P66" s="133">
        <f ca="1">OFFSET(RES!S$95,$E66,0)</f>
        <v>6.6216431503308106</v>
      </c>
      <c r="Q66" s="133">
        <f ca="1">OFFSET(RES!T$95,$E66,0)</f>
        <v>6.8363539582933859</v>
      </c>
      <c r="R66" s="133">
        <f ca="1">OFFSET(RES!U$95,$E66,0)</f>
        <v>7.0659844903892237</v>
      </c>
      <c r="S66" s="133">
        <f ca="1">OFFSET(RES!V$95,$E66,0)</f>
        <v>7.2874116388373098</v>
      </c>
      <c r="T66" s="212">
        <f ca="1">OFFSET(RES!W$95,$E66,0)</f>
        <v>7.5017724229279334</v>
      </c>
      <c r="U66" s="133">
        <f ca="1">OFFSET(RES!X$95,$E66,0)</f>
        <v>7.7864176880254456</v>
      </c>
      <c r="V66" s="133">
        <f ca="1">OFFSET(RES!Y$95,$E66,0)</f>
        <v>8.0670987824524136</v>
      </c>
      <c r="W66" s="133">
        <f ca="1">OFFSET(RES!Z$95,$E66,0)</f>
        <v>8.3594042820752446</v>
      </c>
      <c r="X66" s="133">
        <f ca="1">OFFSET(RES!AA$95,$E66,0)</f>
        <v>8.6897864752746479</v>
      </c>
      <c r="Y66" s="214">
        <f ca="1">OFFSET(RES!AB$95,$E66,0)</f>
        <v>8.9814702982156494</v>
      </c>
      <c r="Z66" s="133">
        <f ca="1">OFFSET(RES!AC$95,$E66,0)</f>
        <v>9.3084968642781103</v>
      </c>
      <c r="AA66" s="133">
        <f ca="1">OFFSET(RES!AD$95,$E66,0)</f>
        <v>9.5963928273414947</v>
      </c>
      <c r="AB66" s="133">
        <f ca="1">OFFSET(RES!AE$95,$E66,0)</f>
        <v>9.9136199396062548</v>
      </c>
      <c r="AC66" s="133">
        <f ca="1">OFFSET(RES!AF$95,$E66,0)</f>
        <v>10.24964794791153</v>
      </c>
      <c r="AD66" s="133">
        <f ca="1">OFFSET(RES!AG$95,$E66,0)</f>
        <v>10.603078243515538</v>
      </c>
      <c r="AE66" s="133">
        <f ca="1">OFFSET(RES!AH$95,$E66,0)</f>
        <v>10.934397740927583</v>
      </c>
      <c r="AF66" s="133">
        <f ca="1">OFFSET(RES!AI$95,$E66,0)</f>
        <v>11.264247815839534</v>
      </c>
      <c r="AG66" s="133">
        <f ca="1">OFFSET(RES!AJ$95,$E66,0)</f>
        <v>11.5814896624002</v>
      </c>
      <c r="AH66" s="133">
        <f ca="1">OFFSET(RES!AK$95,$E66,0)</f>
        <v>11.898452664404935</v>
      </c>
      <c r="AI66" s="133">
        <f ca="1">OFFSET(RES!AL$95,$E66,0)</f>
        <v>12.220629697759794</v>
      </c>
      <c r="AJ66" s="133">
        <f ca="1">OFFSET(RES!AM$95,$E66,0)</f>
        <v>13.88280471575956</v>
      </c>
      <c r="AK66" s="133">
        <f ca="1">OFFSET(RES!AN$95,$E66,0)</f>
        <v>15.387903174182719</v>
      </c>
      <c r="AL66" s="133">
        <f ca="1">OFFSET(RES!AO$95,$E66,0)</f>
        <v>15.387903174182719</v>
      </c>
      <c r="AM66" s="133">
        <f ca="1">OFFSET(RES!AP$95,$E66,0)</f>
        <v>15.387903174182719</v>
      </c>
    </row>
    <row r="67" spans="1:39">
      <c r="A67" s="36" t="s">
        <v>522</v>
      </c>
      <c r="B67">
        <v>25.581294669590001</v>
      </c>
      <c r="E67" s="136">
        <f>MATCH(F67,RES!$D$96:$D$134,0)</f>
        <v>26</v>
      </c>
      <c r="F67" s="4" t="str">
        <f t="shared" si="0"/>
        <v>RHEWG</v>
      </c>
      <c r="G67" s="133">
        <f ca="1">OFFSET(RES!J$95,$E67,0)</f>
        <v>31.723289073249305</v>
      </c>
      <c r="H67" s="133">
        <f ca="1">OFFSET(RES!K$95,$E67,0)</f>
        <v>33.216137308815547</v>
      </c>
      <c r="I67" s="133">
        <f ca="1">OFFSET(RES!L$95,$E67,0)</f>
        <v>34.708985544381797</v>
      </c>
      <c r="J67" s="133">
        <f ca="1">OFFSET(RES!M$95,$E67,0)</f>
        <v>36.201833779948039</v>
      </c>
      <c r="K67" s="133">
        <f ca="1">OFFSET(RES!N$95,$E67,0)</f>
        <v>37.694682015514289</v>
      </c>
      <c r="L67" s="133">
        <f ca="1">OFFSET(RES!O$95,$E67,0)</f>
        <v>39.187530251080531</v>
      </c>
      <c r="M67" s="133">
        <f ca="1">OFFSET(RES!P$95,$E67,0)</f>
        <v>40.43272377618451</v>
      </c>
      <c r="N67" s="133">
        <f ca="1">OFFSET(RES!Q$95,$E67,0)</f>
        <v>40.993667065047326</v>
      </c>
      <c r="O67" s="212">
        <f ca="1">OFFSET(RES!R$95,$E67,0)</f>
        <v>37.177528608097596</v>
      </c>
      <c r="P67" s="133">
        <f ca="1">OFFSET(RES!S$95,$E67,0)</f>
        <v>38.144784630752021</v>
      </c>
      <c r="Q67" s="133">
        <f ca="1">OFFSET(RES!T$95,$E67,0)</f>
        <v>39.381652480874394</v>
      </c>
      <c r="R67" s="133">
        <f ca="1">OFFSET(RES!U$95,$E67,0)</f>
        <v>40.704467225278606</v>
      </c>
      <c r="S67" s="133">
        <f ca="1">OFFSET(RES!V$95,$E67,0)</f>
        <v>41.980025375604455</v>
      </c>
      <c r="T67" s="212">
        <f ca="1">OFFSET(RES!W$95,$E67,0)</f>
        <v>43.214876870434324</v>
      </c>
      <c r="U67" s="133">
        <f ca="1">OFFSET(RES!X$95,$E67,0)</f>
        <v>44.854610707913238</v>
      </c>
      <c r="V67" s="133">
        <f ca="1">OFFSET(RES!Y$95,$E67,0)</f>
        <v>46.471508455763875</v>
      </c>
      <c r="W67" s="133">
        <f ca="1">OFFSET(RES!Z$95,$E67,0)</f>
        <v>48.155370010420476</v>
      </c>
      <c r="X67" s="133">
        <f ca="1">OFFSET(RES!AA$95,$E67,0)</f>
        <v>50.058577011963159</v>
      </c>
      <c r="Y67" s="214">
        <f ca="1">OFFSET(RES!AB$95,$E67,0)</f>
        <v>51.73885732211594</v>
      </c>
      <c r="Z67" s="133">
        <f ca="1">OFFSET(RES!AC$95,$E67,0)</f>
        <v>53.622733823428732</v>
      </c>
      <c r="AA67" s="133">
        <f ca="1">OFFSET(RES!AD$95,$E67,0)</f>
        <v>55.281193703823696</v>
      </c>
      <c r="AB67" s="133">
        <f ca="1">OFFSET(RES!AE$95,$E67,0)</f>
        <v>57.108619253895831</v>
      </c>
      <c r="AC67" s="133">
        <f ca="1">OFFSET(RES!AF$95,$E67,0)</f>
        <v>59.04434966335846</v>
      </c>
      <c r="AD67" s="133">
        <f ca="1">OFFSET(RES!AG$95,$E67,0)</f>
        <v>61.080328075623761</v>
      </c>
      <c r="AE67" s="133">
        <f ca="1">OFFSET(RES!AH$95,$E67,0)</f>
        <v>62.988934532635881</v>
      </c>
      <c r="AF67" s="133">
        <f ca="1">OFFSET(RES!AI$95,$E67,0)</f>
        <v>64.889076201750925</v>
      </c>
      <c r="AG67" s="133">
        <f ca="1">OFFSET(RES!AJ$95,$E67,0)</f>
        <v>66.716586630535375</v>
      </c>
      <c r="AH67" s="133">
        <f ca="1">OFFSET(RES!AK$95,$E67,0)</f>
        <v>68.542490741176437</v>
      </c>
      <c r="AI67" s="133">
        <f ca="1">OFFSET(RES!AL$95,$E67,0)</f>
        <v>70.398430916642056</v>
      </c>
      <c r="AJ67" s="133">
        <f ca="1">OFFSET(RES!AM$95,$E67,0)</f>
        <v>79.973593250337117</v>
      </c>
      <c r="AK67" s="133">
        <f ca="1">OFFSET(RES!AN$95,$E67,0)</f>
        <v>88.643896865499485</v>
      </c>
      <c r="AL67" s="133">
        <f ca="1">OFFSET(RES!AO$95,$E67,0)</f>
        <v>88.643896865499485</v>
      </c>
      <c r="AM67" s="133">
        <f ca="1">OFFSET(RES!AP$95,$E67,0)</f>
        <v>88.643896865499485</v>
      </c>
    </row>
    <row r="68" spans="1:39">
      <c r="A68" s="36" t="s">
        <v>367</v>
      </c>
      <c r="B68">
        <v>14.738241842140001</v>
      </c>
      <c r="E68" s="136">
        <f>MATCH(F68,RES!$D$96:$D$134,0)</f>
        <v>4</v>
      </c>
      <c r="F68" s="4" t="str">
        <f t="shared" si="0"/>
        <v>RLEH</v>
      </c>
      <c r="G68" s="133">
        <f ca="1">OFFSET(RES!J$95,$E68,0)</f>
        <v>14.600188686866282</v>
      </c>
      <c r="H68" s="133">
        <f ca="1">OFFSET(RES!K$95,$E68,0)</f>
        <v>13.692886342241749</v>
      </c>
      <c r="I68" s="133">
        <f ca="1">OFFSET(RES!L$95,$E68,0)</f>
        <v>12.785583997617215</v>
      </c>
      <c r="J68" s="133">
        <f ca="1">OFFSET(RES!M$95,$E68,0)</f>
        <v>11.878281652992682</v>
      </c>
      <c r="K68" s="133">
        <f ca="1">OFFSET(RES!N$95,$E68,0)</f>
        <v>10.970979308368147</v>
      </c>
      <c r="L68" s="133">
        <f ca="1">OFFSET(RES!O$95,$E68,0)</f>
        <v>10.063676963743614</v>
      </c>
      <c r="M68" s="133">
        <f ca="1">OFFSET(RES!P$95,$E68,0)</f>
        <v>10.080628902971545</v>
      </c>
      <c r="N68" s="133">
        <f ca="1">OFFSET(RES!Q$95,$E68,0)</f>
        <v>10.189589446832192</v>
      </c>
      <c r="O68" s="212">
        <f ca="1">OFFSET(RES!R$95,$E68,0)</f>
        <v>10.644059531156827</v>
      </c>
      <c r="P68" s="133">
        <f ca="1">OFFSET(RES!S$95,$E68,0)</f>
        <v>11.085427429392688</v>
      </c>
      <c r="Q68" s="133">
        <f ca="1">OFFSET(RES!T$95,$E68,0)</f>
        <v>11.065661024830042</v>
      </c>
      <c r="R68" s="133">
        <f ca="1">OFFSET(RES!U$95,$E68,0)</f>
        <v>11.046418830980667</v>
      </c>
      <c r="S68" s="133">
        <f ca="1">OFFSET(RES!V$95,$E68,0)</f>
        <v>11.024475875692893</v>
      </c>
      <c r="T68" s="212">
        <f ca="1">OFFSET(RES!W$95,$E68,0)</f>
        <v>11.011296676863951</v>
      </c>
      <c r="U68" s="133">
        <f ca="1">OFFSET(RES!X$95,$E68,0)</f>
        <v>10.938312616020591</v>
      </c>
      <c r="V68" s="133">
        <f ca="1">OFFSET(RES!Y$95,$E68,0)</f>
        <v>10.849411386198012</v>
      </c>
      <c r="W68" s="133">
        <f ca="1">OFFSET(RES!Z$95,$E68,0)</f>
        <v>10.758130820596381</v>
      </c>
      <c r="X68" s="133">
        <f ca="1">OFFSET(RES!AA$95,$E68,0)</f>
        <v>10.646853373864042</v>
      </c>
      <c r="Y68" s="214">
        <f ca="1">OFFSET(RES!AB$95,$E68,0)</f>
        <v>10.542959754669704</v>
      </c>
      <c r="Z68" s="133">
        <f ca="1">OFFSET(RES!AC$95,$E68,0)</f>
        <v>10.415858312705407</v>
      </c>
      <c r="AA68" s="133">
        <f ca="1">OFFSET(RES!AD$95,$E68,0)</f>
        <v>10.293095575117084</v>
      </c>
      <c r="AB68" s="133">
        <f ca="1">OFFSET(RES!AE$95,$E68,0)</f>
        <v>10.166298232773935</v>
      </c>
      <c r="AC68" s="133">
        <f ca="1">OFFSET(RES!AF$95,$E68,0)</f>
        <v>10.022051146301481</v>
      </c>
      <c r="AD68" s="133">
        <f ca="1">OFFSET(RES!AG$95,$E68,0)</f>
        <v>9.8655579337027302</v>
      </c>
      <c r="AE68" s="133">
        <f ca="1">OFFSET(RES!AH$95,$E68,0)</f>
        <v>9.6974691857798305</v>
      </c>
      <c r="AF68" s="133">
        <f ca="1">OFFSET(RES!AI$95,$E68,0)</f>
        <v>9.5366497343652945</v>
      </c>
      <c r="AG68" s="133">
        <f ca="1">OFFSET(RES!AJ$95,$E68,0)</f>
        <v>9.3825254699668026</v>
      </c>
      <c r="AH68" s="133">
        <f ca="1">OFFSET(RES!AK$95,$E68,0)</f>
        <v>9.23321297509289</v>
      </c>
      <c r="AI68" s="133">
        <f ca="1">OFFSET(RES!AL$95,$E68,0)</f>
        <v>9.0820370820681813</v>
      </c>
      <c r="AJ68" s="133">
        <f ca="1">OFFSET(RES!AM$95,$E68,0)</f>
        <v>8.2497906206572331</v>
      </c>
      <c r="AK68" s="133">
        <f ca="1">OFFSET(RES!AN$95,$E68,0)</f>
        <v>7.4187346746961911</v>
      </c>
      <c r="AL68" s="133">
        <f ca="1">OFFSET(RES!AO$95,$E68,0)</f>
        <v>7.4187346746961911</v>
      </c>
      <c r="AM68" s="133">
        <f ca="1">OFFSET(RES!AP$95,$E68,0)</f>
        <v>7.4187346746961911</v>
      </c>
    </row>
    <row r="69" spans="1:39">
      <c r="A69" s="36" t="s">
        <v>368</v>
      </c>
      <c r="B69">
        <v>8.0953817121640004</v>
      </c>
      <c r="E69" s="136">
        <f>MATCH(F69,RES!$D$96:$D$134,0)</f>
        <v>3</v>
      </c>
      <c r="F69" s="4" t="str">
        <f t="shared" ref="F69:F131" si="1">A69</f>
        <v>RLEK</v>
      </c>
      <c r="G69" s="133">
        <f ca="1">OFFSET(RES!J$95,$E69,0)</f>
        <v>10.053924891431189</v>
      </c>
      <c r="H69" s="133">
        <f ca="1">OFFSET(RES!K$95,$E69,0)</f>
        <v>10.118379478945931</v>
      </c>
      <c r="I69" s="133">
        <f ca="1">OFFSET(RES!L$95,$E69,0)</f>
        <v>10.182834066460671</v>
      </c>
      <c r="J69" s="133">
        <f ca="1">OFFSET(RES!M$95,$E69,0)</f>
        <v>10.247288653975414</v>
      </c>
      <c r="K69" s="133">
        <f ca="1">OFFSET(RES!N$95,$E69,0)</f>
        <v>10.311743241490154</v>
      </c>
      <c r="L69" s="133">
        <f ca="1">OFFSET(RES!O$95,$E69,0)</f>
        <v>10.376197829004896</v>
      </c>
      <c r="M69" s="133">
        <f ca="1">OFFSET(RES!P$95,$E69,0)</f>
        <v>10.393676199549578</v>
      </c>
      <c r="N69" s="133">
        <f ca="1">OFFSET(RES!Q$95,$E69,0)</f>
        <v>10.506020441393511</v>
      </c>
      <c r="O69" s="212">
        <f ca="1">OFFSET(RES!R$95,$E69,0)</f>
        <v>10.974603795102707</v>
      </c>
      <c r="P69" s="133">
        <f ca="1">OFFSET(RES!S$95,$E69,0)</f>
        <v>11.429678082956613</v>
      </c>
      <c r="Q69" s="133">
        <f ca="1">OFFSET(RES!T$95,$E69,0)</f>
        <v>11.409297845708432</v>
      </c>
      <c r="R69" s="133">
        <f ca="1">OFFSET(RES!U$95,$E69,0)</f>
        <v>11.389458098192241</v>
      </c>
      <c r="S69" s="133">
        <f ca="1">OFFSET(RES!V$95,$E69,0)</f>
        <v>11.36683371886854</v>
      </c>
      <c r="T69" s="212">
        <f ca="1">OFFSET(RES!W$95,$E69,0)</f>
        <v>11.353245248693121</v>
      </c>
      <c r="U69" s="133">
        <f ca="1">OFFSET(RES!X$95,$E69,0)</f>
        <v>11.27799471587066</v>
      </c>
      <c r="V69" s="133">
        <f ca="1">OFFSET(RES!Y$95,$E69,0)</f>
        <v>11.186332716861328</v>
      </c>
      <c r="W69" s="133">
        <f ca="1">OFFSET(RES!Z$95,$E69,0)</f>
        <v>11.092217493366153</v>
      </c>
      <c r="X69" s="133">
        <f ca="1">OFFSET(RES!AA$95,$E69,0)</f>
        <v>10.977484398756587</v>
      </c>
      <c r="Y69" s="214">
        <f ca="1">OFFSET(RES!AB$95,$E69,0)</f>
        <v>10.870364431589961</v>
      </c>
      <c r="Z69" s="133">
        <f ca="1">OFFSET(RES!AC$95,$E69,0)</f>
        <v>10.739315937990188</v>
      </c>
      <c r="AA69" s="133">
        <f ca="1">OFFSET(RES!AD$95,$E69,0)</f>
        <v>10.61274088437551</v>
      </c>
      <c r="AB69" s="133">
        <f ca="1">OFFSET(RES!AE$95,$E69,0)</f>
        <v>10.482005934010495</v>
      </c>
      <c r="AC69" s="133">
        <f ca="1">OFFSET(RES!AF$95,$E69,0)</f>
        <v>10.333279349195813</v>
      </c>
      <c r="AD69" s="133">
        <f ca="1">OFFSET(RES!AG$95,$E69,0)</f>
        <v>10.171926342867089</v>
      </c>
      <c r="AE69" s="133">
        <f ca="1">OFFSET(RES!AH$95,$E69,0)</f>
        <v>9.9986177094956794</v>
      </c>
      <c r="AF69" s="133">
        <f ca="1">OFFSET(RES!AI$95,$E69,0)</f>
        <v>9.8328041158518182</v>
      </c>
      <c r="AG69" s="133">
        <f ca="1">OFFSET(RES!AJ$95,$E69,0)</f>
        <v>9.6738936238507218</v>
      </c>
      <c r="AH69" s="133">
        <f ca="1">OFFSET(RES!AK$95,$E69,0)</f>
        <v>9.5199443277101903</v>
      </c>
      <c r="AI69" s="133">
        <f ca="1">OFFSET(RES!AL$95,$E69,0)</f>
        <v>9.3640737668155829</v>
      </c>
      <c r="AJ69" s="133">
        <f ca="1">OFFSET(RES!AM$95,$E69,0)</f>
        <v>8.5059824392421142</v>
      </c>
      <c r="AK69" s="133">
        <f ca="1">OFFSET(RES!AN$95,$E69,0)</f>
        <v>7.649118597792377</v>
      </c>
      <c r="AL69" s="133">
        <f ca="1">OFFSET(RES!AO$95,$E69,0)</f>
        <v>7.649118597792377</v>
      </c>
      <c r="AM69" s="133">
        <f ca="1">OFFSET(RES!AP$95,$E69,0)</f>
        <v>7.649118597792377</v>
      </c>
    </row>
    <row r="70" spans="1:39">
      <c r="A70" s="36" t="s">
        <v>369</v>
      </c>
      <c r="B70">
        <v>8.4652619723960001</v>
      </c>
      <c r="E70" s="136">
        <f>MATCH(F70,RES!$D$96:$D$134,0)</f>
        <v>1</v>
      </c>
      <c r="F70" s="4" t="str">
        <f t="shared" si="1"/>
        <v>RLEL</v>
      </c>
      <c r="G70" s="133">
        <f ca="1">OFFSET(RES!J$95,$E70,0)</f>
        <v>10.669591824450372</v>
      </c>
      <c r="H70" s="133">
        <f ca="1">OFFSET(RES!K$95,$E70,0)</f>
        <v>11.660595758588318</v>
      </c>
      <c r="I70" s="133">
        <f ca="1">OFFSET(RES!L$95,$E70,0)</f>
        <v>12.651599692726267</v>
      </c>
      <c r="J70" s="133">
        <f ca="1">OFFSET(RES!M$95,$E70,0)</f>
        <v>13.642603626864213</v>
      </c>
      <c r="K70" s="133">
        <f ca="1">OFFSET(RES!N$95,$E70,0)</f>
        <v>14.633607561002162</v>
      </c>
      <c r="L70" s="133">
        <f ca="1">OFFSET(RES!O$95,$E70,0)</f>
        <v>15.624611495140108</v>
      </c>
      <c r="M70" s="133">
        <f ca="1">OFFSET(RES!P$95,$E70,0)</f>
        <v>15.650930649210721</v>
      </c>
      <c r="N70" s="133">
        <f ca="1">OFFSET(RES!Q$95,$E70,0)</f>
        <v>15.820100046465347</v>
      </c>
      <c r="O70" s="212">
        <f ca="1">OFFSET(RES!R$95,$E70,0)</f>
        <v>16.525698857845963</v>
      </c>
      <c r="P70" s="133">
        <f ca="1">OFFSET(RES!S$95,$E70,0)</f>
        <v>17.210955544960104</v>
      </c>
      <c r="Q70" s="133">
        <f ca="1">OFFSET(RES!T$95,$E70,0)</f>
        <v>17.18026672286657</v>
      </c>
      <c r="R70" s="133">
        <f ca="1">OFFSET(RES!U$95,$E70,0)</f>
        <v>17.150391777129158</v>
      </c>
      <c r="S70" s="133">
        <f ca="1">OFFSET(RES!V$95,$E70,0)</f>
        <v>17.116323697175691</v>
      </c>
      <c r="T70" s="212">
        <f ca="1">OFFSET(RES!W$95,$E70,0)</f>
        <v>17.095862004867673</v>
      </c>
      <c r="U70" s="133">
        <f ca="1">OFFSET(RES!X$95,$E70,0)</f>
        <v>16.982548789417347</v>
      </c>
      <c r="V70" s="133">
        <f ca="1">OFFSET(RES!Y$95,$E70,0)</f>
        <v>16.844522978133632</v>
      </c>
      <c r="W70" s="133">
        <f ca="1">OFFSET(RES!Z$95,$E70,0)</f>
        <v>16.702803070020487</v>
      </c>
      <c r="X70" s="133">
        <f ca="1">OFFSET(RES!AA$95,$E70,0)</f>
        <v>16.530036507696611</v>
      </c>
      <c r="Y70" s="214">
        <f ca="1">OFFSET(RES!AB$95,$E70,0)</f>
        <v>16.368733890116197</v>
      </c>
      <c r="Z70" s="133">
        <f ca="1">OFFSET(RES!AC$95,$E70,0)</f>
        <v>16.171399391173228</v>
      </c>
      <c r="AA70" s="133">
        <f ca="1">OFFSET(RES!AD$95,$E70,0)</f>
        <v>15.980801055415059</v>
      </c>
      <c r="AB70" s="133">
        <f ca="1">OFFSET(RES!AE$95,$E70,0)</f>
        <v>15.783938693888006</v>
      </c>
      <c r="AC70" s="133">
        <f ca="1">OFFSET(RES!AF$95,$E70,0)</f>
        <v>15.559984298932985</v>
      </c>
      <c r="AD70" s="133">
        <f ca="1">OFFSET(RES!AG$95,$E70,0)</f>
        <v>15.317016876857439</v>
      </c>
      <c r="AE70" s="133">
        <f ca="1">OFFSET(RES!AH$95,$E70,0)</f>
        <v>15.056046518561789</v>
      </c>
      <c r="AF70" s="133">
        <f ca="1">OFFSET(RES!AI$95,$E70,0)</f>
        <v>14.806362287016366</v>
      </c>
      <c r="AG70" s="133">
        <f ca="1">OFFSET(RES!AJ$95,$E70,0)</f>
        <v>14.56707283427693</v>
      </c>
      <c r="AH70" s="133">
        <f ca="1">OFFSET(RES!AK$95,$E70,0)</f>
        <v>14.335254013762331</v>
      </c>
      <c r="AI70" s="133">
        <f ca="1">OFFSET(RES!AL$95,$E70,0)</f>
        <v>14.100542128190909</v>
      </c>
      <c r="AJ70" s="133">
        <f ca="1">OFFSET(RES!AM$95,$E70,0)</f>
        <v>12.808417224480371</v>
      </c>
      <c r="AK70" s="133">
        <f ca="1">OFFSET(RES!AN$95,$E70,0)</f>
        <v>11.518140685085456</v>
      </c>
      <c r="AL70" s="133">
        <f ca="1">OFFSET(RES!AO$95,$E70,0)</f>
        <v>11.518140685085456</v>
      </c>
      <c r="AM70" s="133">
        <f ca="1">OFFSET(RES!AP$95,$E70,0)</f>
        <v>11.518140685085456</v>
      </c>
    </row>
    <row r="71" spans="1:39">
      <c r="A71" s="36" t="s">
        <v>370</v>
      </c>
      <c r="B71">
        <v>1.2001829018570001</v>
      </c>
      <c r="E71" s="136">
        <f>MATCH(F71,RES!$D$96:$D$134,0)</f>
        <v>8</v>
      </c>
      <c r="F71" s="4" t="str">
        <f t="shared" si="1"/>
        <v>RLEO</v>
      </c>
      <c r="G71" s="133">
        <f ca="1">OFFSET(RES!J$95,$E71,0)</f>
        <v>1.7509162280520163</v>
      </c>
      <c r="H71" s="133">
        <f ca="1">OFFSET(RES!K$95,$E71,0)</f>
        <v>1.8325463231967081</v>
      </c>
      <c r="I71" s="133">
        <f ca="1">OFFSET(RES!L$95,$E71,0)</f>
        <v>1.9141764183413998</v>
      </c>
      <c r="J71" s="133">
        <f ca="1">OFFSET(RES!M$95,$E71,0)</f>
        <v>1.9958065134860918</v>
      </c>
      <c r="K71" s="133">
        <f ca="1">OFFSET(RES!N$95,$E71,0)</f>
        <v>2.0774366086307836</v>
      </c>
      <c r="L71" s="133">
        <f ca="1">OFFSET(RES!O$95,$E71,0)</f>
        <v>2.1590667037754754</v>
      </c>
      <c r="M71" s="133">
        <f ca="1">OFFSET(RES!P$95,$E71,0)</f>
        <v>2.1627035819943723</v>
      </c>
      <c r="N71" s="133">
        <f ca="1">OFFSET(RES!Q$95,$E71,0)</f>
        <v>2.1860800360600519</v>
      </c>
      <c r="O71" s="212">
        <f ca="1">OFFSET(RES!R$95,$E71,0)</f>
        <v>2.2835822939785477</v>
      </c>
      <c r="P71" s="133">
        <f ca="1">OFFSET(RES!S$95,$E71,0)</f>
        <v>2.3782736018006858</v>
      </c>
      <c r="Q71" s="133">
        <f ca="1">OFFSET(RES!T$95,$E71,0)</f>
        <v>2.3740329066652679</v>
      </c>
      <c r="R71" s="133">
        <f ca="1">OFFSET(RES!U$95,$E71,0)</f>
        <v>2.3699046759800568</v>
      </c>
      <c r="S71" s="133">
        <f ca="1">OFFSET(RES!V$95,$E71,0)</f>
        <v>2.3651970224737942</v>
      </c>
      <c r="T71" s="212">
        <f ca="1">OFFSET(RES!W$95,$E71,0)</f>
        <v>2.3623695500224708</v>
      </c>
      <c r="U71" s="133">
        <f ca="1">OFFSET(RES!X$95,$E71,0)</f>
        <v>2.3467115100991975</v>
      </c>
      <c r="V71" s="133">
        <f ca="1">OFFSET(RES!Y$95,$E71,0)</f>
        <v>2.3276385921263594</v>
      </c>
      <c r="W71" s="133">
        <f ca="1">OFFSET(RES!Z$95,$E71,0)</f>
        <v>2.3080552101674296</v>
      </c>
      <c r="X71" s="133">
        <f ca="1">OFFSET(RES!AA$95,$E71,0)</f>
        <v>2.2841816865054012</v>
      </c>
      <c r="Y71" s="214">
        <f ca="1">OFFSET(RES!AB$95,$E71,0)</f>
        <v>2.2618922932006122</v>
      </c>
      <c r="Z71" s="133">
        <f ca="1">OFFSET(RES!AC$95,$E71,0)</f>
        <v>2.2346238810351959</v>
      </c>
      <c r="AA71" s="133">
        <f ca="1">OFFSET(RES!AD$95,$E71,0)</f>
        <v>2.20828629685536</v>
      </c>
      <c r="AB71" s="133">
        <f ca="1">OFFSET(RES!AE$95,$E71,0)</f>
        <v>2.1810831263872896</v>
      </c>
      <c r="AC71" s="133">
        <f ca="1">OFFSET(RES!AF$95,$E71,0)</f>
        <v>2.1501362783672944</v>
      </c>
      <c r="AD71" s="133">
        <f ca="1">OFFSET(RES!AG$95,$E71,0)</f>
        <v>2.1165621398187207</v>
      </c>
      <c r="AE71" s="133">
        <f ca="1">OFFSET(RES!AH$95,$E71,0)</f>
        <v>2.0805002888444579</v>
      </c>
      <c r="AF71" s="133">
        <f ca="1">OFFSET(RES!AI$95,$E71,0)</f>
        <v>2.0459979966783348</v>
      </c>
      <c r="AG71" s="133">
        <f ca="1">OFFSET(RES!AJ$95,$E71,0)</f>
        <v>2.0129320935590753</v>
      </c>
      <c r="AH71" s="133">
        <f ca="1">OFFSET(RES!AK$95,$E71,0)</f>
        <v>1.9808985100784713</v>
      </c>
      <c r="AI71" s="133">
        <f ca="1">OFFSET(RES!AL$95,$E71,0)</f>
        <v>1.9484651521498446</v>
      </c>
      <c r="AJ71" s="133">
        <f ca="1">OFFSET(RES!AM$95,$E71,0)</f>
        <v>1.7699145457819196</v>
      </c>
      <c r="AK71" s="133">
        <f ca="1">OFFSET(RES!AN$95,$E71,0)</f>
        <v>1.5916193532431036</v>
      </c>
      <c r="AL71" s="133">
        <f ca="1">OFFSET(RES!AO$95,$E71,0)</f>
        <v>1.5916193532431036</v>
      </c>
      <c r="AM71" s="133">
        <f ca="1">OFFSET(RES!AP$95,$E71,0)</f>
        <v>1.5916193532431036</v>
      </c>
    </row>
    <row r="72" spans="1:39">
      <c r="A72" s="36" t="s">
        <v>371</v>
      </c>
      <c r="B72">
        <v>1.9088027674250001</v>
      </c>
      <c r="E72" s="136">
        <f>MATCH(F72,RES!$D$96:$D$134,0)</f>
        <v>7</v>
      </c>
      <c r="F72" s="4" t="str">
        <f t="shared" si="1"/>
        <v>RLER</v>
      </c>
      <c r="G72" s="133">
        <f ca="1">OFFSET(RES!J$95,$E72,0)</f>
        <v>1.2642587754949401</v>
      </c>
      <c r="H72" s="133">
        <f ca="1">OFFSET(RES!K$95,$E72,0)</f>
        <v>1.4308973056613448</v>
      </c>
      <c r="I72" s="133">
        <f ca="1">OFFSET(RES!L$95,$E72,0)</f>
        <v>1.5975358358277494</v>
      </c>
      <c r="J72" s="133">
        <f ca="1">OFFSET(RES!M$95,$E72,0)</f>
        <v>1.7641743659941542</v>
      </c>
      <c r="K72" s="133">
        <f ca="1">OFFSET(RES!N$95,$E72,0)</f>
        <v>1.9308128961605588</v>
      </c>
      <c r="L72" s="133">
        <f ca="1">OFFSET(RES!O$95,$E72,0)</f>
        <v>2.0974514263269635</v>
      </c>
      <c r="M72" s="133">
        <f ca="1">OFFSET(RES!P$95,$E72,0)</f>
        <v>2.1009845155984821</v>
      </c>
      <c r="N72" s="133">
        <f ca="1">OFFSET(RES!Q$95,$E72,0)</f>
        <v>2.1236938542385468</v>
      </c>
      <c r="O72" s="212">
        <f ca="1">OFFSET(RES!R$95,$E72,0)</f>
        <v>2.218413600313847</v>
      </c>
      <c r="P72" s="133">
        <f ca="1">OFFSET(RES!S$95,$E72,0)</f>
        <v>2.3104026149677286</v>
      </c>
      <c r="Q72" s="133">
        <f ca="1">OFFSET(RES!T$95,$E72,0)</f>
        <v>2.3062829404598282</v>
      </c>
      <c r="R72" s="133">
        <f ca="1">OFFSET(RES!U$95,$E72,0)</f>
        <v>2.3022725209004133</v>
      </c>
      <c r="S72" s="133">
        <f ca="1">OFFSET(RES!V$95,$E72,0)</f>
        <v>2.2976992140432895</v>
      </c>
      <c r="T72" s="212">
        <f ca="1">OFFSET(RES!W$95,$E72,0)</f>
        <v>2.2949524317805841</v>
      </c>
      <c r="U72" s="133">
        <f ca="1">OFFSET(RES!X$95,$E72,0)</f>
        <v>2.2797412397812242</v>
      </c>
      <c r="V72" s="133">
        <f ca="1">OFFSET(RES!Y$95,$E72,0)</f>
        <v>2.2612126232561343</v>
      </c>
      <c r="W72" s="133">
        <f ca="1">OFFSET(RES!Z$95,$E72,0)</f>
        <v>2.2421881103264338</v>
      </c>
      <c r="X72" s="133">
        <f ca="1">OFFSET(RES!AA$95,$E72,0)</f>
        <v>2.2189958874234499</v>
      </c>
      <c r="Y72" s="214">
        <f ca="1">OFFSET(RES!AB$95,$E72,0)</f>
        <v>2.1973425870889396</v>
      </c>
      <c r="Z72" s="133">
        <f ca="1">OFFSET(RES!AC$95,$E72,0)</f>
        <v>2.17085235874629</v>
      </c>
      <c r="AA72" s="133">
        <f ca="1">OFFSET(RES!AD$95,$E72,0)</f>
        <v>2.1452663944926593</v>
      </c>
      <c r="AB72" s="133">
        <f ca="1">OFFSET(RES!AE$95,$E72,0)</f>
        <v>2.1188395459848777</v>
      </c>
      <c r="AC72" s="133">
        <f ca="1">OFFSET(RES!AF$95,$E72,0)</f>
        <v>2.0887758567035979</v>
      </c>
      <c r="AD72" s="133">
        <f ca="1">OFFSET(RES!AG$95,$E72,0)</f>
        <v>2.056159854306236</v>
      </c>
      <c r="AE72" s="133">
        <f ca="1">OFFSET(RES!AH$95,$E72,0)</f>
        <v>2.0211271336266514</v>
      </c>
      <c r="AF72" s="133">
        <f ca="1">OFFSET(RES!AI$95,$E72,0)</f>
        <v>1.987609465187395</v>
      </c>
      <c r="AG72" s="133">
        <f ca="1">OFFSET(RES!AJ$95,$E72,0)</f>
        <v>1.955487194236246</v>
      </c>
      <c r="AH72" s="133">
        <f ca="1">OFFSET(RES!AK$95,$E72,0)</f>
        <v>1.9243677826662995</v>
      </c>
      <c r="AI72" s="133">
        <f ca="1">OFFSET(RES!AL$95,$E72,0)</f>
        <v>1.8928600053803943</v>
      </c>
      <c r="AJ72" s="133">
        <f ca="1">OFFSET(RES!AM$95,$E72,0)</f>
        <v>1.7194048623118301</v>
      </c>
      <c r="AK72" s="133">
        <f ca="1">OFFSET(RES!AN$95,$E72,0)</f>
        <v>1.5461978440924107</v>
      </c>
      <c r="AL72" s="133">
        <f ca="1">OFFSET(RES!AO$95,$E72,0)</f>
        <v>1.5461978440924107</v>
      </c>
      <c r="AM72" s="133">
        <f ca="1">OFFSET(RES!AP$95,$E72,0)</f>
        <v>1.5461978440924107</v>
      </c>
    </row>
    <row r="73" spans="1:39">
      <c r="A73" s="36" t="s">
        <v>372</v>
      </c>
      <c r="B73">
        <v>7.6914136780069997</v>
      </c>
      <c r="E73" s="136">
        <f>MATCH(F73,RES!$D$96:$D$134,0)</f>
        <v>6</v>
      </c>
      <c r="F73" s="4" t="str">
        <f t="shared" si="1"/>
        <v>RLEW</v>
      </c>
      <c r="G73" s="133">
        <f ca="1">OFFSET(RES!J$95,$E73,0)</f>
        <v>5.6486911771289003</v>
      </c>
      <c r="H73" s="133">
        <f ca="1">OFFSET(RES!K$95,$E73,0)</f>
        <v>5.7273475681852952</v>
      </c>
      <c r="I73" s="133">
        <f ca="1">OFFSET(RES!L$95,$E73,0)</f>
        <v>5.8060039592416901</v>
      </c>
      <c r="J73" s="133">
        <f ca="1">OFFSET(RES!M$95,$E73,0)</f>
        <v>5.8846603502980841</v>
      </c>
      <c r="K73" s="133">
        <f ca="1">OFFSET(RES!N$95,$E73,0)</f>
        <v>5.963316741354479</v>
      </c>
      <c r="L73" s="133">
        <f ca="1">OFFSET(RES!O$95,$E73,0)</f>
        <v>6.0419731324108739</v>
      </c>
      <c r="M73" s="133">
        <f ca="1">OFFSET(RES!P$95,$E73,0)</f>
        <v>6.0521506412604147</v>
      </c>
      <c r="N73" s="133">
        <f ca="1">OFFSET(RES!Q$95,$E73,0)</f>
        <v>6.1175677528062931</v>
      </c>
      <c r="O73" s="212">
        <f ca="1">OFFSET(RES!R$95,$E73,0)</f>
        <v>6.3904199169672244</v>
      </c>
      <c r="P73" s="133">
        <f ca="1">OFFSET(RES!S$95,$E73,0)</f>
        <v>6.6554058651705654</v>
      </c>
      <c r="Q73" s="133">
        <f ca="1">OFFSET(RES!T$95,$E73,0)</f>
        <v>6.6435386236322955</v>
      </c>
      <c r="R73" s="133">
        <f ca="1">OFFSET(RES!U$95,$E73,0)</f>
        <v>6.6319861047403021</v>
      </c>
      <c r="S73" s="133">
        <f ca="1">OFFSET(RES!V$95,$E73,0)</f>
        <v>6.6188121180580923</v>
      </c>
      <c r="T73" s="212">
        <f ca="1">OFFSET(RES!W$95,$E73,0)</f>
        <v>6.6108996656296171</v>
      </c>
      <c r="U73" s="133">
        <f ca="1">OFFSET(RES!X$95,$E73,0)</f>
        <v>6.5670819103202511</v>
      </c>
      <c r="V73" s="133">
        <f ca="1">OFFSET(RES!Y$95,$E73,0)</f>
        <v>6.5137078956374017</v>
      </c>
      <c r="W73" s="133">
        <f ca="1">OFFSET(RES!Z$95,$E73,0)</f>
        <v>6.4589053888733972</v>
      </c>
      <c r="X73" s="133">
        <f ca="1">OFFSET(RES!AA$95,$E73,0)</f>
        <v>6.3920972683601596</v>
      </c>
      <c r="Y73" s="214">
        <f ca="1">OFFSET(RES!AB$95,$E73,0)</f>
        <v>6.3297222082243252</v>
      </c>
      <c r="Z73" s="133">
        <f ca="1">OFFSET(RES!AC$95,$E73,0)</f>
        <v>6.2534137674620043</v>
      </c>
      <c r="AA73" s="133">
        <f ca="1">OFFSET(RES!AD$95,$E73,0)</f>
        <v>6.1797101733539987</v>
      </c>
      <c r="AB73" s="133">
        <f ca="1">OFFSET(RES!AE$95,$E73,0)</f>
        <v>6.1035843061924773</v>
      </c>
      <c r="AC73" s="133">
        <f ca="1">OFFSET(RES!AF$95,$E73,0)</f>
        <v>6.0169820609062858</v>
      </c>
      <c r="AD73" s="133">
        <f ca="1">OFFSET(RES!AG$95,$E73,0)</f>
        <v>5.9230275560734338</v>
      </c>
      <c r="AE73" s="133">
        <f ca="1">OFFSET(RES!AH$95,$E73,0)</f>
        <v>5.8221113896990957</v>
      </c>
      <c r="AF73" s="133">
        <f ca="1">OFFSET(RES!AI$95,$E73,0)</f>
        <v>5.7255595222140494</v>
      </c>
      <c r="AG73" s="133">
        <f ca="1">OFFSET(RES!AJ$95,$E73,0)</f>
        <v>5.6330272730268822</v>
      </c>
      <c r="AH73" s="133">
        <f ca="1">OFFSET(RES!AK$95,$E73,0)</f>
        <v>5.5433838866571126</v>
      </c>
      <c r="AI73" s="133">
        <f ca="1">OFFSET(RES!AL$95,$E73,0)</f>
        <v>5.452621763904741</v>
      </c>
      <c r="AJ73" s="133">
        <f ca="1">OFFSET(RES!AM$95,$E73,0)</f>
        <v>4.9529623672940568</v>
      </c>
      <c r="AK73" s="133">
        <f ca="1">OFFSET(RES!AN$95,$E73,0)</f>
        <v>4.4540177255774305</v>
      </c>
      <c r="AL73" s="133">
        <f ca="1">OFFSET(RES!AO$95,$E73,0)</f>
        <v>4.4540177255774305</v>
      </c>
      <c r="AM73" s="133">
        <f ca="1">OFFSET(RES!AP$95,$E73,0)</f>
        <v>4.4540177255774305</v>
      </c>
    </row>
    <row r="74" spans="1:39">
      <c r="A74" s="36" t="s">
        <v>373</v>
      </c>
      <c r="B74">
        <v>0.1043575899953</v>
      </c>
      <c r="E74" s="136">
        <f>MATCH(F74,RES!$D$96:$D$134,0)</f>
        <v>2</v>
      </c>
      <c r="F74" s="4" t="str">
        <f t="shared" si="1"/>
        <v>RLNL</v>
      </c>
      <c r="G74" s="133">
        <f ca="1">OFFSET(RES!J$95,$E74,0)</f>
        <v>4.742986727829742E-2</v>
      </c>
      <c r="H74" s="133">
        <f ca="1">OFFSET(RES!K$95,$E74,0)</f>
        <v>4.4891195588489731E-2</v>
      </c>
      <c r="I74" s="133">
        <f ca="1">OFFSET(RES!L$95,$E74,0)</f>
        <v>4.2352523898682035E-2</v>
      </c>
      <c r="J74" s="133">
        <f ca="1">OFFSET(RES!M$95,$E74,0)</f>
        <v>3.9813852208874345E-2</v>
      </c>
      <c r="K74" s="133">
        <f ca="1">OFFSET(RES!N$95,$E74,0)</f>
        <v>3.7275180519066656E-2</v>
      </c>
      <c r="L74" s="133">
        <f ca="1">OFFSET(RES!O$95,$E74,0)</f>
        <v>3.4736508829258959E-2</v>
      </c>
      <c r="M74" s="133">
        <f ca="1">OFFSET(RES!P$95,$E74,0)</f>
        <v>3.479502135790883E-2</v>
      </c>
      <c r="N74" s="133">
        <f ca="1">OFFSET(RES!Q$95,$E74,0)</f>
        <v>3.5171117382005394E-2</v>
      </c>
      <c r="O74" s="212">
        <f ca="1">OFFSET(RES!R$95,$E74,0)</f>
        <v>3.6739798904042664E-2</v>
      </c>
      <c r="P74" s="133">
        <f ca="1">OFFSET(RES!S$95,$E74,0)</f>
        <v>3.8263255981337223E-2</v>
      </c>
      <c r="Q74" s="133">
        <f ca="1">OFFSET(RES!T$95,$E74,0)</f>
        <v>3.8195028842381282E-2</v>
      </c>
      <c r="R74" s="133">
        <f ca="1">OFFSET(RES!U$95,$E74,0)</f>
        <v>3.8128611106701647E-2</v>
      </c>
      <c r="S74" s="133">
        <f ca="1">OFFSET(RES!V$95,$E74,0)</f>
        <v>3.805287122923541E-2</v>
      </c>
      <c r="T74" s="212">
        <f ca="1">OFFSET(RES!W$95,$E74,0)</f>
        <v>3.800738096179803E-2</v>
      </c>
      <c r="U74" s="133">
        <f ca="1">OFFSET(RES!X$95,$E74,0)</f>
        <v>3.7755463945481418E-2</v>
      </c>
      <c r="V74" s="133">
        <f ca="1">OFFSET(RES!Y$95,$E74,0)</f>
        <v>3.7448606087683564E-2</v>
      </c>
      <c r="W74" s="133">
        <f ca="1">OFFSET(RES!Z$95,$E74,0)</f>
        <v>3.7133535543946508E-2</v>
      </c>
      <c r="X74" s="133">
        <f ca="1">OFFSET(RES!AA$95,$E74,0)</f>
        <v>3.6749442331809323E-2</v>
      </c>
      <c r="Y74" s="214">
        <f ca="1">OFFSET(RES!AB$95,$E74,0)</f>
        <v>3.639083566811676E-2</v>
      </c>
      <c r="Z74" s="133">
        <f ca="1">OFFSET(RES!AC$95,$E74,0)</f>
        <v>3.59521232196836E-2</v>
      </c>
      <c r="AA74" s="133">
        <f ca="1">OFFSET(RES!AD$95,$E74,0)</f>
        <v>3.5528386554297388E-2</v>
      </c>
      <c r="AB74" s="133">
        <f ca="1">OFFSET(RES!AE$95,$E74,0)</f>
        <v>3.5090723757916165E-2</v>
      </c>
      <c r="AC74" s="133">
        <f ca="1">OFFSET(RES!AF$95,$E74,0)</f>
        <v>3.4592830173802012E-2</v>
      </c>
      <c r="AD74" s="133">
        <f ca="1">OFFSET(RES!AG$95,$E74,0)</f>
        <v>3.4052666982878857E-2</v>
      </c>
      <c r="AE74" s="133">
        <f ca="1">OFFSET(RES!AH$95,$E74,0)</f>
        <v>3.3472479810997408E-2</v>
      </c>
      <c r="AF74" s="133">
        <f ca="1">OFFSET(RES!AI$95,$E74,0)</f>
        <v>3.2917383864048452E-2</v>
      </c>
      <c r="AG74" s="133">
        <f ca="1">OFFSET(RES!AJ$95,$E74,0)</f>
        <v>3.2385397504552896E-2</v>
      </c>
      <c r="AH74" s="133">
        <f ca="1">OFFSET(RES!AK$95,$E74,0)</f>
        <v>3.1870019793683188E-2</v>
      </c>
      <c r="AI74" s="133">
        <f ca="1">OFFSET(RES!AL$95,$E74,0)</f>
        <v>3.1348210244177291E-2</v>
      </c>
      <c r="AJ74" s="133">
        <f ca="1">OFFSET(RES!AM$95,$E74,0)</f>
        <v>2.8475568697844619E-2</v>
      </c>
      <c r="AK74" s="133">
        <f ca="1">OFFSET(RES!AN$95,$E74,0)</f>
        <v>2.5607036419981716E-2</v>
      </c>
      <c r="AL74" s="133">
        <f ca="1">OFFSET(RES!AO$95,$E74,0)</f>
        <v>2.5607036419981716E-2</v>
      </c>
      <c r="AM74" s="133">
        <f ca="1">OFFSET(RES!AP$95,$E74,0)</f>
        <v>2.5607036419981716E-2</v>
      </c>
    </row>
    <row r="75" spans="1:39">
      <c r="A75" s="36" t="s">
        <v>374</v>
      </c>
      <c r="B75">
        <v>12.72538201427</v>
      </c>
      <c r="E75" s="136">
        <f>MATCH(F75,RES!$D$96:$D$134,0)</f>
        <v>15</v>
      </c>
      <c r="F75" s="4" t="str">
        <f t="shared" si="1"/>
        <v>RMEH</v>
      </c>
      <c r="G75" s="133">
        <f ca="1">OFFSET(RES!J$95,$E75,0)</f>
        <v>13.160101387439708</v>
      </c>
      <c r="H75" s="133">
        <f ca="1">OFFSET(RES!K$95,$E75,0)</f>
        <v>13.113838780615991</v>
      </c>
      <c r="I75" s="133">
        <f ca="1">OFFSET(RES!L$95,$E75,0)</f>
        <v>13.067576173792274</v>
      </c>
      <c r="J75" s="133">
        <f ca="1">OFFSET(RES!M$95,$E75,0)</f>
        <v>13.021313566968555</v>
      </c>
      <c r="K75" s="133">
        <f ca="1">OFFSET(RES!N$95,$E75,0)</f>
        <v>12.975050960144838</v>
      </c>
      <c r="L75" s="133">
        <f ca="1">OFFSET(RES!O$95,$E75,0)</f>
        <v>12.928788353321121</v>
      </c>
      <c r="M75" s="133">
        <f ca="1">OFFSET(RES!P$95,$E75,0)</f>
        <v>13.411163030089014</v>
      </c>
      <c r="N75" s="133">
        <f ca="1">OFFSET(RES!Q$95,$E75,0)</f>
        <v>13.894866820448517</v>
      </c>
      <c r="O75" s="212">
        <f ca="1">OFFSET(RES!R$95,$E75,0)</f>
        <v>14.781792494833802</v>
      </c>
      <c r="P75" s="133">
        <f ca="1">OFFSET(RES!S$95,$E75,0)</f>
        <v>14.248584085968449</v>
      </c>
      <c r="Q75" s="133">
        <f ca="1">OFFSET(RES!T$95,$E75,0)</f>
        <v>14.594966465152295</v>
      </c>
      <c r="R75" s="133">
        <f ca="1">OFFSET(RES!U$95,$E75,0)</f>
        <v>14.927726726938845</v>
      </c>
      <c r="S75" s="133">
        <f ca="1">OFFSET(RES!V$95,$E75,0)</f>
        <v>15.287190648437972</v>
      </c>
      <c r="T75" s="212">
        <f ca="1">OFFSET(RES!W$95,$E75,0)</f>
        <v>15.648192862757272</v>
      </c>
      <c r="U75" s="133">
        <f ca="1">OFFSET(RES!X$95,$E75,0)</f>
        <v>15.957152518173768</v>
      </c>
      <c r="V75" s="133">
        <f ca="1">OFFSET(RES!Y$95,$E75,0)</f>
        <v>16.31290846278343</v>
      </c>
      <c r="W75" s="133">
        <f ca="1">OFFSET(RES!Z$95,$E75,0)</f>
        <v>16.664175434389712</v>
      </c>
      <c r="X75" s="133">
        <f ca="1">OFFSET(RES!AA$95,$E75,0)</f>
        <v>17.00875153582086</v>
      </c>
      <c r="Y75" s="214">
        <f ca="1">OFFSET(RES!AB$95,$E75,0)</f>
        <v>17.403735379432757</v>
      </c>
      <c r="Z75" s="133">
        <f ca="1">OFFSET(RES!AC$95,$E75,0)</f>
        <v>17.6399687276107</v>
      </c>
      <c r="AA75" s="133">
        <f ca="1">OFFSET(RES!AD$95,$E75,0)</f>
        <v>17.929897740675425</v>
      </c>
      <c r="AB75" s="133">
        <f ca="1">OFFSET(RES!AE$95,$E75,0)</f>
        <v>18.18812022410194</v>
      </c>
      <c r="AC75" s="133">
        <f ca="1">OFFSET(RES!AF$95,$E75,0)</f>
        <v>18.459365469620483</v>
      </c>
      <c r="AD75" s="133">
        <f ca="1">OFFSET(RES!AG$95,$E75,0)</f>
        <v>18.734612203502746</v>
      </c>
      <c r="AE75" s="133">
        <f ca="1">OFFSET(RES!AH$95,$E75,0)</f>
        <v>19.0043391777096</v>
      </c>
      <c r="AF75" s="133">
        <f ca="1">OFFSET(RES!AI$95,$E75,0)</f>
        <v>19.263682141922882</v>
      </c>
      <c r="AG75" s="133">
        <f ca="1">OFFSET(RES!AJ$95,$E75,0)</f>
        <v>19.530719383410521</v>
      </c>
      <c r="AH75" s="133">
        <f ca="1">OFFSET(RES!AK$95,$E75,0)</f>
        <v>19.790892568753215</v>
      </c>
      <c r="AI75" s="133">
        <f ca="1">OFFSET(RES!AL$95,$E75,0)</f>
        <v>20.050253214681604</v>
      </c>
      <c r="AJ75" s="133">
        <f ca="1">OFFSET(RES!AM$95,$E75,0)</f>
        <v>21.70602536320763</v>
      </c>
      <c r="AK75" s="133">
        <f ca="1">OFFSET(RES!AN$95,$E75,0)</f>
        <v>23.370845882238385</v>
      </c>
      <c r="AL75" s="133">
        <f ca="1">OFFSET(RES!AO$95,$E75,0)</f>
        <v>23.370845882238385</v>
      </c>
      <c r="AM75" s="133">
        <f ca="1">OFFSET(RES!AP$95,$E75,0)</f>
        <v>23.370845882238385</v>
      </c>
    </row>
    <row r="76" spans="1:39">
      <c r="A76" s="36" t="s">
        <v>375</v>
      </c>
      <c r="B76">
        <v>5.0035172999329998</v>
      </c>
      <c r="E76" s="136">
        <f>MATCH(F76,RES!$D$96:$D$134,0)</f>
        <v>14</v>
      </c>
      <c r="F76" s="4" t="str">
        <f t="shared" si="1"/>
        <v>RMEK</v>
      </c>
      <c r="G76" s="133">
        <f ca="1">OFFSET(RES!J$95,$E76,0)</f>
        <v>9.0435120774465076</v>
      </c>
      <c r="H76" s="133">
        <f ca="1">OFFSET(RES!K$95,$E76,0)</f>
        <v>8.9522489563431584</v>
      </c>
      <c r="I76" s="133">
        <f ca="1">OFFSET(RES!L$95,$E76,0)</f>
        <v>8.8609858352398092</v>
      </c>
      <c r="J76" s="133">
        <f ca="1">OFFSET(RES!M$95,$E76,0)</f>
        <v>8.7697227141364582</v>
      </c>
      <c r="K76" s="133">
        <f ca="1">OFFSET(RES!N$95,$E76,0)</f>
        <v>8.678459593033109</v>
      </c>
      <c r="L76" s="133">
        <f ca="1">OFFSET(RES!O$95,$E76,0)</f>
        <v>8.5871964719297598</v>
      </c>
      <c r="M76" s="133">
        <f ca="1">OFFSET(RES!P$95,$E76,0)</f>
        <v>8.907585823916131</v>
      </c>
      <c r="N76" s="133">
        <f ca="1">OFFSET(RES!Q$95,$E76,0)</f>
        <v>9.2288579623812321</v>
      </c>
      <c r="O76" s="212">
        <f ca="1">OFFSET(RES!R$95,$E76,0)</f>
        <v>9.817946809209543</v>
      </c>
      <c r="P76" s="133">
        <f ca="1">OFFSET(RES!S$95,$E76,0)</f>
        <v>9.4637941042319209</v>
      </c>
      <c r="Q76" s="133">
        <f ca="1">OFFSET(RES!T$95,$E76,0)</f>
        <v>9.693858474007305</v>
      </c>
      <c r="R76" s="133">
        <f ca="1">OFFSET(RES!U$95,$E76,0)</f>
        <v>9.9148751437772802</v>
      </c>
      <c r="S76" s="133">
        <f ca="1">OFFSET(RES!V$95,$E76,0)</f>
        <v>10.153628167968478</v>
      </c>
      <c r="T76" s="212">
        <f ca="1">OFFSET(RES!W$95,$E76,0)</f>
        <v>10.393402913787192</v>
      </c>
      <c r="U76" s="133">
        <f ca="1">OFFSET(RES!X$95,$E76,0)</f>
        <v>10.59861141364477</v>
      </c>
      <c r="V76" s="133">
        <f ca="1">OFFSET(RES!Y$95,$E76,0)</f>
        <v>10.834901629628961</v>
      </c>
      <c r="W76" s="133">
        <f ca="1">OFFSET(RES!Z$95,$E76,0)</f>
        <v>11.068210306115112</v>
      </c>
      <c r="X76" s="133">
        <f ca="1">OFFSET(RES!AA$95,$E76,0)</f>
        <v>11.29707496084208</v>
      </c>
      <c r="Y76" s="214">
        <f ca="1">OFFSET(RES!AB$95,$E76,0)</f>
        <v>11.559420029509095</v>
      </c>
      <c r="Z76" s="133">
        <f ca="1">OFFSET(RES!AC$95,$E76,0)</f>
        <v>11.716324305345948</v>
      </c>
      <c r="AA76" s="133">
        <f ca="1">OFFSET(RES!AD$95,$E76,0)</f>
        <v>11.908892806744609</v>
      </c>
      <c r="AB76" s="133">
        <f ca="1">OFFSET(RES!AE$95,$E76,0)</f>
        <v>12.080402088051972</v>
      </c>
      <c r="AC76" s="133">
        <f ca="1">OFFSET(RES!AF$95,$E76,0)</f>
        <v>12.260560982427116</v>
      </c>
      <c r="AD76" s="133">
        <f ca="1">OFFSET(RES!AG$95,$E76,0)</f>
        <v>12.443377632952361</v>
      </c>
      <c r="AE76" s="133">
        <f ca="1">OFFSET(RES!AH$95,$E76,0)</f>
        <v>12.622528103823701</v>
      </c>
      <c r="AF76" s="133">
        <f ca="1">OFFSET(RES!AI$95,$E76,0)</f>
        <v>12.794781599391213</v>
      </c>
      <c r="AG76" s="133">
        <f ca="1">OFFSET(RES!AJ$95,$E76,0)</f>
        <v>12.972145571583352</v>
      </c>
      <c r="AH76" s="133">
        <f ca="1">OFFSET(RES!AK$95,$E76,0)</f>
        <v>13.144950493298357</v>
      </c>
      <c r="AI76" s="133">
        <f ca="1">OFFSET(RES!AL$95,$E76,0)</f>
        <v>13.317215732917781</v>
      </c>
      <c r="AJ76" s="133">
        <f ca="1">OFFSET(RES!AM$95,$E76,0)</f>
        <v>14.416966178479823</v>
      </c>
      <c r="AK76" s="133">
        <f ca="1">OFFSET(RES!AN$95,$E76,0)</f>
        <v>15.522726478418896</v>
      </c>
      <c r="AL76" s="133">
        <f ca="1">OFFSET(RES!AO$95,$E76,0)</f>
        <v>15.522726478418896</v>
      </c>
      <c r="AM76" s="133">
        <f ca="1">OFFSET(RES!AP$95,$E76,0)</f>
        <v>15.522726478418896</v>
      </c>
    </row>
    <row r="77" spans="1:39">
      <c r="A77" s="36" t="s">
        <v>376</v>
      </c>
      <c r="B77">
        <v>15.793352715539999</v>
      </c>
      <c r="E77" s="136">
        <f>MATCH(F77,RES!$D$96:$D$134,0)</f>
        <v>12</v>
      </c>
      <c r="F77" s="4" t="str">
        <f t="shared" si="1"/>
        <v>RMEL</v>
      </c>
      <c r="G77" s="133">
        <f ca="1">OFFSET(RES!J$95,$E77,0)</f>
        <v>16.038929939348595</v>
      </c>
      <c r="H77" s="133">
        <f ca="1">OFFSET(RES!K$95,$E77,0)</f>
        <v>17.205067118497315</v>
      </c>
      <c r="I77" s="133">
        <f ca="1">OFFSET(RES!L$95,$E77,0)</f>
        <v>18.371204297646038</v>
      </c>
      <c r="J77" s="133">
        <f ca="1">OFFSET(RES!M$95,$E77,0)</f>
        <v>19.537341476794758</v>
      </c>
      <c r="K77" s="133">
        <f ca="1">OFFSET(RES!N$95,$E77,0)</f>
        <v>20.703478655943478</v>
      </c>
      <c r="L77" s="133">
        <f ca="1">OFFSET(RES!O$95,$E77,0)</f>
        <v>21.869615835092201</v>
      </c>
      <c r="M77" s="133">
        <f ca="1">OFFSET(RES!P$95,$E77,0)</f>
        <v>22.685573880130558</v>
      </c>
      <c r="N77" s="133">
        <f ca="1">OFFSET(RES!Q$95,$E77,0)</f>
        <v>23.503780179441115</v>
      </c>
      <c r="O77" s="212">
        <f ca="1">OFFSET(RES!R$95,$E77,0)</f>
        <v>25.004054083151797</v>
      </c>
      <c r="P77" s="133">
        <f ca="1">OFFSET(RES!S$95,$E77,0)</f>
        <v>24.102108537811457</v>
      </c>
      <c r="Q77" s="133">
        <f ca="1">OFFSET(RES!T$95,$E77,0)</f>
        <v>24.688029612376035</v>
      </c>
      <c r="R77" s="133">
        <f ca="1">OFFSET(RES!U$95,$E77,0)</f>
        <v>25.250908274442398</v>
      </c>
      <c r="S77" s="133">
        <f ca="1">OFFSET(RES!V$95,$E77,0)</f>
        <v>25.858957354907254</v>
      </c>
      <c r="T77" s="212">
        <f ca="1">OFFSET(RES!W$95,$E77,0)</f>
        <v>26.469608525537073</v>
      </c>
      <c r="U77" s="133">
        <f ca="1">OFFSET(RES!X$95,$E77,0)</f>
        <v>26.992227411997963</v>
      </c>
      <c r="V77" s="133">
        <f ca="1">OFFSET(RES!Y$95,$E77,0)</f>
        <v>27.594004285982066</v>
      </c>
      <c r="W77" s="133">
        <f ca="1">OFFSET(RES!Z$95,$E77,0)</f>
        <v>28.188187864106172</v>
      </c>
      <c r="X77" s="133">
        <f ca="1">OFFSET(RES!AA$95,$E77,0)</f>
        <v>28.771053540170644</v>
      </c>
      <c r="Y77" s="214">
        <f ca="1">OFFSET(RES!AB$95,$E77,0)</f>
        <v>29.439186135801027</v>
      </c>
      <c r="Z77" s="133">
        <f ca="1">OFFSET(RES!AC$95,$E77,0)</f>
        <v>29.838785265348392</v>
      </c>
      <c r="AA77" s="133">
        <f ca="1">OFFSET(RES!AD$95,$E77,0)</f>
        <v>30.329212980761046</v>
      </c>
      <c r="AB77" s="133">
        <f ca="1">OFFSET(RES!AE$95,$E77,0)</f>
        <v>30.766007702601371</v>
      </c>
      <c r="AC77" s="133">
        <f ca="1">OFFSET(RES!AF$95,$E77,0)</f>
        <v>31.224831001001334</v>
      </c>
      <c r="AD77" s="133">
        <f ca="1">OFFSET(RES!AG$95,$E77,0)</f>
        <v>31.6904229934886</v>
      </c>
      <c r="AE77" s="133">
        <f ca="1">OFFSET(RES!AH$95,$E77,0)</f>
        <v>32.146678068988422</v>
      </c>
      <c r="AF77" s="133">
        <f ca="1">OFFSET(RES!AI$95,$E77,0)</f>
        <v>32.585368133508013</v>
      </c>
      <c r="AG77" s="133">
        <f ca="1">OFFSET(RES!AJ$95,$E77,0)</f>
        <v>33.037073407459474</v>
      </c>
      <c r="AH77" s="133">
        <f ca="1">OFFSET(RES!AK$95,$E77,0)</f>
        <v>33.477167827643505</v>
      </c>
      <c r="AI77" s="133">
        <f ca="1">OFFSET(RES!AL$95,$E77,0)</f>
        <v>33.915887801564196</v>
      </c>
      <c r="AJ77" s="133">
        <f ca="1">OFFSET(RES!AM$95,$E77,0)</f>
        <v>36.716699432872829</v>
      </c>
      <c r="AK77" s="133">
        <f ca="1">OFFSET(RES!AN$95,$E77,0)</f>
        <v>39.532816782046446</v>
      </c>
      <c r="AL77" s="133">
        <f ca="1">OFFSET(RES!AO$95,$E77,0)</f>
        <v>39.532816782046446</v>
      </c>
      <c r="AM77" s="133">
        <f ca="1">OFFSET(RES!AP$95,$E77,0)</f>
        <v>39.532816782046446</v>
      </c>
    </row>
    <row r="78" spans="1:39">
      <c r="A78" s="36" t="s">
        <v>377</v>
      </c>
      <c r="B78">
        <v>8.1991938940679994</v>
      </c>
      <c r="E78" s="136">
        <f>MATCH(F78,RES!$D$96:$D$134,0)</f>
        <v>19</v>
      </c>
      <c r="F78" s="4" t="str">
        <f t="shared" si="1"/>
        <v>RMEO</v>
      </c>
      <c r="G78" s="133">
        <f ca="1">OFFSET(RES!J$95,$E78,0)</f>
        <v>6.1966615637186973</v>
      </c>
      <c r="H78" s="133">
        <f ca="1">OFFSET(RES!K$95,$E78,0)</f>
        <v>6.5664507313193043</v>
      </c>
      <c r="I78" s="133">
        <f ca="1">OFFSET(RES!L$95,$E78,0)</f>
        <v>6.9362398989199114</v>
      </c>
      <c r="J78" s="133">
        <f ca="1">OFFSET(RES!M$95,$E78,0)</f>
        <v>7.3060290665205176</v>
      </c>
      <c r="K78" s="133">
        <f ca="1">OFFSET(RES!N$95,$E78,0)</f>
        <v>7.6758182341211247</v>
      </c>
      <c r="L78" s="133">
        <f ca="1">OFFSET(RES!O$95,$E78,0)</f>
        <v>8.0456074017217318</v>
      </c>
      <c r="M78" s="133">
        <f ca="1">OFFSET(RES!P$95,$E78,0)</f>
        <v>8.3457899991737143</v>
      </c>
      <c r="N78" s="133">
        <f ca="1">OFFSET(RES!Q$95,$E78,0)</f>
        <v>8.6467997063175073</v>
      </c>
      <c r="O78" s="212">
        <f ca="1">OFFSET(RES!R$95,$E78,0)</f>
        <v>9.1987350907944485</v>
      </c>
      <c r="P78" s="133">
        <f ca="1">OFFSET(RES!S$95,$E78,0)</f>
        <v>8.8669185737481815</v>
      </c>
      <c r="Q78" s="133">
        <f ca="1">OFFSET(RES!T$95,$E78,0)</f>
        <v>9.0824729286983601</v>
      </c>
      <c r="R78" s="133">
        <f ca="1">OFFSET(RES!U$95,$E78,0)</f>
        <v>9.2895502163810075</v>
      </c>
      <c r="S78" s="133">
        <f ca="1">OFFSET(RES!V$95,$E78,0)</f>
        <v>9.5132452377882046</v>
      </c>
      <c r="T78" s="212">
        <f ca="1">OFFSET(RES!W$95,$E78,0)</f>
        <v>9.7378975414837168</v>
      </c>
      <c r="U78" s="133">
        <f ca="1">OFFSET(RES!X$95,$E78,0)</f>
        <v>9.9301636705687226</v>
      </c>
      <c r="V78" s="133">
        <f ca="1">OFFSET(RES!Y$95,$E78,0)</f>
        <v>10.151551211530576</v>
      </c>
      <c r="W78" s="133">
        <f ca="1">OFFSET(RES!Z$95,$E78,0)</f>
        <v>10.370145256811695</v>
      </c>
      <c r="X78" s="133">
        <f ca="1">OFFSET(RES!AA$95,$E78,0)</f>
        <v>10.584575561985552</v>
      </c>
      <c r="Y78" s="214">
        <f ca="1">OFFSET(RES!AB$95,$E78,0)</f>
        <v>10.830374692490155</v>
      </c>
      <c r="Z78" s="133">
        <f ca="1">OFFSET(RES!AC$95,$E78,0)</f>
        <v>10.977383114524207</v>
      </c>
      <c r="AA78" s="133">
        <f ca="1">OFFSET(RES!AD$95,$E78,0)</f>
        <v>11.157806441887921</v>
      </c>
      <c r="AB78" s="133">
        <f ca="1">OFFSET(RES!AE$95,$E78,0)</f>
        <v>11.318498740900894</v>
      </c>
      <c r="AC78" s="133">
        <f ca="1">OFFSET(RES!AF$95,$E78,0)</f>
        <v>11.487295127336074</v>
      </c>
      <c r="AD78" s="133">
        <f ca="1">OFFSET(RES!AG$95,$E78,0)</f>
        <v>11.658581646915769</v>
      </c>
      <c r="AE78" s="133">
        <f ca="1">OFFSET(RES!AH$95,$E78,0)</f>
        <v>11.826433210482065</v>
      </c>
      <c r="AF78" s="133">
        <f ca="1">OFFSET(RES!AI$95,$E78,0)</f>
        <v>11.987822786630772</v>
      </c>
      <c r="AG78" s="133">
        <f ca="1">OFFSET(RES!AJ$95,$E78,0)</f>
        <v>12.154000524863791</v>
      </c>
      <c r="AH78" s="133">
        <f ca="1">OFFSET(RES!AK$95,$E78,0)</f>
        <v>12.315906749060353</v>
      </c>
      <c r="AI78" s="133">
        <f ca="1">OFFSET(RES!AL$95,$E78,0)</f>
        <v>12.477307328571019</v>
      </c>
      <c r="AJ78" s="133">
        <f ca="1">OFFSET(RES!AM$95,$E78,0)</f>
        <v>13.507697206546215</v>
      </c>
      <c r="AK78" s="133">
        <f ca="1">OFFSET(RES!AN$95,$E78,0)</f>
        <v>14.54371790117003</v>
      </c>
      <c r="AL78" s="133">
        <f ca="1">OFFSET(RES!AO$95,$E78,0)</f>
        <v>14.54371790117003</v>
      </c>
      <c r="AM78" s="133">
        <f ca="1">OFFSET(RES!AP$95,$E78,0)</f>
        <v>14.54371790117003</v>
      </c>
    </row>
    <row r="79" spans="1:39">
      <c r="A79" s="36" t="s">
        <v>378</v>
      </c>
      <c r="B79">
        <v>3.5984677195130002</v>
      </c>
      <c r="E79" s="136">
        <f>MATCH(F79,RES!$D$96:$D$134,0)</f>
        <v>18</v>
      </c>
      <c r="F79" s="4" t="str">
        <f t="shared" si="1"/>
        <v>RMER</v>
      </c>
      <c r="G79" s="133">
        <f ca="1">OFFSET(RES!J$95,$E79,0)</f>
        <v>3.4675669688275099</v>
      </c>
      <c r="H79" s="133">
        <f ca="1">OFFSET(RES!K$95,$E79,0)</f>
        <v>3.6294093972389909</v>
      </c>
      <c r="I79" s="133">
        <f ca="1">OFFSET(RES!L$95,$E79,0)</f>
        <v>3.7912518256504715</v>
      </c>
      <c r="J79" s="133">
        <f ca="1">OFFSET(RES!M$95,$E79,0)</f>
        <v>3.9530942540619525</v>
      </c>
      <c r="K79" s="133">
        <f ca="1">OFFSET(RES!N$95,$E79,0)</f>
        <v>4.1149366824734335</v>
      </c>
      <c r="L79" s="133">
        <f ca="1">OFFSET(RES!O$95,$E79,0)</f>
        <v>4.276779110884914</v>
      </c>
      <c r="M79" s="133">
        <f ca="1">OFFSET(RES!P$95,$E79,0)</f>
        <v>4.4363462632616368</v>
      </c>
      <c r="N79" s="133">
        <f ca="1">OFFSET(RES!Q$95,$E79,0)</f>
        <v>4.5963530798272414</v>
      </c>
      <c r="O79" s="212">
        <f ca="1">OFFSET(RES!R$95,$E79,0)</f>
        <v>4.8897436972197923</v>
      </c>
      <c r="P79" s="133">
        <f ca="1">OFFSET(RES!S$95,$E79,0)</f>
        <v>4.7133609982023907</v>
      </c>
      <c r="Q79" s="133">
        <f ca="1">OFFSET(RES!T$95,$E79,0)</f>
        <v>4.8279425725300067</v>
      </c>
      <c r="R79" s="133">
        <f ca="1">OFFSET(RES!U$95,$E79,0)</f>
        <v>4.9380180179352013</v>
      </c>
      <c r="S79" s="133">
        <f ca="1">OFFSET(RES!V$95,$E79,0)</f>
        <v>5.0569269016272553</v>
      </c>
      <c r="T79" s="212">
        <f ca="1">OFFSET(RES!W$95,$E79,0)</f>
        <v>5.1763446449602863</v>
      </c>
      <c r="U79" s="133">
        <f ca="1">OFFSET(RES!X$95,$E79,0)</f>
        <v>5.2785469677364993</v>
      </c>
      <c r="V79" s="133">
        <f ca="1">OFFSET(RES!Y$95,$E79,0)</f>
        <v>5.3962292710506299</v>
      </c>
      <c r="W79" s="133">
        <f ca="1">OFFSET(RES!Z$95,$E79,0)</f>
        <v>5.5124266443430505</v>
      </c>
      <c r="X79" s="133">
        <f ca="1">OFFSET(RES!AA$95,$E79,0)</f>
        <v>5.6264107109421717</v>
      </c>
      <c r="Y79" s="214">
        <f ca="1">OFFSET(RES!AB$95,$E79,0)</f>
        <v>5.757069408828773</v>
      </c>
      <c r="Z79" s="133">
        <f ca="1">OFFSET(RES!AC$95,$E79,0)</f>
        <v>5.8352142296094698</v>
      </c>
      <c r="AA79" s="133">
        <f ca="1">OFFSET(RES!AD$95,$E79,0)</f>
        <v>5.9311213102135225</v>
      </c>
      <c r="AB79" s="133">
        <f ca="1">OFFSET(RES!AE$95,$E79,0)</f>
        <v>6.0165400279540489</v>
      </c>
      <c r="AC79" s="133">
        <f ca="1">OFFSET(RES!AF$95,$E79,0)</f>
        <v>6.1062666108524821</v>
      </c>
      <c r="AD79" s="133">
        <f ca="1">OFFSET(RES!AG$95,$E79,0)</f>
        <v>6.1973168662698486</v>
      </c>
      <c r="AE79" s="133">
        <f ca="1">OFFSET(RES!AH$95,$E79,0)</f>
        <v>6.2865412125430815</v>
      </c>
      <c r="AF79" s="133">
        <f ca="1">OFFSET(RES!AI$95,$E79,0)</f>
        <v>6.3723305797746539</v>
      </c>
      <c r="AG79" s="133">
        <f ca="1">OFFSET(RES!AJ$95,$E79,0)</f>
        <v>6.4606651757949596</v>
      </c>
      <c r="AH79" s="133">
        <f ca="1">OFFSET(RES!AK$95,$E79,0)</f>
        <v>6.546729176061481</v>
      </c>
      <c r="AI79" s="133">
        <f ca="1">OFFSET(RES!AL$95,$E79,0)</f>
        <v>6.6325243923167774</v>
      </c>
      <c r="AJ79" s="133">
        <f ca="1">OFFSET(RES!AM$95,$E79,0)</f>
        <v>7.1802456128735432</v>
      </c>
      <c r="AK79" s="133">
        <f ca="1">OFFSET(RES!AN$95,$E79,0)</f>
        <v>7.7309599895486256</v>
      </c>
      <c r="AL79" s="133">
        <f ca="1">OFFSET(RES!AO$95,$E79,0)</f>
        <v>7.7309599895486256</v>
      </c>
      <c r="AM79" s="133">
        <f ca="1">OFFSET(RES!AP$95,$E79,0)</f>
        <v>7.7309599895486256</v>
      </c>
    </row>
    <row r="80" spans="1:39">
      <c r="A80" s="36" t="s">
        <v>379</v>
      </c>
      <c r="B80">
        <v>16.347656033450001</v>
      </c>
      <c r="E80" s="136">
        <f>MATCH(F80,RES!$D$96:$D$134,0)</f>
        <v>17</v>
      </c>
      <c r="F80" s="4" t="str">
        <f t="shared" si="1"/>
        <v>RMEW</v>
      </c>
      <c r="G80" s="133">
        <f ca="1">OFFSET(RES!J$95,$E80,0)</f>
        <v>6.084532675932218</v>
      </c>
      <c r="H80" s="133">
        <f ca="1">OFFSET(RES!K$95,$E80,0)</f>
        <v>5.9075367357775663</v>
      </c>
      <c r="I80" s="133">
        <f ca="1">OFFSET(RES!L$95,$E80,0)</f>
        <v>5.7305407956229146</v>
      </c>
      <c r="J80" s="133">
        <f ca="1">OFFSET(RES!M$95,$E80,0)</f>
        <v>5.553544855468262</v>
      </c>
      <c r="K80" s="133">
        <f ca="1">OFFSET(RES!N$95,$E80,0)</f>
        <v>5.3765489153136103</v>
      </c>
      <c r="L80" s="133">
        <f ca="1">OFFSET(RES!O$95,$E80,0)</f>
        <v>5.1995529751589586</v>
      </c>
      <c r="M80" s="133">
        <f ca="1">OFFSET(RES!P$95,$E80,0)</f>
        <v>5.3935489334179207</v>
      </c>
      <c r="N80" s="133">
        <f ca="1">OFFSET(RES!Q$95,$E80,0)</f>
        <v>5.5880794194563403</v>
      </c>
      <c r="O80" s="212">
        <f ca="1">OFFSET(RES!R$95,$E80,0)</f>
        <v>5.9447730942979007</v>
      </c>
      <c r="P80" s="133">
        <f ca="1">OFFSET(RES!S$95,$E80,0)</f>
        <v>5.730333404132856</v>
      </c>
      <c r="Q80" s="133">
        <f ca="1">OFFSET(RES!T$95,$E80,0)</f>
        <v>5.8696375276909887</v>
      </c>
      <c r="R80" s="133">
        <f ca="1">OFFSET(RES!U$95,$E80,0)</f>
        <v>6.0034632630888831</v>
      </c>
      <c r="S80" s="133">
        <f ca="1">OFFSET(RES!V$95,$E80,0)</f>
        <v>6.1480283724723135</v>
      </c>
      <c r="T80" s="212">
        <f ca="1">OFFSET(RES!W$95,$E80,0)</f>
        <v>6.2932121349569634</v>
      </c>
      <c r="U80" s="133">
        <f ca="1">OFFSET(RES!X$95,$E80,0)</f>
        <v>6.4174660133269548</v>
      </c>
      <c r="V80" s="133">
        <f ca="1">OFFSET(RES!Y$95,$E80,0)</f>
        <v>6.5605398907603725</v>
      </c>
      <c r="W80" s="133">
        <f ca="1">OFFSET(RES!Z$95,$E80,0)</f>
        <v>6.7018084441141248</v>
      </c>
      <c r="X80" s="133">
        <f ca="1">OFFSET(RES!AA$95,$E80,0)</f>
        <v>6.8403861394404446</v>
      </c>
      <c r="Y80" s="214">
        <f ca="1">OFFSET(RES!AB$95,$E80,0)</f>
        <v>6.9992362468957499</v>
      </c>
      <c r="Z80" s="133">
        <f ca="1">OFFSET(RES!AC$95,$E80,0)</f>
        <v>7.0942418866187378</v>
      </c>
      <c r="AA80" s="133">
        <f ca="1">OFFSET(RES!AD$95,$E80,0)</f>
        <v>7.2108422378092927</v>
      </c>
      <c r="AB80" s="133">
        <f ca="1">OFFSET(RES!AE$95,$E80,0)</f>
        <v>7.3146912177184094</v>
      </c>
      <c r="AC80" s="133">
        <f ca="1">OFFSET(RES!AF$95,$E80,0)</f>
        <v>7.423777543891533</v>
      </c>
      <c r="AD80" s="133">
        <f ca="1">OFFSET(RES!AG$95,$E80,0)</f>
        <v>7.5344731431193352</v>
      </c>
      <c r="AE80" s="133">
        <f ca="1">OFFSET(RES!AH$95,$E80,0)</f>
        <v>7.6429488682136828</v>
      </c>
      <c r="AF80" s="133">
        <f ca="1">OFFSET(RES!AI$95,$E80,0)</f>
        <v>7.7472484703349691</v>
      </c>
      <c r="AG80" s="133">
        <f ca="1">OFFSET(RES!AJ$95,$E80,0)</f>
        <v>7.8546424693324557</v>
      </c>
      <c r="AH80" s="133">
        <f ca="1">OFFSET(RES!AK$95,$E80,0)</f>
        <v>7.959275960339963</v>
      </c>
      <c r="AI80" s="133">
        <f ca="1">OFFSET(RES!AL$95,$E80,0)</f>
        <v>8.0635826734922187</v>
      </c>
      <c r="AJ80" s="133">
        <f ca="1">OFFSET(RES!AM$95,$E80,0)</f>
        <v>8.7294822741181584</v>
      </c>
      <c r="AK80" s="133">
        <f ca="1">OFFSET(RES!AN$95,$E80,0)</f>
        <v>9.3990208454266142</v>
      </c>
      <c r="AL80" s="133">
        <f ca="1">OFFSET(RES!AO$95,$E80,0)</f>
        <v>9.3990208454266142</v>
      </c>
      <c r="AM80" s="133">
        <f ca="1">OFFSET(RES!AP$95,$E80,0)</f>
        <v>9.3990208454266142</v>
      </c>
    </row>
    <row r="81" spans="1:39" s="194" customFormat="1">
      <c r="A81" s="36" t="s">
        <v>545</v>
      </c>
      <c r="B81" s="194">
        <v>17.347656033450001</v>
      </c>
      <c r="E81" s="136">
        <f>MATCH(F81,RES!$D$96:$D$134,0)</f>
        <v>16</v>
      </c>
      <c r="F81" s="194" t="str">
        <f>A81</f>
        <v>RMEWG</v>
      </c>
      <c r="G81" s="133">
        <f ca="1">OFFSET(RES!J$95,$E81,0)</f>
        <v>8.7137527293210866</v>
      </c>
      <c r="H81" s="133">
        <f ca="1">OFFSET(RES!K$95,$E81,0)</f>
        <v>8.9845863339707623</v>
      </c>
      <c r="I81" s="133">
        <f ca="1">OFFSET(RES!L$95,$E81,0)</f>
        <v>9.2554199386204399</v>
      </c>
      <c r="J81" s="133">
        <f ca="1">OFFSET(RES!M$95,$E81,0)</f>
        <v>9.5262535432701156</v>
      </c>
      <c r="K81" s="133">
        <f ca="1">OFFSET(RES!N$95,$E81,0)</f>
        <v>9.7970871479197932</v>
      </c>
      <c r="L81" s="133">
        <f ca="1">OFFSET(RES!O$95,$E81,0)</f>
        <v>10.067920752569469</v>
      </c>
      <c r="M81" s="133">
        <f ca="1">OFFSET(RES!P$95,$E81,0)</f>
        <v>10.443556108801278</v>
      </c>
      <c r="N81" s="133">
        <f ca="1">OFFSET(RES!Q$95,$E81,0)</f>
        <v>10.820226473878913</v>
      </c>
      <c r="O81" s="212">
        <f ca="1">OFFSET(RES!R$95,$E81,0)</f>
        <v>11.51089424251297</v>
      </c>
      <c r="P81" s="133">
        <f ca="1">OFFSET(RES!S$95,$E81,0)</f>
        <v>11.095673584679165</v>
      </c>
      <c r="Q81" s="133">
        <f ca="1">OFFSET(RES!T$95,$E81,0)</f>
        <v>11.365408864459933</v>
      </c>
      <c r="R81" s="133">
        <f ca="1">OFFSET(RES!U$95,$E81,0)</f>
        <v>11.624536313507443</v>
      </c>
      <c r="S81" s="133">
        <f ca="1">OFFSET(RES!V$95,$E81,0)</f>
        <v>11.904458466779555</v>
      </c>
      <c r="T81" s="212">
        <f ca="1">OFFSET(RES!W$95,$E81,0)</f>
        <v>12.18557852118397</v>
      </c>
      <c r="U81" s="133">
        <f ca="1">OFFSET(RES!X$95,$E81,0)</f>
        <v>12.426171935003403</v>
      </c>
      <c r="V81" s="133">
        <f ca="1">OFFSET(RES!Y$95,$E81,0)</f>
        <v>12.703206608300187</v>
      </c>
      <c r="W81" s="133">
        <f ca="1">OFFSET(RES!Z$95,$E81,0)</f>
        <v>12.976745623440662</v>
      </c>
      <c r="X81" s="133">
        <f ca="1">OFFSET(RES!AA$95,$E81,0)</f>
        <v>13.245074316558064</v>
      </c>
      <c r="Y81" s="214">
        <f ca="1">OFFSET(RES!AB$95,$E81,0)</f>
        <v>13.552656583925629</v>
      </c>
      <c r="Z81" s="133">
        <f ca="1">OFFSET(RES!AC$95,$E81,0)</f>
        <v>13.736616485160978</v>
      </c>
      <c r="AA81" s="133">
        <f ca="1">OFFSET(RES!AD$95,$E81,0)</f>
        <v>13.962390335550952</v>
      </c>
      <c r="AB81" s="133">
        <f ca="1">OFFSET(RES!AE$95,$E81,0)</f>
        <v>14.16347364116497</v>
      </c>
      <c r="AC81" s="133">
        <f ca="1">OFFSET(RES!AF$95,$E81,0)</f>
        <v>14.374698046868112</v>
      </c>
      <c r="AD81" s="133">
        <f ca="1">OFFSET(RES!AG$95,$E81,0)</f>
        <v>14.58903849613522</v>
      </c>
      <c r="AE81" s="133">
        <f ca="1">OFFSET(RES!AH$95,$E81,0)</f>
        <v>14.799080591877887</v>
      </c>
      <c r="AF81" s="133">
        <f ca="1">OFFSET(RES!AI$95,$E81,0)</f>
        <v>15.001036439562954</v>
      </c>
      <c r="AG81" s="133">
        <f ca="1">OFFSET(RES!AJ$95,$E81,0)</f>
        <v>15.208983983587192</v>
      </c>
      <c r="AH81" s="133">
        <f ca="1">OFFSET(RES!AK$95,$E81,0)</f>
        <v>15.411586342013219</v>
      </c>
      <c r="AI81" s="133">
        <f ca="1">OFFSET(RES!AL$95,$E81,0)</f>
        <v>15.613555958823557</v>
      </c>
      <c r="AJ81" s="133">
        <f ca="1">OFFSET(RES!AM$95,$E81,0)</f>
        <v>16.902940727148696</v>
      </c>
      <c r="AK81" s="133">
        <f ca="1">OFFSET(RES!AN$95,$E81,0)</f>
        <v>18.199371652831502</v>
      </c>
      <c r="AL81" s="133">
        <f ca="1">OFFSET(RES!AO$95,$E81,0)</f>
        <v>18.199371652831502</v>
      </c>
      <c r="AM81" s="133">
        <f ca="1">OFFSET(RES!AP$95,$E81,0)</f>
        <v>18.199371652831502</v>
      </c>
    </row>
    <row r="82" spans="1:39">
      <c r="A82" s="36" t="s">
        <v>380</v>
      </c>
      <c r="B82">
        <v>0.2282739655271</v>
      </c>
      <c r="E82" s="136">
        <f>MATCH(F82,RES!$D$96:$D$134,0)</f>
        <v>13</v>
      </c>
      <c r="F82" s="4" t="str">
        <f t="shared" si="1"/>
        <v>RMNL</v>
      </c>
      <c r="G82" s="133">
        <f ca="1">OFFSET(RES!J$95,$E82,0)</f>
        <v>3.3422499241462768E-2</v>
      </c>
      <c r="H82" s="133">
        <f ca="1">OFFSET(RES!K$95,$E82,0)</f>
        <v>4.1310307072706193E-2</v>
      </c>
      <c r="I82" s="133">
        <f ca="1">OFFSET(RES!L$95,$E82,0)</f>
        <v>4.9198114903949625E-2</v>
      </c>
      <c r="J82" s="133">
        <f ca="1">OFFSET(RES!M$95,$E82,0)</f>
        <v>5.7085922735193056E-2</v>
      </c>
      <c r="K82" s="133">
        <f ca="1">OFFSET(RES!N$95,$E82,0)</f>
        <v>6.4973730566436488E-2</v>
      </c>
      <c r="L82" s="133">
        <f ca="1">OFFSET(RES!O$95,$E82,0)</f>
        <v>7.2861538397679906E-2</v>
      </c>
      <c r="M82" s="133">
        <f ca="1">OFFSET(RES!P$95,$E82,0)</f>
        <v>6.2969344536712088E-2</v>
      </c>
      <c r="N82" s="133">
        <f ca="1">OFFSET(RES!Q$95,$E82,0)</f>
        <v>6.5240475725000899E-2</v>
      </c>
      <c r="O82" s="212">
        <f ca="1">OFFSET(RES!R$95,$E82,0)</f>
        <v>6.9404851942299936E-2</v>
      </c>
      <c r="P82" s="133">
        <f ca="1">OFFSET(RES!S$95,$E82,0)</f>
        <v>6.6901282048146493E-2</v>
      </c>
      <c r="Q82" s="133">
        <f ca="1">OFFSET(RES!T$95,$E82,0)</f>
        <v>6.8527648928284918E-2</v>
      </c>
      <c r="R82" s="133">
        <f ca="1">OFFSET(RES!U$95,$E82,0)</f>
        <v>7.0090055971249982E-2</v>
      </c>
      <c r="S82" s="133">
        <f ca="1">OFFSET(RES!V$95,$E82,0)</f>
        <v>7.1777844529976195E-2</v>
      </c>
      <c r="T82" s="212">
        <f ca="1">OFFSET(RES!W$95,$E82,0)</f>
        <v>7.3472855824745095E-2</v>
      </c>
      <c r="U82" s="133">
        <f ca="1">OFFSET(RES!X$95,$E82,0)</f>
        <v>7.4923512038991114E-2</v>
      </c>
      <c r="V82" s="133">
        <f ca="1">OFFSET(RES!Y$95,$E82,0)</f>
        <v>7.6593890558501271E-2</v>
      </c>
      <c r="W82" s="133">
        <f ca="1">OFFSET(RES!Z$95,$E82,0)</f>
        <v>7.8243192032938461E-2</v>
      </c>
      <c r="X82" s="133">
        <f ca="1">OFFSET(RES!AA$95,$E82,0)</f>
        <v>7.9861077909163705E-2</v>
      </c>
      <c r="Y82" s="214">
        <f ca="1">OFFSET(RES!AB$95,$E82,0)</f>
        <v>8.1715642921834891E-2</v>
      </c>
      <c r="Z82" s="133">
        <f ca="1">OFFSET(RES!AC$95,$E82,0)</f>
        <v>8.282482778962777E-2</v>
      </c>
      <c r="AA82" s="133">
        <f ca="1">OFFSET(RES!AD$95,$E82,0)</f>
        <v>8.4186129555470265E-2</v>
      </c>
      <c r="AB82" s="133">
        <f ca="1">OFFSET(RES!AE$95,$E82,0)</f>
        <v>8.5398559863679085E-2</v>
      </c>
      <c r="AC82" s="133">
        <f ca="1">OFFSET(RES!AF$95,$E82,0)</f>
        <v>8.6672135860084584E-2</v>
      </c>
      <c r="AD82" s="133">
        <f ca="1">OFFSET(RES!AG$95,$E82,0)</f>
        <v>8.7964500018178182E-2</v>
      </c>
      <c r="AE82" s="133">
        <f ca="1">OFFSET(RES!AH$95,$E82,0)</f>
        <v>8.9230947285396545E-2</v>
      </c>
      <c r="AF82" s="133">
        <f ca="1">OFFSET(RES!AI$95,$E82,0)</f>
        <v>9.0448638579587751E-2</v>
      </c>
      <c r="AG82" s="133">
        <f ca="1">OFFSET(RES!AJ$95,$E82,0)</f>
        <v>9.1702456762667181E-2</v>
      </c>
      <c r="AH82" s="133">
        <f ca="1">OFFSET(RES!AK$95,$E82,0)</f>
        <v>9.2924046188602991E-2</v>
      </c>
      <c r="AI82" s="133">
        <f ca="1">OFFSET(RES!AL$95,$E82,0)</f>
        <v>9.4141820503633483E-2</v>
      </c>
      <c r="AJ82" s="133">
        <f ca="1">OFFSET(RES!AM$95,$E82,0)</f>
        <v>0.10191615645502751</v>
      </c>
      <c r="AK82" s="133">
        <f ca="1">OFFSET(RES!AN$95,$E82,0)</f>
        <v>0.10973297716024412</v>
      </c>
      <c r="AL82" s="133">
        <f ca="1">OFFSET(RES!AO$95,$E82,0)</f>
        <v>0.10973297716024412</v>
      </c>
      <c r="AM82" s="133">
        <f ca="1">OFFSET(RES!AP$95,$E82,0)</f>
        <v>0.10973297716024412</v>
      </c>
    </row>
    <row r="83" spans="1:39">
      <c r="A83" s="36" t="s">
        <v>134</v>
      </c>
      <c r="B83">
        <v>0.46620130319999997</v>
      </c>
      <c r="E83" s="138">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6" t="s">
        <v>609</v>
      </c>
      <c r="B84">
        <f>[2]EB_2006!$AI$69/1000</f>
        <v>35.178032837499991</v>
      </c>
      <c r="E84" s="135">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68.755017417988654</v>
      </c>
      <c r="N84" s="24">
        <f ca="1">OFFSET(OtherTRA!Q$46,$E84,0)</f>
        <v>68.570756660746014</v>
      </c>
      <c r="O84" s="24">
        <f ca="1">OFFSET(OtherTRA!R$46,$E84,0)</f>
        <v>68.570756660746</v>
      </c>
      <c r="P84" s="24">
        <f ca="1">OFFSET(OtherTRA!S$46,$E84,0)</f>
        <v>64.335346358792194</v>
      </c>
      <c r="Q84" s="24">
        <f ca="1">OFFSET(OtherTRA!T$46,$E84,0)</f>
        <v>60.099936056838388</v>
      </c>
      <c r="R84" s="24">
        <f ca="1">OFFSET(OtherTRA!U$46,$E84,0)</f>
        <v>55.864525754884582</v>
      </c>
      <c r="S84" s="24">
        <f ca="1">OFFSET(OtherTRA!V$46,$E84,0)</f>
        <v>51.629115452930776</v>
      </c>
      <c r="T84" s="24">
        <f ca="1">OFFSET(OtherTRA!W$46,$E84,0)</f>
        <v>47.39370515097697</v>
      </c>
      <c r="U84" s="24">
        <f ca="1">OFFSET(OtherTRA!X$46,$E84,0)</f>
        <v>43.158294849023164</v>
      </c>
      <c r="V84" s="24">
        <f ca="1">OFFSET(OtherTRA!Y$46,$E84,0)</f>
        <v>38.922884547069359</v>
      </c>
      <c r="W84" s="24">
        <f ca="1">OFFSET(OtherTRA!Z$46,$E84,0)</f>
        <v>34.687474245115553</v>
      </c>
      <c r="X84" s="24">
        <f ca="1">OFFSET(OtherTRA!AA$46,$E84,0)</f>
        <v>30.452063943161747</v>
      </c>
      <c r="Y84" s="24">
        <f ca="1">OFFSET(OtherTRA!AB$46,$E84,0)</f>
        <v>64.335346358792194</v>
      </c>
      <c r="Z84" s="24">
        <f ca="1">OFFSET(OtherTRA!AC$46,$E84,0)</f>
        <v>66.158181172291307</v>
      </c>
      <c r="AA84" s="24">
        <f ca="1">OFFSET(OtherTRA!AD$46,$E84,0)</f>
        <v>67.981015985790421</v>
      </c>
      <c r="AB84" s="24">
        <f ca="1">OFFSET(OtherTRA!AE$46,$E84,0)</f>
        <v>69.803850799289535</v>
      </c>
      <c r="AC84" s="24">
        <f ca="1">OFFSET(OtherTRA!AF$46,$E84,0)</f>
        <v>71.626685612788648</v>
      </c>
      <c r="AD84" s="24">
        <f ca="1">OFFSET(OtherTRA!AG$46,$E84,0)</f>
        <v>73.449520426287762</v>
      </c>
      <c r="AE84" s="24">
        <f ca="1">OFFSET(OtherTRA!AH$46,$E84,0)</f>
        <v>75.272355239786876</v>
      </c>
      <c r="AF84" s="24">
        <f ca="1">OFFSET(OtherTRA!AI$46,$E84,0)</f>
        <v>77.09519005328599</v>
      </c>
      <c r="AG84" s="24">
        <f ca="1">OFFSET(OtherTRA!AJ$46,$E84,0)</f>
        <v>78.918024866785103</v>
      </c>
      <c r="AH84" s="24">
        <f ca="1">OFFSET(OtherTRA!AK$46,$E84,0)</f>
        <v>80.740859680284217</v>
      </c>
      <c r="AI84" s="24">
        <f ca="1">OFFSET(OtherTRA!AL$46,$E84,0)</f>
        <v>66.158181172291307</v>
      </c>
      <c r="AJ84" s="24">
        <f ca="1">OFFSET(OtherTRA!AM$46,$E84,0)</f>
        <v>72.591715808170534</v>
      </c>
      <c r="AK84" s="24">
        <f ca="1">OFFSET(OtherTRA!AN$46,$E84,0)</f>
        <v>79.025250444049746</v>
      </c>
      <c r="AL84" s="24">
        <f ca="1">OFFSET(OtherTRA!AO$46,$E84,0)</f>
        <v>79.025250444049746</v>
      </c>
      <c r="AM84" s="24">
        <f ca="1">OFFSET(OtherTRA!AP$46,$E84,0)</f>
        <v>79.025250444049746</v>
      </c>
    </row>
    <row r="85" spans="1:39" s="194" customFormat="1">
      <c r="A85" s="36" t="s">
        <v>610</v>
      </c>
      <c r="B85" s="194">
        <f>[2]EB_2006!$AI$70/1000</f>
        <v>42.764908764899999</v>
      </c>
      <c r="E85" s="135">
        <f>MATCH(F85,OtherTRA!$D$47:$D$51,0)</f>
        <v>3</v>
      </c>
      <c r="F85" s="194"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21.661262786237145</v>
      </c>
      <c r="N85" s="24">
        <f ca="1">OFFSET(OtherTRA!Q$46,$E85,0)</f>
        <v>22.857297513321498</v>
      </c>
      <c r="O85" s="24">
        <f ca="1">OFFSET(OtherTRA!R$46,$E85,0)</f>
        <v>22.857297513321495</v>
      </c>
      <c r="P85" s="24">
        <f ca="1">OFFSET(OtherTRA!S$46,$E85,0)</f>
        <v>21.445470692717588</v>
      </c>
      <c r="Q85" s="24">
        <f ca="1">OFFSET(OtherTRA!T$46,$E85,0)</f>
        <v>20.033643872113682</v>
      </c>
      <c r="R85" s="24">
        <f ca="1">OFFSET(OtherTRA!U$46,$E85,0)</f>
        <v>18.621817051509776</v>
      </c>
      <c r="S85" s="24">
        <f ca="1">OFFSET(OtherTRA!V$46,$E85,0)</f>
        <v>17.20999023090587</v>
      </c>
      <c r="T85" s="24">
        <f ca="1">OFFSET(OtherTRA!W$46,$E85,0)</f>
        <v>15.798163410301964</v>
      </c>
      <c r="U85" s="24">
        <f ca="1">OFFSET(OtherTRA!X$46,$E85,0)</f>
        <v>14.386336589698058</v>
      </c>
      <c r="V85" s="24">
        <f ca="1">OFFSET(OtherTRA!Y$46,$E85,0)</f>
        <v>12.974509769094151</v>
      </c>
      <c r="W85" s="24">
        <f ca="1">OFFSET(OtherTRA!Z$46,$E85,0)</f>
        <v>11.562682948490245</v>
      </c>
      <c r="X85" s="24">
        <f ca="1">OFFSET(OtherTRA!AA$46,$E85,0)</f>
        <v>10.150856127886339</v>
      </c>
      <c r="Y85" s="24">
        <f ca="1">OFFSET(OtherTRA!AB$46,$E85,0)</f>
        <v>21.445470692717588</v>
      </c>
      <c r="Z85" s="24">
        <f ca="1">OFFSET(OtherTRA!AC$46,$E85,0)</f>
        <v>22.053092362344586</v>
      </c>
      <c r="AA85" s="24">
        <f ca="1">OFFSET(OtherTRA!AD$46,$E85,0)</f>
        <v>22.660714031971583</v>
      </c>
      <c r="AB85" s="24">
        <f ca="1">OFFSET(OtherTRA!AE$46,$E85,0)</f>
        <v>23.268335701598581</v>
      </c>
      <c r="AC85" s="24">
        <f ca="1">OFFSET(OtherTRA!AF$46,$E85,0)</f>
        <v>23.875957371225578</v>
      </c>
      <c r="AD85" s="24">
        <f ca="1">OFFSET(OtherTRA!AG$46,$E85,0)</f>
        <v>24.483579040852575</v>
      </c>
      <c r="AE85" s="24">
        <f ca="1">OFFSET(OtherTRA!AH$46,$E85,0)</f>
        <v>25.091200710479573</v>
      </c>
      <c r="AF85" s="24">
        <f ca="1">OFFSET(OtherTRA!AI$46,$E85,0)</f>
        <v>25.69882238010657</v>
      </c>
      <c r="AG85" s="24">
        <f ca="1">OFFSET(OtherTRA!AJ$46,$E85,0)</f>
        <v>26.306444049733567</v>
      </c>
      <c r="AH85" s="24">
        <f ca="1">OFFSET(OtherTRA!AK$46,$E85,0)</f>
        <v>26.914065719360565</v>
      </c>
      <c r="AI85" s="24">
        <f ca="1">OFFSET(OtherTRA!AL$46,$E85,0)</f>
        <v>22.053092362344586</v>
      </c>
      <c r="AJ85" s="24">
        <f ca="1">OFFSET(OtherTRA!AM$46,$E85,0)</f>
        <v>24.197639431616345</v>
      </c>
      <c r="AK85" s="24">
        <f ca="1">OFFSET(OtherTRA!AN$46,$E85,0)</f>
        <v>26.342186500888104</v>
      </c>
      <c r="AL85" s="24">
        <f ca="1">OFFSET(OtherTRA!AO$46,$E85,0)</f>
        <v>26.342186500888104</v>
      </c>
      <c r="AM85" s="24">
        <f ca="1">OFFSET(OtherTRA!AP$46,$E85,0)</f>
        <v>26.342186500888104</v>
      </c>
    </row>
    <row r="86" spans="1:39">
      <c r="A86" s="36" t="s">
        <v>381</v>
      </c>
      <c r="B86" s="24">
        <f>[2]EB_2006!$AG$68/1000</f>
        <v>0.74474625240000003</v>
      </c>
      <c r="E86" s="137">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1.1951064499741548</v>
      </c>
      <c r="N86" s="24">
        <f ca="1">OFFSET(OtherTRA!Q$46,$E86,0)</f>
        <v>1.2155396815244086</v>
      </c>
      <c r="O86" s="24">
        <f ca="1">OFFSET(OtherTRA!R$46,$E86,0)</f>
        <v>1.2155396815244088</v>
      </c>
      <c r="P86" s="24">
        <f ca="1">OFFSET(OtherTRA!S$46,$E86,0)</f>
        <v>1.1404594353630106</v>
      </c>
      <c r="Q86" s="24">
        <f ca="1">OFFSET(OtherTRA!T$46,$E86,0)</f>
        <v>1.0653791892016125</v>
      </c>
      <c r="R86" s="24">
        <f ca="1">OFFSET(OtherTRA!U$46,$E86,0)</f>
        <v>0.99029894304021426</v>
      </c>
      <c r="S86" s="24">
        <f ca="1">OFFSET(OtherTRA!V$46,$E86,0)</f>
        <v>0.91521869687881607</v>
      </c>
      <c r="T86" s="24">
        <f ca="1">OFFSET(OtherTRA!W$46,$E86,0)</f>
        <v>0.84013845071741788</v>
      </c>
      <c r="U86" s="24">
        <f ca="1">OFFSET(OtherTRA!X$46,$E86,0)</f>
        <v>0.76505820455601969</v>
      </c>
      <c r="V86" s="24">
        <f ca="1">OFFSET(OtherTRA!Y$46,$E86,0)</f>
        <v>0.6899779583946215</v>
      </c>
      <c r="W86" s="24">
        <f ca="1">OFFSET(OtherTRA!Z$46,$E86,0)</f>
        <v>0.61489771223322331</v>
      </c>
      <c r="X86" s="24">
        <f ca="1">OFFSET(OtherTRA!AA$46,$E86,0)</f>
        <v>0.53981746607182512</v>
      </c>
      <c r="Y86" s="24">
        <f ca="1">OFFSET(OtherTRA!AB$46,$E86,0)</f>
        <v>1.1404594353630106</v>
      </c>
      <c r="Z86" s="24">
        <f ca="1">OFFSET(OtherTRA!AC$46,$E86,0)</f>
        <v>1.1727724526982959</v>
      </c>
      <c r="AA86" s="24">
        <f ca="1">OFFSET(OtherTRA!AD$46,$E86,0)</f>
        <v>1.2050854700335811</v>
      </c>
      <c r="AB86" s="24">
        <f ca="1">OFFSET(OtherTRA!AE$46,$E86,0)</f>
        <v>1.2373984873688664</v>
      </c>
      <c r="AC86" s="24">
        <f ca="1">OFFSET(OtherTRA!AF$46,$E86,0)</f>
        <v>1.2697115047041516</v>
      </c>
      <c r="AD86" s="24">
        <f ca="1">OFFSET(OtherTRA!AG$46,$E86,0)</f>
        <v>1.3020245220394369</v>
      </c>
      <c r="AE86" s="24">
        <f ca="1">OFFSET(OtherTRA!AH$46,$E86,0)</f>
        <v>1.3343375393747221</v>
      </c>
      <c r="AF86" s="24">
        <f ca="1">OFFSET(OtherTRA!AI$46,$E86,0)</f>
        <v>1.3666505567100073</v>
      </c>
      <c r="AG86" s="24">
        <f ca="1">OFFSET(OtherTRA!AJ$46,$E86,0)</f>
        <v>1.3989635740452926</v>
      </c>
      <c r="AH86" s="24">
        <f ca="1">OFFSET(OtherTRA!AK$46,$E86,0)</f>
        <v>1.4312765913805778</v>
      </c>
      <c r="AI86" s="24">
        <f ca="1">OFFSET(OtherTRA!AL$46,$E86,0)</f>
        <v>1.1727724526982959</v>
      </c>
      <c r="AJ86" s="24">
        <f ca="1">OFFSET(OtherTRA!AM$46,$E86,0)</f>
        <v>1.2868183962345969</v>
      </c>
      <c r="AK86" s="24">
        <f ca="1">OFFSET(OtherTRA!AN$46,$E86,0)</f>
        <v>1.400864339770898</v>
      </c>
      <c r="AL86" s="24">
        <f ca="1">OFFSET(OtherTRA!AO$46,$E86,0)</f>
        <v>1.400864339770898</v>
      </c>
      <c r="AM86" s="24">
        <f ca="1">OFFSET(OtherTRA!AP$46,$E86,0)</f>
        <v>1.400864339770898</v>
      </c>
    </row>
    <row r="87" spans="1:39">
      <c r="A87" s="36" t="s">
        <v>151</v>
      </c>
      <c r="B87" s="24">
        <v>52.28615900487997</v>
      </c>
      <c r="E87" s="136">
        <f>MATCH(F87,FTRA!$D$132:$D$144,0)</f>
        <v>1</v>
      </c>
      <c r="F87" s="4" t="str">
        <f>A87</f>
        <v>TFLCV</v>
      </c>
      <c r="G87" s="24">
        <f ca="1">OFFSET(FTRA!L$131,$E87,0)</f>
        <v>43.11250375056882</v>
      </c>
      <c r="H87" s="24">
        <f ca="1">OFFSET(FTRA!M$131,$E87,0)</f>
        <v>43.541669167045889</v>
      </c>
      <c r="I87" s="24">
        <f ca="1">OFFSET(FTRA!N$131,$E87,0)</f>
        <v>43.970834583522958</v>
      </c>
      <c r="J87" s="24">
        <f ca="1">OFFSET(FTRA!O$131,$E87,0)</f>
        <v>44.4</v>
      </c>
      <c r="K87" s="24">
        <f ca="1">OFFSET(FTRA!P$131,$E87,0)</f>
        <v>44.871410582810697</v>
      </c>
      <c r="L87" s="24">
        <f ca="1">OFFSET(FTRA!Q$131,$E87,0)</f>
        <v>45.342821165621402</v>
      </c>
      <c r="M87" s="24">
        <f ca="1">OFFSET(FTRA!R$131,$E87,0)</f>
        <v>45.89020294658313</v>
      </c>
      <c r="N87" s="24">
        <f ca="1">OFFSET(FTRA!S$131,$E87,0)</f>
        <v>46.437584727544852</v>
      </c>
      <c r="O87" s="24">
        <f ca="1">OFFSET(FTRA!T$131,$E87,0)</f>
        <v>43.690087939484705</v>
      </c>
      <c r="P87" s="24">
        <f ca="1">OFFSET(FTRA!U$131,$E87,0)</f>
        <v>44.420435532296942</v>
      </c>
      <c r="Q87" s="24">
        <f ca="1">OFFSET(FTRA!V$131,$E87,0)</f>
        <v>45.205291125429042</v>
      </c>
      <c r="R87" s="24">
        <f ca="1">OFFSET(FTRA!W$131,$E87,0)</f>
        <v>45.990146718561142</v>
      </c>
      <c r="S87" s="24">
        <f ca="1">OFFSET(FTRA!X$131,$E87,0)</f>
        <v>46.775002311693243</v>
      </c>
      <c r="T87" s="24">
        <f ca="1">OFFSET(FTRA!Y$131,$E87,0)</f>
        <v>47.559857904825343</v>
      </c>
      <c r="U87" s="24">
        <f ca="1">OFFSET(FTRA!Z$131,$E87,0)</f>
        <v>48.344713497957443</v>
      </c>
      <c r="V87" s="24">
        <f ca="1">OFFSET(FTRA!AA$131,$E87,0)</f>
        <v>49.129569091089543</v>
      </c>
      <c r="W87" s="24">
        <f ca="1">OFFSET(FTRA!AB$131,$E87,0)</f>
        <v>49.914424684221643</v>
      </c>
      <c r="X87" s="24">
        <f ca="1">OFFSET(FTRA!AC$131,$E87,0)</f>
        <v>50.699280277353743</v>
      </c>
      <c r="Y87" s="24">
        <f ca="1">OFFSET(FTRA!AD$131,$E87,0)</f>
        <v>51.484135870485822</v>
      </c>
      <c r="Z87" s="24">
        <f ca="1">OFFSET(FTRA!AE$131,$E87,0)</f>
        <v>52.778865712051847</v>
      </c>
      <c r="AA87" s="24">
        <f ca="1">OFFSET(FTRA!AF$131,$E87,0)</f>
        <v>54.073595553617871</v>
      </c>
      <c r="AB87" s="24">
        <f ca="1">OFFSET(FTRA!AG$131,$E87,0)</f>
        <v>55.368325395183895</v>
      </c>
      <c r="AC87" s="24">
        <f ca="1">OFFSET(FTRA!AH$131,$E87,0)</f>
        <v>56.663055236749919</v>
      </c>
      <c r="AD87" s="24">
        <f ca="1">OFFSET(FTRA!AI$131,$E87,0)</f>
        <v>57.957785078315943</v>
      </c>
      <c r="AE87" s="24">
        <f ca="1">OFFSET(FTRA!AJ$131,$E87,0)</f>
        <v>59.252514919881968</v>
      </c>
      <c r="AF87" s="24">
        <f ca="1">OFFSET(FTRA!AK$131,$E87,0)</f>
        <v>60.547244761447992</v>
      </c>
      <c r="AG87" s="24">
        <f ca="1">OFFSET(FTRA!AL$131,$E87,0)</f>
        <v>61.841974603014016</v>
      </c>
      <c r="AH87" s="24">
        <f ca="1">OFFSET(FTRA!AM$131,$E87,0)</f>
        <v>63.13670444458004</v>
      </c>
      <c r="AI87" s="24">
        <f ca="1">OFFSET(FTRA!AN$131,$E87,0)</f>
        <v>64.431434286146057</v>
      </c>
      <c r="AJ87" s="24">
        <f ca="1">OFFSET(FTRA!AO$131,$E87,0)</f>
        <v>73.873852013619597</v>
      </c>
      <c r="AK87" s="24">
        <f ca="1">OFFSET(FTRA!AP$131,$E87,0)</f>
        <v>83.316269741093109</v>
      </c>
      <c r="AL87" s="24">
        <f ca="1">OFFSET(FTRA!AQ$131,$E87,0)</f>
        <v>83.316269741093109</v>
      </c>
      <c r="AM87" s="24">
        <f ca="1">OFFSET(FTRA!AR$131,$E87,0)</f>
        <v>83.316269741093109</v>
      </c>
    </row>
    <row r="88" spans="1:39">
      <c r="A88" s="36" t="s">
        <v>412</v>
      </c>
      <c r="B88" s="24">
        <v>4.134278411680218</v>
      </c>
      <c r="E88" s="135">
        <f>MATCH(F88,FTRA!$D$132:$D$144,0)</f>
        <v>2</v>
      </c>
      <c r="F88" s="4" t="str">
        <f>A88</f>
        <v>TFHCV1</v>
      </c>
      <c r="G88" s="24">
        <f ca="1">OFFSET(FTRA!L$131,$E88,0)</f>
        <v>3.310563752317667</v>
      </c>
      <c r="H88" s="24">
        <f ca="1">OFFSET(FTRA!M$131,$E88,0)</f>
        <v>3.3405637523176668</v>
      </c>
      <c r="I88" s="24">
        <f ca="1">OFFSET(FTRA!N$131,$E88,0)</f>
        <v>3.3705637523176666</v>
      </c>
      <c r="J88" s="24">
        <f ca="1">OFFSET(FTRA!O$131,$E88,0)</f>
        <v>3.4</v>
      </c>
      <c r="K88" s="24">
        <f ca="1">OFFSET(FTRA!P$131,$E88,0)</f>
        <v>3.4249999999999998</v>
      </c>
      <c r="L88" s="24">
        <f ca="1">OFFSET(FTRA!Q$131,$E88,0)</f>
        <v>3.45</v>
      </c>
      <c r="M88" s="24">
        <f ca="1">OFFSET(FTRA!R$131,$E88,0)</f>
        <v>3.5076429930568063</v>
      </c>
      <c r="N88" s="24">
        <f ca="1">OFFSET(FTRA!S$131,$E88,0)</f>
        <v>3.5652859861136119</v>
      </c>
      <c r="O88" s="24">
        <f ca="1">OFFSET(FTRA!T$131,$E88,0)</f>
        <v>3.3543445288256186</v>
      </c>
      <c r="P88" s="24">
        <f ca="1">OFFSET(FTRA!U$131,$E88,0)</f>
        <v>3.4104176009486125</v>
      </c>
      <c r="Q88" s="24">
        <f ca="1">OFFSET(FTRA!V$131,$E88,0)</f>
        <v>3.4706755722392031</v>
      </c>
      <c r="R88" s="24">
        <f ca="1">OFFSET(FTRA!W$131,$E88,0)</f>
        <v>3.5309335435297937</v>
      </c>
      <c r="S88" s="24">
        <f ca="1">OFFSET(FTRA!X$131,$E88,0)</f>
        <v>3.5911915148203843</v>
      </c>
      <c r="T88" s="24">
        <f ca="1">OFFSET(FTRA!Y$131,$E88,0)</f>
        <v>3.651449486110975</v>
      </c>
      <c r="U88" s="24">
        <f ca="1">OFFSET(FTRA!Z$131,$E88,0)</f>
        <v>3.7117074574015656</v>
      </c>
      <c r="V88" s="24">
        <f ca="1">OFFSET(FTRA!AA$131,$E88,0)</f>
        <v>3.7719654286921562</v>
      </c>
      <c r="W88" s="24">
        <f ca="1">OFFSET(FTRA!AB$131,$E88,0)</f>
        <v>3.8322233999827469</v>
      </c>
      <c r="X88" s="24">
        <f ca="1">OFFSET(FTRA!AC$131,$E88,0)</f>
        <v>3.8924813712733375</v>
      </c>
      <c r="Y88" s="24">
        <f ca="1">OFFSET(FTRA!AD$131,$E88,0)</f>
        <v>3.9527393425639263</v>
      </c>
      <c r="Z88" s="24">
        <f ca="1">OFFSET(FTRA!AE$131,$E88,0)</f>
        <v>4.052143353065798</v>
      </c>
      <c r="AA88" s="24">
        <f ca="1">OFFSET(FTRA!AF$131,$E88,0)</f>
        <v>4.1515473635676701</v>
      </c>
      <c r="AB88" s="24">
        <f ca="1">OFFSET(FTRA!AG$131,$E88,0)</f>
        <v>4.2509513740695422</v>
      </c>
      <c r="AC88" s="24">
        <f ca="1">OFFSET(FTRA!AH$131,$E88,0)</f>
        <v>4.3503553845714142</v>
      </c>
      <c r="AD88" s="24">
        <f ca="1">OFFSET(FTRA!AI$131,$E88,0)</f>
        <v>4.4497593950732863</v>
      </c>
      <c r="AE88" s="24">
        <f ca="1">OFFSET(FTRA!AJ$131,$E88,0)</f>
        <v>4.5491634055751584</v>
      </c>
      <c r="AF88" s="24">
        <f ca="1">OFFSET(FTRA!AK$131,$E88,0)</f>
        <v>4.6485674160770305</v>
      </c>
      <c r="AG88" s="24">
        <f ca="1">OFFSET(FTRA!AL$131,$E88,0)</f>
        <v>4.7479714265789026</v>
      </c>
      <c r="AH88" s="24">
        <f ca="1">OFFSET(FTRA!AM$131,$E88,0)</f>
        <v>4.8473754370807747</v>
      </c>
      <c r="AI88" s="24">
        <f ca="1">OFFSET(FTRA!AN$131,$E88,0)</f>
        <v>4.9467794475826459</v>
      </c>
      <c r="AJ88" s="24">
        <f ca="1">OFFSET(FTRA!AO$131,$E88,0)</f>
        <v>5.6717292871642782</v>
      </c>
      <c r="AK88" s="24">
        <f ca="1">OFFSET(FTRA!AP$131,$E88,0)</f>
        <v>6.3966791267459104</v>
      </c>
      <c r="AL88" s="24">
        <f ca="1">OFFSET(FTRA!AQ$131,$E88,0)</f>
        <v>6.3966791267459104</v>
      </c>
      <c r="AM88" s="24">
        <f ca="1">OFFSET(FTRA!AR$131,$E88,0)</f>
        <v>6.3966791267459104</v>
      </c>
    </row>
    <row r="89" spans="1:39" s="4" customFormat="1">
      <c r="A89" s="36" t="s">
        <v>413</v>
      </c>
      <c r="B89" s="24">
        <v>0.80954708483781546</v>
      </c>
      <c r="E89" s="135">
        <f>MATCH(F89,FTRA!$D$132:$D$144,0)</f>
        <v>3</v>
      </c>
      <c r="F89" s="4" t="str">
        <f t="shared" ref="F89:F96" si="3">A89</f>
        <v>TFHCV2</v>
      </c>
      <c r="G89" s="24">
        <f ca="1">OFFSET(FTRA!L$131,$E89,0)</f>
        <v>0.6547839540708813</v>
      </c>
      <c r="H89" s="24">
        <f ca="1">OFFSET(FTRA!M$131,$E89,0)</f>
        <v>0.67123078144835724</v>
      </c>
      <c r="I89" s="24">
        <f ca="1">OFFSET(FTRA!N$131,$E89,0)</f>
        <v>0.68767760882583318</v>
      </c>
      <c r="J89" s="24">
        <f ca="1">OFFSET(FTRA!O$131,$E89,0)</f>
        <v>0.704124436203308</v>
      </c>
      <c r="K89" s="24">
        <f ca="1">OFFSET(FTRA!P$131,$E89,0)</f>
        <v>0.72006693722491655</v>
      </c>
      <c r="L89" s="24">
        <f ca="1">OFFSET(FTRA!Q$131,$E89,0)</f>
        <v>0.73600943824652509</v>
      </c>
      <c r="M89" s="24">
        <f ca="1">OFFSET(FTRA!R$131,$E89,0)</f>
        <v>0.72064702356147514</v>
      </c>
      <c r="N89" s="24">
        <f ca="1">OFFSET(FTRA!S$131,$E89,0)</f>
        <v>0.70528460887642519</v>
      </c>
      <c r="O89" s="24">
        <f ca="1">OFFSET(FTRA!T$131,$E89,0)</f>
        <v>0.66355618546841733</v>
      </c>
      <c r="P89" s="24">
        <f ca="1">OFFSET(FTRA!U$131,$E89,0)</f>
        <v>0.6746485564296244</v>
      </c>
      <c r="Q89" s="24">
        <f ca="1">OFFSET(FTRA!V$131,$E89,0)</f>
        <v>0.68656878383323239</v>
      </c>
      <c r="R89" s="24">
        <f ca="1">OFFSET(FTRA!W$131,$E89,0)</f>
        <v>0.69848901123684037</v>
      </c>
      <c r="S89" s="24">
        <f ca="1">OFFSET(FTRA!X$131,$E89,0)</f>
        <v>0.71040923864044836</v>
      </c>
      <c r="T89" s="24">
        <f ca="1">OFFSET(FTRA!Y$131,$E89,0)</f>
        <v>0.72232946604405635</v>
      </c>
      <c r="U89" s="24">
        <f ca="1">OFFSET(FTRA!Z$131,$E89,0)</f>
        <v>0.73424969344766433</v>
      </c>
      <c r="V89" s="24">
        <f ca="1">OFFSET(FTRA!AA$131,$E89,0)</f>
        <v>0.74616992085127232</v>
      </c>
      <c r="W89" s="24">
        <f ca="1">OFFSET(FTRA!AB$131,$E89,0)</f>
        <v>0.7580901482548803</v>
      </c>
      <c r="X89" s="24">
        <f ca="1">OFFSET(FTRA!AC$131,$E89,0)</f>
        <v>0.77001037565848829</v>
      </c>
      <c r="Y89" s="24">
        <f ca="1">OFFSET(FTRA!AD$131,$E89,0)</f>
        <v>0.78193060306209605</v>
      </c>
      <c r="Z89" s="24">
        <f ca="1">OFFSET(FTRA!AE$131,$E89,0)</f>
        <v>0.8015946970339749</v>
      </c>
      <c r="AA89" s="24">
        <f ca="1">OFFSET(FTRA!AF$131,$E89,0)</f>
        <v>0.82125879100585375</v>
      </c>
      <c r="AB89" s="24">
        <f ca="1">OFFSET(FTRA!AG$131,$E89,0)</f>
        <v>0.8409228849777326</v>
      </c>
      <c r="AC89" s="24">
        <f ca="1">OFFSET(FTRA!AH$131,$E89,0)</f>
        <v>0.86058697894961145</v>
      </c>
      <c r="AD89" s="24">
        <f ca="1">OFFSET(FTRA!AI$131,$E89,0)</f>
        <v>0.8802510729214903</v>
      </c>
      <c r="AE89" s="24">
        <f ca="1">OFFSET(FTRA!AJ$131,$E89,0)</f>
        <v>0.89991516689336915</v>
      </c>
      <c r="AF89" s="24">
        <f ca="1">OFFSET(FTRA!AK$131,$E89,0)</f>
        <v>0.91957926086524799</v>
      </c>
      <c r="AG89" s="24">
        <f ca="1">OFFSET(FTRA!AL$131,$E89,0)</f>
        <v>0.93924335483712684</v>
      </c>
      <c r="AH89" s="24">
        <f ca="1">OFFSET(FTRA!AM$131,$E89,0)</f>
        <v>0.95890744880900569</v>
      </c>
      <c r="AI89" s="24">
        <f ca="1">OFFSET(FTRA!AN$131,$E89,0)</f>
        <v>0.97857154278088487</v>
      </c>
      <c r="AJ89" s="24">
        <f ca="1">OFFSET(FTRA!AO$131,$E89,0)</f>
        <v>1.1219810661840002</v>
      </c>
      <c r="AK89" s="24">
        <f ca="1">OFFSET(FTRA!AP$131,$E89,0)</f>
        <v>1.2653905895871154</v>
      </c>
      <c r="AL89" s="24">
        <f ca="1">OFFSET(FTRA!AQ$131,$E89,0)</f>
        <v>1.2653905895871154</v>
      </c>
      <c r="AM89" s="24">
        <f ca="1">OFFSET(FTRA!AR$131,$E89,0)</f>
        <v>1.2653905895871154</v>
      </c>
    </row>
    <row r="90" spans="1:39" s="4" customFormat="1">
      <c r="A90" s="36" t="s">
        <v>414</v>
      </c>
      <c r="B90" s="24">
        <v>2.7195831056144888</v>
      </c>
      <c r="E90" s="135">
        <f>MATCH(F90,FTRA!$D$132:$D$144,0)</f>
        <v>4</v>
      </c>
      <c r="F90" s="4" t="str">
        <f t="shared" si="3"/>
        <v>TFHCV3</v>
      </c>
      <c r="G90" s="24">
        <f ca="1">OFFSET(FTRA!L$131,$E90,0)</f>
        <v>2.7114063478211388</v>
      </c>
      <c r="H90" s="24">
        <f ca="1">OFFSET(FTRA!M$131,$E90,0)</f>
        <v>2.7742708985474289</v>
      </c>
      <c r="I90" s="24">
        <f ca="1">OFFSET(FTRA!N$131,$E90,0)</f>
        <v>2.8371354492737191</v>
      </c>
      <c r="J90" s="24">
        <f ca="1">OFFSET(FTRA!O$131,$E90,0)</f>
        <v>2.9</v>
      </c>
      <c r="K90" s="24">
        <f ca="1">OFFSET(FTRA!P$131,$E90,0)</f>
        <v>2.9652984627095749</v>
      </c>
      <c r="L90" s="24">
        <f ca="1">OFFSET(FTRA!Q$131,$E90,0)</f>
        <v>3.0305969254191498</v>
      </c>
      <c r="M90" s="24">
        <f ca="1">OFFSET(FTRA!R$131,$E90,0)</f>
        <v>2.9755611597709288</v>
      </c>
      <c r="N90" s="24">
        <f ca="1">OFFSET(FTRA!S$131,$E90,0)</f>
        <v>2.9205253941227078</v>
      </c>
      <c r="O90" s="24">
        <f ca="1">OFFSET(FTRA!T$131,$E90,0)</f>
        <v>2.7477314345126453</v>
      </c>
      <c r="P90" s="24">
        <f ca="1">OFFSET(FTRA!U$131,$E90,0)</f>
        <v>2.7936640277743123</v>
      </c>
      <c r="Q90" s="24">
        <f ca="1">OFFSET(FTRA!V$131,$E90,0)</f>
        <v>2.8430247062831131</v>
      </c>
      <c r="R90" s="24">
        <f ca="1">OFFSET(FTRA!W$131,$E90,0)</f>
        <v>2.8923853847919139</v>
      </c>
      <c r="S90" s="24">
        <f ca="1">OFFSET(FTRA!X$131,$E90,0)</f>
        <v>2.9417460633007146</v>
      </c>
      <c r="T90" s="24">
        <f ca="1">OFFSET(FTRA!Y$131,$E90,0)</f>
        <v>2.9911067418095154</v>
      </c>
      <c r="U90" s="24">
        <f ca="1">OFFSET(FTRA!Z$131,$E90,0)</f>
        <v>3.0404674203183162</v>
      </c>
      <c r="V90" s="24">
        <f ca="1">OFFSET(FTRA!AA$131,$E90,0)</f>
        <v>3.089828098827117</v>
      </c>
      <c r="W90" s="24">
        <f ca="1">OFFSET(FTRA!AB$131,$E90,0)</f>
        <v>3.1391887773359177</v>
      </c>
      <c r="X90" s="24">
        <f ca="1">OFFSET(FTRA!AC$131,$E90,0)</f>
        <v>3.1885494558447185</v>
      </c>
      <c r="Y90" s="24">
        <f ca="1">OFFSET(FTRA!AD$131,$E90,0)</f>
        <v>3.2379101343535184</v>
      </c>
      <c r="Z90" s="24">
        <f ca="1">OFFSET(FTRA!AE$131,$E90,0)</f>
        <v>3.3193375256144413</v>
      </c>
      <c r="AA90" s="24">
        <f ca="1">OFFSET(FTRA!AF$131,$E90,0)</f>
        <v>3.4007649168753642</v>
      </c>
      <c r="AB90" s="24">
        <f ca="1">OFFSET(FTRA!AG$131,$E90,0)</f>
        <v>3.4821923081362871</v>
      </c>
      <c r="AC90" s="24">
        <f ca="1">OFFSET(FTRA!AH$131,$E90,0)</f>
        <v>3.56361969939721</v>
      </c>
      <c r="AD90" s="24">
        <f ca="1">OFFSET(FTRA!AI$131,$E90,0)</f>
        <v>3.6450470906581329</v>
      </c>
      <c r="AE90" s="24">
        <f ca="1">OFFSET(FTRA!AJ$131,$E90,0)</f>
        <v>3.7264744819190558</v>
      </c>
      <c r="AF90" s="24">
        <f ca="1">OFFSET(FTRA!AK$131,$E90,0)</f>
        <v>3.8079018731799787</v>
      </c>
      <c r="AG90" s="24">
        <f ca="1">OFFSET(FTRA!AL$131,$E90,0)</f>
        <v>3.8893292644409017</v>
      </c>
      <c r="AH90" s="24">
        <f ca="1">OFFSET(FTRA!AM$131,$E90,0)</f>
        <v>3.9707566557018246</v>
      </c>
      <c r="AI90" s="24">
        <f ca="1">OFFSET(FTRA!AN$131,$E90,0)</f>
        <v>4.0521840469627461</v>
      </c>
      <c r="AJ90" s="24">
        <f ca="1">OFFSET(FTRA!AO$131,$E90,0)</f>
        <v>4.6460310550876853</v>
      </c>
      <c r="AK90" s="24">
        <f ca="1">OFFSET(FTRA!AP$131,$E90,0)</f>
        <v>5.2398780632126236</v>
      </c>
      <c r="AL90" s="24">
        <f ca="1">OFFSET(FTRA!AQ$131,$E90,0)</f>
        <v>5.2398780632126236</v>
      </c>
      <c r="AM90" s="24">
        <f ca="1">OFFSET(FTRA!AR$131,$E90,0)</f>
        <v>5.2398780632126236</v>
      </c>
    </row>
    <row r="91" spans="1:39" s="4" customFormat="1">
      <c r="A91" s="36" t="s">
        <v>415</v>
      </c>
      <c r="B91" s="24">
        <v>0.66594475210557558</v>
      </c>
      <c r="E91" s="135">
        <f>MATCH(F91,FTRA!$D$132:$D$144,0)</f>
        <v>5</v>
      </c>
      <c r="F91" s="4" t="str">
        <f t="shared" si="3"/>
        <v>TFHCV4</v>
      </c>
      <c r="G91" s="24">
        <f ca="1">OFFSET(FTRA!L$131,$E91,0)</f>
        <v>0.57023972229676956</v>
      </c>
      <c r="H91" s="24">
        <f ca="1">OFFSET(FTRA!M$131,$E91,0)</f>
        <v>0.55900373411704862</v>
      </c>
      <c r="I91" s="24">
        <f ca="1">OFFSET(FTRA!N$131,$E91,0)</f>
        <v>0.54776774593732769</v>
      </c>
      <c r="J91" s="24">
        <f ca="1">OFFSET(FTRA!O$131,$E91,0)</f>
        <v>0.53653175775760331</v>
      </c>
      <c r="K91" s="24">
        <f ca="1">OFFSET(FTRA!P$131,$E91,0)</f>
        <v>0.54016937887880168</v>
      </c>
      <c r="L91" s="24">
        <f ca="1">OFFSET(FTRA!Q$131,$E91,0)</f>
        <v>0.54380700000000004</v>
      </c>
      <c r="M91" s="24">
        <f ca="1">OFFSET(FTRA!R$131,$E91,0)</f>
        <v>0.57901342305588788</v>
      </c>
      <c r="N91" s="24">
        <f ca="1">OFFSET(FTRA!S$131,$E91,0)</f>
        <v>0.6142198461117756</v>
      </c>
      <c r="O91" s="24">
        <f ca="1">OFFSET(FTRA!T$131,$E91,0)</f>
        <v>0.57787930290187206</v>
      </c>
      <c r="P91" s="24">
        <f ca="1">OFFSET(FTRA!U$131,$E91,0)</f>
        <v>0.58753945186735324</v>
      </c>
      <c r="Q91" s="24">
        <f ca="1">OFFSET(FTRA!V$131,$E91,0)</f>
        <v>0.59792056631294621</v>
      </c>
      <c r="R91" s="24">
        <f ca="1">OFFSET(FTRA!W$131,$E91,0)</f>
        <v>0.60830168075853919</v>
      </c>
      <c r="S91" s="24">
        <f ca="1">OFFSET(FTRA!X$131,$E91,0)</f>
        <v>0.61868279520413216</v>
      </c>
      <c r="T91" s="24">
        <f ca="1">OFFSET(FTRA!Y$131,$E91,0)</f>
        <v>0.62906390964972514</v>
      </c>
      <c r="U91" s="24">
        <f ca="1">OFFSET(FTRA!Z$131,$E91,0)</f>
        <v>0.63944502409531812</v>
      </c>
      <c r="V91" s="24">
        <f ca="1">OFFSET(FTRA!AA$131,$E91,0)</f>
        <v>0.64982613854091109</v>
      </c>
      <c r="W91" s="24">
        <f ca="1">OFFSET(FTRA!AB$131,$E91,0)</f>
        <v>0.66020725298650407</v>
      </c>
      <c r="X91" s="24">
        <f ca="1">OFFSET(FTRA!AC$131,$E91,0)</f>
        <v>0.67058836743209704</v>
      </c>
      <c r="Y91" s="24">
        <f ca="1">OFFSET(FTRA!AD$131,$E91,0)</f>
        <v>0.68096948187769002</v>
      </c>
      <c r="Z91" s="24">
        <f ca="1">OFFSET(FTRA!AE$131,$E91,0)</f>
        <v>0.69809459225345205</v>
      </c>
      <c r="AA91" s="24">
        <f ca="1">OFFSET(FTRA!AF$131,$E91,0)</f>
        <v>0.71521970262921408</v>
      </c>
      <c r="AB91" s="24">
        <f ca="1">OFFSET(FTRA!AG$131,$E91,0)</f>
        <v>0.73234481300497611</v>
      </c>
      <c r="AC91" s="24">
        <f ca="1">OFFSET(FTRA!AH$131,$E91,0)</f>
        <v>0.74946992338073815</v>
      </c>
      <c r="AD91" s="24">
        <f ca="1">OFFSET(FTRA!AI$131,$E91,0)</f>
        <v>0.76659503375650018</v>
      </c>
      <c r="AE91" s="24">
        <f ca="1">OFFSET(FTRA!AJ$131,$E91,0)</f>
        <v>0.78372014413226221</v>
      </c>
      <c r="AF91" s="24">
        <f ca="1">OFFSET(FTRA!AK$131,$E91,0)</f>
        <v>0.80084525450802424</v>
      </c>
      <c r="AG91" s="24">
        <f ca="1">OFFSET(FTRA!AL$131,$E91,0)</f>
        <v>0.81797036488378627</v>
      </c>
      <c r="AH91" s="24">
        <f ca="1">OFFSET(FTRA!AM$131,$E91,0)</f>
        <v>0.8350954752595483</v>
      </c>
      <c r="AI91" s="24">
        <f ca="1">OFFSET(FTRA!AN$131,$E91,0)</f>
        <v>0.85222058563531045</v>
      </c>
      <c r="AJ91" s="24">
        <f ca="1">OFFSET(FTRA!AO$131,$E91,0)</f>
        <v>0.97711339385347207</v>
      </c>
      <c r="AK91" s="24">
        <f ca="1">OFFSET(FTRA!AP$131,$E91,0)</f>
        <v>1.1020062020716337</v>
      </c>
      <c r="AL91" s="24">
        <f ca="1">OFFSET(FTRA!AQ$131,$E91,0)</f>
        <v>1.1020062020716337</v>
      </c>
      <c r="AM91" s="24">
        <f ca="1">OFFSET(FTRA!AR$131,$E91,0)</f>
        <v>1.1020062020716337</v>
      </c>
    </row>
    <row r="92" spans="1:39" s="4" customFormat="1">
      <c r="A92" s="36" t="s">
        <v>416</v>
      </c>
      <c r="B92" s="24">
        <v>0.33457448391316724</v>
      </c>
      <c r="E92" s="135">
        <f>MATCH(F92,FTRA!$D$132:$D$144,0)</f>
        <v>6</v>
      </c>
      <c r="F92" s="4" t="str">
        <f t="shared" si="3"/>
        <v>TFHCV5</v>
      </c>
      <c r="G92" s="24">
        <f ca="1">OFFSET(FTRA!L$131,$E92,0)</f>
        <v>0.27326501935541331</v>
      </c>
      <c r="H92" s="24">
        <f ca="1">OFFSET(FTRA!M$131,$E92,0)</f>
        <v>0.27740453823694228</v>
      </c>
      <c r="I92" s="24">
        <f ca="1">OFFSET(FTRA!N$131,$E92,0)</f>
        <v>0.28154405711847125</v>
      </c>
      <c r="J92" s="24">
        <f ca="1">OFFSET(FTRA!O$131,$E92,0)</f>
        <v>0.28568357599999999</v>
      </c>
      <c r="K92" s="24">
        <f ca="1">OFFSET(FTRA!P$131,$E92,0)</f>
        <v>0.2876204765</v>
      </c>
      <c r="L92" s="24">
        <f ca="1">OFFSET(FTRA!Q$131,$E92,0)</f>
        <v>0.289557377</v>
      </c>
      <c r="M92" s="24">
        <f ca="1">OFFSET(FTRA!R$131,$E92,0)</f>
        <v>0.29194907279047111</v>
      </c>
      <c r="N92" s="24">
        <f ca="1">OFFSET(FTRA!S$131,$E92,0)</f>
        <v>0.29434076858094221</v>
      </c>
      <c r="O92" s="24">
        <f ca="1">OFFSET(FTRA!T$131,$E92,0)</f>
        <v>0.27692598869917107</v>
      </c>
      <c r="P92" s="24">
        <f ca="1">OFFSET(FTRA!U$131,$E92,0)</f>
        <v>0.28155523617319139</v>
      </c>
      <c r="Q92" s="24">
        <f ca="1">OFFSET(FTRA!V$131,$E92,0)</f>
        <v>0.28652997807380803</v>
      </c>
      <c r="R92" s="24">
        <f ca="1">OFFSET(FTRA!W$131,$E92,0)</f>
        <v>0.29150471997442468</v>
      </c>
      <c r="S92" s="24">
        <f ca="1">OFFSET(FTRA!X$131,$E92,0)</f>
        <v>0.29647946187504132</v>
      </c>
      <c r="T92" s="24">
        <f ca="1">OFFSET(FTRA!Y$131,$E92,0)</f>
        <v>0.30145420377565796</v>
      </c>
      <c r="U92" s="24">
        <f ca="1">OFFSET(FTRA!Z$131,$E92,0)</f>
        <v>0.3064289456762746</v>
      </c>
      <c r="V92" s="24">
        <f ca="1">OFFSET(FTRA!AA$131,$E92,0)</f>
        <v>0.31140368757689124</v>
      </c>
      <c r="W92" s="24">
        <f ca="1">OFFSET(FTRA!AB$131,$E92,0)</f>
        <v>0.31637842947750788</v>
      </c>
      <c r="X92" s="24">
        <f ca="1">OFFSET(FTRA!AC$131,$E92,0)</f>
        <v>0.32135317137812452</v>
      </c>
      <c r="Y92" s="24">
        <f ca="1">OFFSET(FTRA!AD$131,$E92,0)</f>
        <v>0.32632791327874128</v>
      </c>
      <c r="Z92" s="24">
        <f ca="1">OFFSET(FTRA!AE$131,$E92,0)</f>
        <v>0.33453445069680765</v>
      </c>
      <c r="AA92" s="24">
        <f ca="1">OFFSET(FTRA!AF$131,$E92,0)</f>
        <v>0.34274098811487402</v>
      </c>
      <c r="AB92" s="24">
        <f ca="1">OFFSET(FTRA!AG$131,$E92,0)</f>
        <v>0.3509475255329404</v>
      </c>
      <c r="AC92" s="24">
        <f ca="1">OFFSET(FTRA!AH$131,$E92,0)</f>
        <v>0.35915406295100677</v>
      </c>
      <c r="AD92" s="24">
        <f ca="1">OFFSET(FTRA!AI$131,$E92,0)</f>
        <v>0.36736060036907314</v>
      </c>
      <c r="AE92" s="24">
        <f ca="1">OFFSET(FTRA!AJ$131,$E92,0)</f>
        <v>0.37556713778713952</v>
      </c>
      <c r="AF92" s="24">
        <f ca="1">OFFSET(FTRA!AK$131,$E92,0)</f>
        <v>0.38377367520520589</v>
      </c>
      <c r="AG92" s="24">
        <f ca="1">OFFSET(FTRA!AL$131,$E92,0)</f>
        <v>0.39198021262327226</v>
      </c>
      <c r="AH92" s="24">
        <f ca="1">OFFSET(FTRA!AM$131,$E92,0)</f>
        <v>0.40018675004133863</v>
      </c>
      <c r="AI92" s="24">
        <f ca="1">OFFSET(FTRA!AN$131,$E92,0)</f>
        <v>0.40839328745940517</v>
      </c>
      <c r="AJ92" s="24">
        <f ca="1">OFFSET(FTRA!AO$131,$E92,0)</f>
        <v>0.46824326689897561</v>
      </c>
      <c r="AK92" s="24">
        <f ca="1">OFFSET(FTRA!AP$131,$E92,0)</f>
        <v>0.52809324633854615</v>
      </c>
      <c r="AL92" s="24">
        <f ca="1">OFFSET(FTRA!AQ$131,$E92,0)</f>
        <v>0.52809324633854615</v>
      </c>
      <c r="AM92" s="24">
        <f ca="1">OFFSET(FTRA!AR$131,$E92,0)</f>
        <v>0.52809324633854615</v>
      </c>
    </row>
    <row r="93" spans="1:39" s="4" customFormat="1">
      <c r="A93" s="36" t="s">
        <v>417</v>
      </c>
      <c r="B93" s="24">
        <v>4.2080971938397562</v>
      </c>
      <c r="E93" s="135">
        <f>MATCH(F93,FTRA!$D$132:$D$144,0)</f>
        <v>7</v>
      </c>
      <c r="F93" s="4" t="str">
        <f t="shared" si="3"/>
        <v>TFHCV6</v>
      </c>
      <c r="G93" s="24">
        <f ca="1">OFFSET(FTRA!L$131,$E93,0)</f>
        <v>5.0361375113209643</v>
      </c>
      <c r="H93" s="24">
        <f ca="1">OFFSET(FTRA!M$131,$E93,0)</f>
        <v>5.3607583408806443</v>
      </c>
      <c r="I93" s="24">
        <f ca="1">OFFSET(FTRA!N$131,$E93,0)</f>
        <v>5.6853791704403243</v>
      </c>
      <c r="J93" s="24">
        <f ca="1">OFFSET(FTRA!O$131,$E93,0)</f>
        <v>6.01</v>
      </c>
      <c r="K93" s="24">
        <f ca="1">OFFSET(FTRA!P$131,$E93,0)</f>
        <v>6.3253919226144593</v>
      </c>
      <c r="L93" s="24">
        <f ca="1">OFFSET(FTRA!Q$131,$E93,0)</f>
        <v>6.6407838452289196</v>
      </c>
      <c r="M93" s="24">
        <f ca="1">OFFSET(FTRA!R$131,$E93,0)</f>
        <v>6.0326684321693991</v>
      </c>
      <c r="N93" s="24">
        <f ca="1">OFFSET(FTRA!S$131,$E93,0)</f>
        <v>5.4245530191098785</v>
      </c>
      <c r="O93" s="24">
        <f ca="1">OFFSET(FTRA!T$131,$E93,0)</f>
        <v>5.1036073436594931</v>
      </c>
      <c r="P93" s="24">
        <f ca="1">OFFSET(FTRA!U$131,$E93,0)</f>
        <v>5.188922057222519</v>
      </c>
      <c r="Q93" s="24">
        <f ca="1">OFFSET(FTRA!V$131,$E93,0)</f>
        <v>5.2806040601145563</v>
      </c>
      <c r="R93" s="24">
        <f ca="1">OFFSET(FTRA!W$131,$E93,0)</f>
        <v>5.3722860630065936</v>
      </c>
      <c r="S93" s="24">
        <f ca="1">OFFSET(FTRA!X$131,$E93,0)</f>
        <v>5.4639680658986309</v>
      </c>
      <c r="T93" s="24">
        <f ca="1">OFFSET(FTRA!Y$131,$E93,0)</f>
        <v>5.5556500687906683</v>
      </c>
      <c r="U93" s="24">
        <f ca="1">OFFSET(FTRA!Z$131,$E93,0)</f>
        <v>5.6473320716827056</v>
      </c>
      <c r="V93" s="24">
        <f ca="1">OFFSET(FTRA!AA$131,$E93,0)</f>
        <v>5.7390140745747429</v>
      </c>
      <c r="W93" s="24">
        <f ca="1">OFFSET(FTRA!AB$131,$E93,0)</f>
        <v>5.8306960774667802</v>
      </c>
      <c r="X93" s="24">
        <f ca="1">OFFSET(FTRA!AC$131,$E93,0)</f>
        <v>5.9223780803588175</v>
      </c>
      <c r="Y93" s="24">
        <f ca="1">OFFSET(FTRA!AD$131,$E93,0)</f>
        <v>6.0140600832508548</v>
      </c>
      <c r="Z93" s="24">
        <f ca="1">OFFSET(FTRA!AE$131,$E93,0)</f>
        <v>6.1653024597053019</v>
      </c>
      <c r="AA93" s="24">
        <f ca="1">OFFSET(FTRA!AF$131,$E93,0)</f>
        <v>6.3165448361597489</v>
      </c>
      <c r="AB93" s="24">
        <f ca="1">OFFSET(FTRA!AG$131,$E93,0)</f>
        <v>6.467787212614196</v>
      </c>
      <c r="AC93" s="24">
        <f ca="1">OFFSET(FTRA!AH$131,$E93,0)</f>
        <v>6.619029589068643</v>
      </c>
      <c r="AD93" s="24">
        <f ca="1">OFFSET(FTRA!AI$131,$E93,0)</f>
        <v>6.7702719655230901</v>
      </c>
      <c r="AE93" s="24">
        <f ca="1">OFFSET(FTRA!AJ$131,$E93,0)</f>
        <v>6.9215143419775371</v>
      </c>
      <c r="AF93" s="24">
        <f ca="1">OFFSET(FTRA!AK$131,$E93,0)</f>
        <v>7.0727567184319842</v>
      </c>
      <c r="AG93" s="24">
        <f ca="1">OFFSET(FTRA!AL$131,$E93,0)</f>
        <v>7.2239990948864312</v>
      </c>
      <c r="AH93" s="24">
        <f ca="1">OFFSET(FTRA!AM$131,$E93,0)</f>
        <v>7.3752414713408783</v>
      </c>
      <c r="AI93" s="24">
        <f ca="1">OFFSET(FTRA!AN$131,$E93,0)</f>
        <v>7.5264838477953289</v>
      </c>
      <c r="AJ93" s="24">
        <f ca="1">OFFSET(FTRA!AO$131,$E93,0)</f>
        <v>8.6294890082011193</v>
      </c>
      <c r="AK93" s="24">
        <f ca="1">OFFSET(FTRA!AP$131,$E93,0)</f>
        <v>9.7324941686069124</v>
      </c>
      <c r="AL93" s="24">
        <f ca="1">OFFSET(FTRA!AQ$131,$E93,0)</f>
        <v>9.7324941686069124</v>
      </c>
      <c r="AM93" s="24">
        <f ca="1">OFFSET(FTRA!AR$131,$E93,0)</f>
        <v>9.7324941686069124</v>
      </c>
    </row>
    <row r="94" spans="1:39" s="4" customFormat="1">
      <c r="A94" s="36" t="s">
        <v>418</v>
      </c>
      <c r="B94" s="24">
        <v>1.4910262867673953</v>
      </c>
      <c r="E94" s="135">
        <f>MATCH(F94,FTRA!$D$132:$D$144,0)</f>
        <v>8</v>
      </c>
      <c r="F94" s="4" t="str">
        <f t="shared" si="3"/>
        <v>TFHCV7</v>
      </c>
      <c r="G94" s="24">
        <f ca="1">OFFSET(FTRA!L$131,$E94,0)</f>
        <v>1.5653068685251963</v>
      </c>
      <c r="H94" s="24">
        <f ca="1">OFFSET(FTRA!M$131,$E94,0)</f>
        <v>1.6102045790167996</v>
      </c>
      <c r="I94" s="24">
        <f ca="1">OFFSET(FTRA!N$131,$E94,0)</f>
        <v>1.6551022895084029</v>
      </c>
      <c r="J94" s="24">
        <f ca="1">OFFSET(FTRA!O$131,$E94,0)</f>
        <v>1.7</v>
      </c>
      <c r="K94" s="24">
        <f ca="1">OFFSET(FTRA!P$131,$E94,0)</f>
        <v>1.74</v>
      </c>
      <c r="L94" s="24">
        <f ca="1">OFFSET(FTRA!Q$131,$E94,0)</f>
        <v>1.78</v>
      </c>
      <c r="M94" s="24">
        <f ca="1">OFFSET(FTRA!R$131,$E94,0)</f>
        <v>1.7330161091118188</v>
      </c>
      <c r="N94" s="24">
        <f ca="1">OFFSET(FTRA!S$131,$E94,0)</f>
        <v>1.6860322182236378</v>
      </c>
      <c r="O94" s="24">
        <f ca="1">OFFSET(FTRA!T$131,$E94,0)</f>
        <v>1.5862775016225472</v>
      </c>
      <c r="P94" s="24">
        <f ca="1">OFFSET(FTRA!U$131,$E94,0)</f>
        <v>1.6127945907263026</v>
      </c>
      <c r="Q94" s="24">
        <f ca="1">OFFSET(FTRA!V$131,$E94,0)</f>
        <v>1.6412907285947482</v>
      </c>
      <c r="R94" s="24">
        <f ca="1">OFFSET(FTRA!W$131,$E94,0)</f>
        <v>1.6697868664631939</v>
      </c>
      <c r="S94" s="24">
        <f ca="1">OFFSET(FTRA!X$131,$E94,0)</f>
        <v>1.6982830043316395</v>
      </c>
      <c r="T94" s="24">
        <f ca="1">OFFSET(FTRA!Y$131,$E94,0)</f>
        <v>1.7267791422000851</v>
      </c>
      <c r="U94" s="24">
        <f ca="1">OFFSET(FTRA!Z$131,$E94,0)</f>
        <v>1.7552752800685307</v>
      </c>
      <c r="V94" s="24">
        <f ca="1">OFFSET(FTRA!AA$131,$E94,0)</f>
        <v>1.7837714179369764</v>
      </c>
      <c r="W94" s="24">
        <f ca="1">OFFSET(FTRA!AB$131,$E94,0)</f>
        <v>1.812267555805422</v>
      </c>
      <c r="X94" s="24">
        <f ca="1">OFFSET(FTRA!AC$131,$E94,0)</f>
        <v>1.8407636936738676</v>
      </c>
      <c r="Y94" s="24">
        <f ca="1">OFFSET(FTRA!AD$131,$E94,0)</f>
        <v>1.8692598315423128</v>
      </c>
      <c r="Z94" s="24">
        <f ca="1">OFFSET(FTRA!AE$131,$E94,0)</f>
        <v>1.9162682244116573</v>
      </c>
      <c r="AA94" s="24">
        <f ca="1">OFFSET(FTRA!AF$131,$E94,0)</f>
        <v>1.9632766172810019</v>
      </c>
      <c r="AB94" s="24">
        <f ca="1">OFFSET(FTRA!AG$131,$E94,0)</f>
        <v>2.0102850101503464</v>
      </c>
      <c r="AC94" s="24">
        <f ca="1">OFFSET(FTRA!AH$131,$E94,0)</f>
        <v>2.057293403019691</v>
      </c>
      <c r="AD94" s="24">
        <f ca="1">OFFSET(FTRA!AI$131,$E94,0)</f>
        <v>2.1043017958890355</v>
      </c>
      <c r="AE94" s="24">
        <f ca="1">OFFSET(FTRA!AJ$131,$E94,0)</f>
        <v>2.1513101887583801</v>
      </c>
      <c r="AF94" s="24">
        <f ca="1">OFFSET(FTRA!AK$131,$E94,0)</f>
        <v>2.1983185816277246</v>
      </c>
      <c r="AG94" s="24">
        <f ca="1">OFFSET(FTRA!AL$131,$E94,0)</f>
        <v>2.2453269744970692</v>
      </c>
      <c r="AH94" s="24">
        <f ca="1">OFFSET(FTRA!AM$131,$E94,0)</f>
        <v>2.2923353673664137</v>
      </c>
      <c r="AI94" s="24">
        <f ca="1">OFFSET(FTRA!AN$131,$E94,0)</f>
        <v>2.3393437602357583</v>
      </c>
      <c r="AJ94" s="24">
        <f ca="1">OFFSET(FTRA!AO$131,$E94,0)</f>
        <v>2.6821742627231795</v>
      </c>
      <c r="AK94" s="24">
        <f ca="1">OFFSET(FTRA!AP$131,$E94,0)</f>
        <v>3.0250047652106007</v>
      </c>
      <c r="AL94" s="24">
        <f ca="1">OFFSET(FTRA!AQ$131,$E94,0)</f>
        <v>3.0250047652106007</v>
      </c>
      <c r="AM94" s="24">
        <f ca="1">OFFSET(FTRA!AR$131,$E94,0)</f>
        <v>3.0250047652106007</v>
      </c>
    </row>
    <row r="95" spans="1:39" s="4" customFormat="1">
      <c r="A95" s="36" t="s">
        <v>419</v>
      </c>
      <c r="B95" s="24">
        <v>0</v>
      </c>
      <c r="E95" s="135">
        <f>MATCH(F95,FTRA!$D$132:$D$144,0)</f>
        <v>9</v>
      </c>
      <c r="F95" s="4" t="str">
        <f t="shared" si="3"/>
        <v>TFHCV8</v>
      </c>
      <c r="G95" s="24">
        <f ca="1">OFFSET(FTRA!L$131,$E95,0)</f>
        <v>5.8486156921973939E-2</v>
      </c>
      <c r="H95" s="24">
        <f ca="1">OFFSET(FTRA!M$131,$E95,0)</f>
        <v>6.5622085483256903E-2</v>
      </c>
      <c r="I95" s="24">
        <f ca="1">OFFSET(FTRA!N$131,$E95,0)</f>
        <v>7.2758014044539868E-2</v>
      </c>
      <c r="J95" s="24">
        <f ca="1">OFFSET(FTRA!O$131,$E95,0)</f>
        <v>7.9893942605822804E-2</v>
      </c>
      <c r="K95" s="24">
        <f ca="1">OFFSET(FTRA!P$131,$E95,0)</f>
        <v>9.0970063028559395E-2</v>
      </c>
      <c r="L95" s="24">
        <f ca="1">OFFSET(FTRA!Q$131,$E95,0)</f>
        <v>0.102046183451296</v>
      </c>
      <c r="M95" s="24">
        <f ca="1">OFFSET(FTRA!R$131,$E95,0)</f>
        <v>8.2521562368481099E-2</v>
      </c>
      <c r="N95" s="24">
        <f ca="1">OFFSET(FTRA!S$131,$E95,0)</f>
        <v>6.29969412856662E-2</v>
      </c>
      <c r="O95" s="24">
        <f ca="1">OFFSET(FTRA!T$131,$E95,0)</f>
        <v>5.9269704073492357E-2</v>
      </c>
      <c r="P95" s="24">
        <f ca="1">OFFSET(FTRA!U$131,$E95,0)</f>
        <v>6.0260489117384367E-2</v>
      </c>
      <c r="Q95" s="24">
        <f ca="1">OFFSET(FTRA!V$131,$E95,0)</f>
        <v>6.1325219378623425E-2</v>
      </c>
      <c r="R95" s="24">
        <f ca="1">OFFSET(FTRA!W$131,$E95,0)</f>
        <v>6.2389949639862483E-2</v>
      </c>
      <c r="S95" s="24">
        <f ca="1">OFFSET(FTRA!X$131,$E95,0)</f>
        <v>6.3454679901101541E-2</v>
      </c>
      <c r="T95" s="24">
        <f ca="1">OFFSET(FTRA!Y$131,$E95,0)</f>
        <v>6.4519410162340599E-2</v>
      </c>
      <c r="U95" s="24">
        <f ca="1">OFFSET(FTRA!Z$131,$E95,0)</f>
        <v>6.5584140423579657E-2</v>
      </c>
      <c r="V95" s="24">
        <f ca="1">OFFSET(FTRA!AA$131,$E95,0)</f>
        <v>6.6648870684818715E-2</v>
      </c>
      <c r="W95" s="24">
        <f ca="1">OFFSET(FTRA!AB$131,$E95,0)</f>
        <v>6.7713600946057773E-2</v>
      </c>
      <c r="X95" s="24">
        <f ca="1">OFFSET(FTRA!AC$131,$E95,0)</f>
        <v>6.8778331207296831E-2</v>
      </c>
      <c r="Y95" s="24">
        <f ca="1">OFFSET(FTRA!AD$131,$E95,0)</f>
        <v>6.9843061468535861E-2</v>
      </c>
      <c r="Z95" s="24">
        <f ca="1">OFFSET(FTRA!AE$131,$E95,0)</f>
        <v>7.1599483993274843E-2</v>
      </c>
      <c r="AA95" s="24">
        <f ca="1">OFFSET(FTRA!AF$131,$E95,0)</f>
        <v>7.3355906518013825E-2</v>
      </c>
      <c r="AB95" s="24">
        <f ca="1">OFFSET(FTRA!AG$131,$E95,0)</f>
        <v>7.5112329042752807E-2</v>
      </c>
      <c r="AC95" s="24">
        <f ca="1">OFFSET(FTRA!AH$131,$E95,0)</f>
        <v>7.6868751567491789E-2</v>
      </c>
      <c r="AD95" s="24">
        <f ca="1">OFFSET(FTRA!AI$131,$E95,0)</f>
        <v>7.8625174092230771E-2</v>
      </c>
      <c r="AE95" s="24">
        <f ca="1">OFFSET(FTRA!AJ$131,$E95,0)</f>
        <v>8.0381596616969753E-2</v>
      </c>
      <c r="AF95" s="24">
        <f ca="1">OFFSET(FTRA!AK$131,$E95,0)</f>
        <v>8.2138019141708735E-2</v>
      </c>
      <c r="AG95" s="24">
        <f ca="1">OFFSET(FTRA!AL$131,$E95,0)</f>
        <v>8.3894441666447717E-2</v>
      </c>
      <c r="AH95" s="24">
        <f ca="1">OFFSET(FTRA!AM$131,$E95,0)</f>
        <v>8.5650864191186699E-2</v>
      </c>
      <c r="AI95" s="24">
        <f ca="1">OFFSET(FTRA!AN$131,$E95,0)</f>
        <v>8.7407286715925681E-2</v>
      </c>
      <c r="AJ95" s="24">
        <f ca="1">OFFSET(FTRA!AO$131,$E95,0)</f>
        <v>0.10021681241934899</v>
      </c>
      <c r="AK95" s="24">
        <f ca="1">OFFSET(FTRA!AP$131,$E95,0)</f>
        <v>0.1130263381227723</v>
      </c>
      <c r="AL95" s="24">
        <f ca="1">OFFSET(FTRA!AQ$131,$E95,0)</f>
        <v>0.1130263381227723</v>
      </c>
      <c r="AM95" s="24">
        <f ca="1">OFFSET(FTRA!AR$131,$E95,0)</f>
        <v>0.1130263381227723</v>
      </c>
    </row>
    <row r="96" spans="1:39">
      <c r="A96" s="36" t="s">
        <v>420</v>
      </c>
      <c r="B96" s="24">
        <v>4.2946824044977329E-2</v>
      </c>
      <c r="E96" s="135">
        <f>MATCH(F96,FTRA!$D$132:$D$144,0)</f>
        <v>10</v>
      </c>
      <c r="F96" s="4" t="str">
        <f t="shared" si="3"/>
        <v>TFHCV9</v>
      </c>
      <c r="G96" s="24">
        <f ca="1">OFFSET(FTRA!L$131,$E96,0)</f>
        <v>3.9969372950314989E-2</v>
      </c>
      <c r="H96" s="24">
        <f ca="1">OFFSET(FTRA!M$131,$E96,0)</f>
        <v>3.4102559292729893E-2</v>
      </c>
      <c r="I96" s="24">
        <f ca="1">OFFSET(FTRA!N$131,$E96,0)</f>
        <v>2.8235745635144794E-2</v>
      </c>
      <c r="J96" s="24">
        <f ca="1">OFFSET(FTRA!O$131,$E96,0)</f>
        <v>2.2368931977559604E-2</v>
      </c>
      <c r="K96" s="24">
        <f ca="1">OFFSET(FTRA!P$131,$E96,0)</f>
        <v>2.2519965988779801E-2</v>
      </c>
      <c r="L96" s="24">
        <f ca="1">OFFSET(FTRA!Q$131,$E96,0)</f>
        <v>2.2670999999999997E-2</v>
      </c>
      <c r="M96" s="24">
        <f ca="1">OFFSET(FTRA!R$131,$E96,0)</f>
        <v>3.2861518920469207E-2</v>
      </c>
      <c r="N96" s="24">
        <f ca="1">OFFSET(FTRA!S$131,$E96,0)</f>
        <v>4.3052037840938417E-2</v>
      </c>
      <c r="O96" s="24">
        <f ca="1">OFFSET(FTRA!T$131,$E96,0)</f>
        <v>4.0504848180205263E-2</v>
      </c>
      <c r="P96" s="24">
        <f ca="1">OFFSET(FTRA!U$131,$E96,0)</f>
        <v>4.1181949549436034E-2</v>
      </c>
      <c r="Q96" s="24">
        <f ca="1">OFFSET(FTRA!V$131,$E96,0)</f>
        <v>4.1909584995884062E-2</v>
      </c>
      <c r="R96" s="24">
        <f ca="1">OFFSET(FTRA!W$131,$E96,0)</f>
        <v>4.2637220442332091E-2</v>
      </c>
      <c r="S96" s="24">
        <f ca="1">OFFSET(FTRA!X$131,$E96,0)</f>
        <v>4.336485588878012E-2</v>
      </c>
      <c r="T96" s="24">
        <f ca="1">OFFSET(FTRA!Y$131,$E96,0)</f>
        <v>4.4092491335228148E-2</v>
      </c>
      <c r="U96" s="24">
        <f ca="1">OFFSET(FTRA!Z$131,$E96,0)</f>
        <v>4.4820126781676177E-2</v>
      </c>
      <c r="V96" s="24">
        <f ca="1">OFFSET(FTRA!AA$131,$E96,0)</f>
        <v>4.5547762228124206E-2</v>
      </c>
      <c r="W96" s="24">
        <f ca="1">OFFSET(FTRA!AB$131,$E96,0)</f>
        <v>4.6275397674572234E-2</v>
      </c>
      <c r="X96" s="24">
        <f ca="1">OFFSET(FTRA!AC$131,$E96,0)</f>
        <v>4.7003033121020263E-2</v>
      </c>
      <c r="Y96" s="24">
        <f ca="1">OFFSET(FTRA!AD$131,$E96,0)</f>
        <v>4.7730668567468298E-2</v>
      </c>
      <c r="Z96" s="24">
        <f ca="1">OFFSET(FTRA!AE$131,$E96,0)</f>
        <v>4.8931005718074447E-2</v>
      </c>
      <c r="AA96" s="24">
        <f ca="1">OFFSET(FTRA!AF$131,$E96,0)</f>
        <v>5.0131342868680595E-2</v>
      </c>
      <c r="AB96" s="24">
        <f ca="1">OFFSET(FTRA!AG$131,$E96,0)</f>
        <v>5.1331680019286743E-2</v>
      </c>
      <c r="AC96" s="24">
        <f ca="1">OFFSET(FTRA!AH$131,$E96,0)</f>
        <v>5.2532017169892892E-2</v>
      </c>
      <c r="AD96" s="24">
        <f ca="1">OFFSET(FTRA!AI$131,$E96,0)</f>
        <v>5.373235432049904E-2</v>
      </c>
      <c r="AE96" s="24">
        <f ca="1">OFFSET(FTRA!AJ$131,$E96,0)</f>
        <v>5.4932691471105188E-2</v>
      </c>
      <c r="AF96" s="24">
        <f ca="1">OFFSET(FTRA!AK$131,$E96,0)</f>
        <v>5.6133028621711337E-2</v>
      </c>
      <c r="AG96" s="24">
        <f ca="1">OFFSET(FTRA!AL$131,$E96,0)</f>
        <v>5.7333365772317485E-2</v>
      </c>
      <c r="AH96" s="24">
        <f ca="1">OFFSET(FTRA!AM$131,$E96,0)</f>
        <v>5.8533702922923633E-2</v>
      </c>
      <c r="AI96" s="24">
        <f ca="1">OFFSET(FTRA!AN$131,$E96,0)</f>
        <v>5.9734040073529761E-2</v>
      </c>
      <c r="AJ96" s="24">
        <f ca="1">OFFSET(FTRA!AO$131,$E96,0)</f>
        <v>6.8488055332898104E-2</v>
      </c>
      <c r="AK96" s="24">
        <f ca="1">OFFSET(FTRA!AP$131,$E96,0)</f>
        <v>7.7242070592266454E-2</v>
      </c>
      <c r="AL96" s="24">
        <f ca="1">OFFSET(FTRA!AQ$131,$E96,0)</f>
        <v>7.7242070592266454E-2</v>
      </c>
      <c r="AM96" s="24">
        <f ca="1">OFFSET(FTRA!AR$131,$E96,0)</f>
        <v>7.7242070592266454E-2</v>
      </c>
    </row>
    <row r="97" spans="1:39">
      <c r="A97" s="36" t="s">
        <v>382</v>
      </c>
      <c r="B97">
        <v>28</v>
      </c>
      <c r="E97" s="135">
        <f>MATCH(F97,FTRA!$D$132:$D$144,0)</f>
        <v>11</v>
      </c>
      <c r="F97" s="4" t="str">
        <f t="shared" si="1"/>
        <v>TFRCO</v>
      </c>
      <c r="G97" s="24">
        <f ca="1">OFFSET(FTRA!L$131,$E97,0)</f>
        <v>22</v>
      </c>
      <c r="H97" s="24">
        <f ca="1">OFFSET(FTRA!M$131,$E97,0)</f>
        <v>22.352445526032646</v>
      </c>
      <c r="I97" s="24">
        <f ca="1">OFFSET(FTRA!N$131,$E97,0)</f>
        <v>22.704891052065292</v>
      </c>
      <c r="J97" s="24">
        <f ca="1">OFFSET(FTRA!O$131,$E97,0)</f>
        <v>23.057336578097942</v>
      </c>
      <c r="K97" s="24">
        <f ca="1">OFFSET(FTRA!P$131,$E97,0)</f>
        <v>23.249070137552067</v>
      </c>
      <c r="L97" s="24">
        <f ca="1">OFFSET(FTRA!Q$131,$E97,0)</f>
        <v>23.440803697006192</v>
      </c>
      <c r="M97" s="24">
        <f ca="1">OFFSET(FTRA!R$131,$E97,0)</f>
        <v>23.568784279696359</v>
      </c>
      <c r="N97" s="24">
        <f ca="1">OFFSET(FTRA!S$131,$E97,0)</f>
        <v>23.696764862386523</v>
      </c>
      <c r="O97" s="24">
        <f ca="1">OFFSET(FTRA!T$131,$E97,0)</f>
        <v>22.294737049596232</v>
      </c>
      <c r="P97" s="24">
        <f ca="1">OFFSET(FTRA!U$131,$E97,0)</f>
        <v>22.667428163404651</v>
      </c>
      <c r="Q97" s="24">
        <f ca="1">OFFSET(FTRA!V$131,$E97,0)</f>
        <v>23.0679343169977</v>
      </c>
      <c r="R97" s="24">
        <f ca="1">OFFSET(FTRA!W$131,$E97,0)</f>
        <v>23.46844047059075</v>
      </c>
      <c r="S97" s="24">
        <f ca="1">OFFSET(FTRA!X$131,$E97,0)</f>
        <v>23.868946624183799</v>
      </c>
      <c r="T97" s="24">
        <f ca="1">OFFSET(FTRA!Y$131,$E97,0)</f>
        <v>24.269452777776849</v>
      </c>
      <c r="U97" s="24">
        <f ca="1">OFFSET(FTRA!Z$131,$E97,0)</f>
        <v>24.669958931369898</v>
      </c>
      <c r="V97" s="24">
        <f ca="1">OFFSET(FTRA!AA$131,$E97,0)</f>
        <v>25.070465084962947</v>
      </c>
      <c r="W97" s="24">
        <f ca="1">OFFSET(FTRA!AB$131,$E97,0)</f>
        <v>25.470971238555997</v>
      </c>
      <c r="X97" s="24">
        <f ca="1">OFFSET(FTRA!AC$131,$E97,0)</f>
        <v>25.871477392149046</v>
      </c>
      <c r="Y97" s="24">
        <f ca="1">OFFSET(FTRA!AD$131,$E97,0)</f>
        <v>26.271983545742081</v>
      </c>
      <c r="Z97" s="24">
        <f ca="1">OFFSET(FTRA!AE$131,$E97,0)</f>
        <v>26.932674854213737</v>
      </c>
      <c r="AA97" s="24">
        <f ca="1">OFFSET(FTRA!AF$131,$E97,0)</f>
        <v>27.593366162685392</v>
      </c>
      <c r="AB97" s="24">
        <f ca="1">OFFSET(FTRA!AG$131,$E97,0)</f>
        <v>28.254057471157047</v>
      </c>
      <c r="AC97" s="24">
        <f ca="1">OFFSET(FTRA!AH$131,$E97,0)</f>
        <v>28.914748779628702</v>
      </c>
      <c r="AD97" s="24">
        <f ca="1">OFFSET(FTRA!AI$131,$E97,0)</f>
        <v>29.575440088100358</v>
      </c>
      <c r="AE97" s="24">
        <f ca="1">OFFSET(FTRA!AJ$131,$E97,0)</f>
        <v>30.236131396572013</v>
      </c>
      <c r="AF97" s="24">
        <f ca="1">OFFSET(FTRA!AK$131,$E97,0)</f>
        <v>30.896822705043668</v>
      </c>
      <c r="AG97" s="24">
        <f ca="1">OFFSET(FTRA!AL$131,$E97,0)</f>
        <v>31.557514013515323</v>
      </c>
      <c r="AH97" s="24">
        <f ca="1">OFFSET(FTRA!AM$131,$E97,0)</f>
        <v>32.218205321986979</v>
      </c>
      <c r="AI97" s="24">
        <f ca="1">OFFSET(FTRA!AN$131,$E97,0)</f>
        <v>32.878896630458648</v>
      </c>
      <c r="AJ97" s="24">
        <f ca="1">OFFSET(FTRA!AO$131,$E97,0)</f>
        <v>37.697294355774616</v>
      </c>
      <c r="AK97" s="24">
        <f ca="1">OFFSET(FTRA!AP$131,$E97,0)</f>
        <v>42.515692081090613</v>
      </c>
      <c r="AL97" s="24">
        <f ca="1">OFFSET(FTRA!AQ$131,$E97,0)</f>
        <v>42.515692081090613</v>
      </c>
      <c r="AM97" s="24">
        <f ca="1">OFFSET(FTRA!AR$131,$E97,0)</f>
        <v>42.515692081090613</v>
      </c>
    </row>
    <row r="98" spans="1:39">
      <c r="A98" s="36" t="s">
        <v>384</v>
      </c>
      <c r="B98">
        <v>26</v>
      </c>
      <c r="E98" s="137">
        <f>MATCH(F98,FTRA!$D$132:$D$144,0)</f>
        <v>12</v>
      </c>
      <c r="F98" s="4" t="str">
        <f>A98</f>
        <v>TFROT</v>
      </c>
      <c r="G98" s="24">
        <f ca="1">OFFSET(FTRA!L$131,$E98,0)</f>
        <v>25.1</v>
      </c>
      <c r="H98" s="24">
        <f ca="1">OFFSET(FTRA!M$131,$E98,0)</f>
        <v>25.502108304700894</v>
      </c>
      <c r="I98" s="24">
        <f ca="1">OFFSET(FTRA!N$131,$E98,0)</f>
        <v>25.904216609401786</v>
      </c>
      <c r="J98" s="24">
        <f ca="1">OFFSET(FTRA!O$131,$E98,0)</f>
        <v>26.306324914102674</v>
      </c>
      <c r="K98" s="24">
        <f ca="1">OFFSET(FTRA!P$131,$E98,0)</f>
        <v>26.525075475116246</v>
      </c>
      <c r="L98" s="24">
        <f ca="1">OFFSET(FTRA!Q$131,$E98,0)</f>
        <v>26.743826036129814</v>
      </c>
      <c r="M98" s="24">
        <f ca="1">OFFSET(FTRA!R$131,$E98,0)</f>
        <v>26.889840246380864</v>
      </c>
      <c r="N98" s="24">
        <f ca="1">OFFSET(FTRA!S$131,$E98,0)</f>
        <v>27.035854456631917</v>
      </c>
      <c r="O98" s="24">
        <f ca="1">OFFSET(FTRA!T$131,$E98,0)</f>
        <v>25.436268179312091</v>
      </c>
      <c r="P98" s="24">
        <f ca="1">OFFSET(FTRA!U$131,$E98,0)</f>
        <v>25.861474859157145</v>
      </c>
      <c r="Q98" s="24">
        <f ca="1">OFFSET(FTRA!V$131,$E98,0)</f>
        <v>26.318415970756487</v>
      </c>
      <c r="R98" s="24">
        <f ca="1">OFFSET(FTRA!W$131,$E98,0)</f>
        <v>26.775357082355828</v>
      </c>
      <c r="S98" s="24">
        <f ca="1">OFFSET(FTRA!X$131,$E98,0)</f>
        <v>27.23229819395517</v>
      </c>
      <c r="T98" s="24">
        <f ca="1">OFFSET(FTRA!Y$131,$E98,0)</f>
        <v>27.689239305554512</v>
      </c>
      <c r="U98" s="24">
        <f ca="1">OFFSET(FTRA!Z$131,$E98,0)</f>
        <v>28.146180417153854</v>
      </c>
      <c r="V98" s="24">
        <f ca="1">OFFSET(FTRA!AA$131,$E98,0)</f>
        <v>28.603121528753196</v>
      </c>
      <c r="W98" s="24">
        <f ca="1">OFFSET(FTRA!AB$131,$E98,0)</f>
        <v>29.060062640352537</v>
      </c>
      <c r="X98" s="24">
        <f ca="1">OFFSET(FTRA!AC$131,$E98,0)</f>
        <v>29.517003751951879</v>
      </c>
      <c r="Y98" s="24">
        <f ca="1">OFFSET(FTRA!AD$131,$E98,0)</f>
        <v>29.973944863551218</v>
      </c>
      <c r="Z98" s="24">
        <f ca="1">OFFSET(FTRA!AE$131,$E98,0)</f>
        <v>30.727733583671153</v>
      </c>
      <c r="AA98" s="24">
        <f ca="1">OFFSET(FTRA!AF$131,$E98,0)</f>
        <v>31.481522303791088</v>
      </c>
      <c r="AB98" s="24">
        <f ca="1">OFFSET(FTRA!AG$131,$E98,0)</f>
        <v>32.235311023911024</v>
      </c>
      <c r="AC98" s="24">
        <f ca="1">OFFSET(FTRA!AH$131,$E98,0)</f>
        <v>32.989099744030959</v>
      </c>
      <c r="AD98" s="24">
        <f ca="1">OFFSET(FTRA!AI$131,$E98,0)</f>
        <v>33.742888464150894</v>
      </c>
      <c r="AE98" s="24">
        <f ca="1">OFFSET(FTRA!AJ$131,$E98,0)</f>
        <v>34.49667718427083</v>
      </c>
      <c r="AF98" s="24">
        <f ca="1">OFFSET(FTRA!AK$131,$E98,0)</f>
        <v>35.250465904390765</v>
      </c>
      <c r="AG98" s="24">
        <f ca="1">OFFSET(FTRA!AL$131,$E98,0)</f>
        <v>36.0042546245107</v>
      </c>
      <c r="AH98" s="24">
        <f ca="1">OFFSET(FTRA!AM$131,$E98,0)</f>
        <v>36.758043344630636</v>
      </c>
      <c r="AI98" s="24">
        <f ca="1">OFFSET(FTRA!AN$131,$E98,0)</f>
        <v>37.511832064750571</v>
      </c>
      <c r="AJ98" s="24">
        <f ca="1">OFFSET(FTRA!AO$131,$E98,0)</f>
        <v>43.009185833179252</v>
      </c>
      <c r="AK98" s="24">
        <f ca="1">OFFSET(FTRA!AP$131,$E98,0)</f>
        <v>48.506539601607955</v>
      </c>
      <c r="AL98" s="24">
        <f ca="1">OFFSET(FTRA!AQ$131,$E98,0)</f>
        <v>48.506539601607955</v>
      </c>
      <c r="AM98" s="24">
        <f ca="1">OFFSET(FTRA!AR$131,$E98,0)</f>
        <v>48.506539601607955</v>
      </c>
    </row>
    <row r="99" spans="1:39">
      <c r="A99" s="36" t="s">
        <v>383</v>
      </c>
      <c r="B99">
        <v>67</v>
      </c>
      <c r="E99" s="136">
        <f>MATCH(F99,FTRA!$D$132:$D$144,0)</f>
        <v>13</v>
      </c>
      <c r="F99" s="4" t="str">
        <f t="shared" si="1"/>
        <v>TFREX</v>
      </c>
      <c r="G99" s="24">
        <f ca="1">OFFSET(FTRA!L$131,$E99,0)</f>
        <v>82.000000000000014</v>
      </c>
      <c r="H99" s="24">
        <f ca="1">OFFSET(FTRA!M$131,$E99,0)</f>
        <v>82.000000000000014</v>
      </c>
      <c r="I99" s="24">
        <f ca="1">OFFSET(FTRA!N$131,$E99,0)</f>
        <v>82.000000000000014</v>
      </c>
      <c r="J99" s="24">
        <f ca="1">OFFSET(FTRA!O$131,$E99,0)</f>
        <v>82.000000000000014</v>
      </c>
      <c r="K99" s="24">
        <f ca="1">OFFSET(FTRA!P$131,$E99,0)</f>
        <v>82.000000000000014</v>
      </c>
      <c r="L99" s="24">
        <f ca="1">OFFSET(FTRA!Q$131,$E99,0)</f>
        <v>82.000000000000014</v>
      </c>
      <c r="M99" s="24">
        <f ca="1">OFFSET(FTRA!R$131,$E99,0)</f>
        <v>82.736172776937963</v>
      </c>
      <c r="N99" s="24">
        <f ca="1">OFFSET(FTRA!S$131,$E99,0)</f>
        <v>83.472345553875925</v>
      </c>
      <c r="O99" s="24">
        <f ca="1">OFFSET(FTRA!T$131,$E99,0)</f>
        <v>75.296230147600653</v>
      </c>
      <c r="P99" s="24">
        <f ca="1">OFFSET(FTRA!U$131,$E99,0)</f>
        <v>79.105852655656591</v>
      </c>
      <c r="Q99" s="24">
        <f ca="1">OFFSET(FTRA!V$131,$E99,0)</f>
        <v>80.098633146166875</v>
      </c>
      <c r="R99" s="24">
        <f ca="1">OFFSET(FTRA!W$131,$E99,0)</f>
        <v>81.09141363667716</v>
      </c>
      <c r="S99" s="24">
        <f ca="1">OFFSET(FTRA!X$131,$E99,0)</f>
        <v>82.084194127187445</v>
      </c>
      <c r="T99" s="24">
        <f ca="1">OFFSET(FTRA!Y$131,$E99,0)</f>
        <v>83.076974617697729</v>
      </c>
      <c r="U99" s="24">
        <f ca="1">OFFSET(FTRA!Z$131,$E99,0)</f>
        <v>84.069755108208014</v>
      </c>
      <c r="V99" s="24">
        <f ca="1">OFFSET(FTRA!AA$131,$E99,0)</f>
        <v>85.062535598718299</v>
      </c>
      <c r="W99" s="24">
        <f ca="1">OFFSET(FTRA!AB$131,$E99,0)</f>
        <v>86.055316089228583</v>
      </c>
      <c r="X99" s="24">
        <f ca="1">OFFSET(FTRA!AC$131,$E99,0)</f>
        <v>87.048096579738868</v>
      </c>
      <c r="Y99" s="24">
        <f ca="1">OFFSET(FTRA!AD$131,$E99,0)</f>
        <v>88.040877070249095</v>
      </c>
      <c r="Z99" s="24">
        <f ca="1">OFFSET(FTRA!AE$131,$E99,0)</f>
        <v>89.889451104345525</v>
      </c>
      <c r="AA99" s="24">
        <f ca="1">OFFSET(FTRA!AF$131,$E99,0)</f>
        <v>91.738025138441955</v>
      </c>
      <c r="AB99" s="24">
        <f ca="1">OFFSET(FTRA!AG$131,$E99,0)</f>
        <v>93.586599172538385</v>
      </c>
      <c r="AC99" s="24">
        <f ca="1">OFFSET(FTRA!AH$131,$E99,0)</f>
        <v>95.435173206634815</v>
      </c>
      <c r="AD99" s="24">
        <f ca="1">OFFSET(FTRA!AI$131,$E99,0)</f>
        <v>97.283747240731245</v>
      </c>
      <c r="AE99" s="24">
        <f ca="1">OFFSET(FTRA!AJ$131,$E99,0)</f>
        <v>99.132321274827675</v>
      </c>
      <c r="AF99" s="24">
        <f ca="1">OFFSET(FTRA!AK$131,$E99,0)</f>
        <v>100.9808953089241</v>
      </c>
      <c r="AG99" s="24">
        <f ca="1">OFFSET(FTRA!AL$131,$E99,0)</f>
        <v>102.82946934302053</v>
      </c>
      <c r="AH99" s="24">
        <f ca="1">OFFSET(FTRA!AM$131,$E99,0)</f>
        <v>104.67804337711696</v>
      </c>
      <c r="AI99" s="24">
        <f ca="1">OFFSET(FTRA!AN$131,$E99,0)</f>
        <v>106.52661741121337</v>
      </c>
      <c r="AJ99" s="24">
        <f ca="1">OFFSET(FTRA!AO$131,$E99,0)</f>
        <v>118.05685712150301</v>
      </c>
      <c r="AK99" s="24">
        <f ca="1">OFFSET(FTRA!AP$131,$E99,0)</f>
        <v>129.58709683179268</v>
      </c>
      <c r="AL99" s="24">
        <f ca="1">OFFSET(FTRA!AQ$131,$E99,0)</f>
        <v>129.58709683179268</v>
      </c>
      <c r="AM99" s="24">
        <f ca="1">OFFSET(FTRA!AR$131,$E99,0)</f>
        <v>129.58709683179268</v>
      </c>
    </row>
    <row r="100" spans="1:39">
      <c r="A100" s="36" t="s">
        <v>128</v>
      </c>
      <c r="B100">
        <v>73.203613436309993</v>
      </c>
      <c r="E100" s="135">
        <f>MATCH(F100,PTRA!$D$214:$D$221,0)</f>
        <v>1</v>
      </c>
      <c r="F100" s="4" t="str">
        <f t="shared" si="1"/>
        <v>TPPRCAR</v>
      </c>
      <c r="G100" s="24">
        <f ca="1">OFFSET(PTRA!L$213,$E100,0)</f>
        <v>81.484814157071753</v>
      </c>
      <c r="H100" s="24">
        <f ca="1">OFFSET(PTRA!M$213,$E100,0)</f>
        <v>84.02361101254985</v>
      </c>
      <c r="I100" s="24">
        <f ca="1">OFFSET(PTRA!N$213,$E100,0)</f>
        <v>86.562407868027947</v>
      </c>
      <c r="J100" s="24">
        <f ca="1">OFFSET(PTRA!O$213,$E100,0)</f>
        <v>89.101204723506044</v>
      </c>
      <c r="K100" s="24">
        <f ca="1">OFFSET(PTRA!P$213,$E100,0)</f>
        <v>91.647339821465536</v>
      </c>
      <c r="L100" s="24">
        <f ca="1">OFFSET(PTRA!Q$213,$E100,0)</f>
        <v>94.193474919425029</v>
      </c>
      <c r="M100" s="24">
        <f ca="1">OFFSET(PTRA!R$213,$E100,0)</f>
        <v>96.367090781552335</v>
      </c>
      <c r="N100" s="24">
        <f ca="1">OFFSET(PTRA!S$213,$E100,0)</f>
        <v>98.540706643679641</v>
      </c>
      <c r="O100" s="24">
        <f ca="1">OFFSET(PTRA!T$213,$E100,0)</f>
        <v>94.344957604784639</v>
      </c>
      <c r="P100" s="24">
        <f ca="1">OFFSET(PTRA!U$213,$E100,0)</f>
        <v>94.920703181587982</v>
      </c>
      <c r="Q100" s="24">
        <f ca="1">OFFSET(PTRA!V$213,$E100,0)</f>
        <v>97.866789357662469</v>
      </c>
      <c r="R100" s="24">
        <f ca="1">OFFSET(PTRA!W$213,$E100,0)</f>
        <v>100.81287553373696</v>
      </c>
      <c r="S100" s="24">
        <f ca="1">OFFSET(PTRA!X$213,$E100,0)</f>
        <v>103.75896170981144</v>
      </c>
      <c r="T100" s="24">
        <f ca="1">OFFSET(PTRA!Y$213,$E100,0)</f>
        <v>106.70504788588593</v>
      </c>
      <c r="U100" s="24">
        <f ca="1">OFFSET(PTRA!Z$213,$E100,0)</f>
        <v>109.65113406196042</v>
      </c>
      <c r="V100" s="24">
        <f ca="1">OFFSET(PTRA!AA$213,$E100,0)</f>
        <v>112.59722023803491</v>
      </c>
      <c r="W100" s="24">
        <f ca="1">OFFSET(PTRA!AB$213,$E100,0)</f>
        <v>115.5433064141094</v>
      </c>
      <c r="X100" s="24">
        <f ca="1">OFFSET(PTRA!AC$213,$E100,0)</f>
        <v>118.48939259018388</v>
      </c>
      <c r="Y100" s="24">
        <f ca="1">OFFSET(PTRA!AD$213,$E100,0)</f>
        <v>121.43547876625833</v>
      </c>
      <c r="Z100" s="24">
        <f ca="1">OFFSET(PTRA!AE$213,$E100,0)</f>
        <v>125.37395403839199</v>
      </c>
      <c r="AA100" s="24">
        <f ca="1">OFFSET(PTRA!AF$213,$E100,0)</f>
        <v>129.31242931052566</v>
      </c>
      <c r="AB100" s="24">
        <f ca="1">OFFSET(PTRA!AG$213,$E100,0)</f>
        <v>133.25090458265933</v>
      </c>
      <c r="AC100" s="24">
        <f ca="1">OFFSET(PTRA!AH$213,$E100,0)</f>
        <v>137.189379854793</v>
      </c>
      <c r="AD100" s="24">
        <f ca="1">OFFSET(PTRA!AI$213,$E100,0)</f>
        <v>141.12785512692668</v>
      </c>
      <c r="AE100" s="24">
        <f ca="1">OFFSET(PTRA!AJ$213,$E100,0)</f>
        <v>145.06633039906035</v>
      </c>
      <c r="AF100" s="24">
        <f ca="1">OFFSET(PTRA!AK$213,$E100,0)</f>
        <v>149.00480567119402</v>
      </c>
      <c r="AG100" s="24">
        <f ca="1">OFFSET(PTRA!AL$213,$E100,0)</f>
        <v>152.94328094332769</v>
      </c>
      <c r="AH100" s="24">
        <f ca="1">OFFSET(PTRA!AM$213,$E100,0)</f>
        <v>156.88175621546137</v>
      </c>
      <c r="AI100" s="24">
        <f ca="1">OFFSET(PTRA!AN$213,$E100,0)</f>
        <v>160.82023148759495</v>
      </c>
      <c r="AJ100" s="24">
        <f ca="1">OFFSET(PTRA!AO$213,$E100,0)</f>
        <v>182.11354022693496</v>
      </c>
      <c r="AK100" s="24">
        <f ca="1">OFFSET(PTRA!AP$213,$E100,0)</f>
        <v>203.40684896627499</v>
      </c>
      <c r="AL100" s="24">
        <f ca="1">OFFSET(PTRA!AQ$213,$E100,0)</f>
        <v>203.40684896627499</v>
      </c>
      <c r="AM100" s="24">
        <f ca="1">OFFSET(PTRA!AR$213,$E100,0)</f>
        <v>203.40684896627499</v>
      </c>
    </row>
    <row r="101" spans="1:39">
      <c r="A101" s="36" t="s">
        <v>183</v>
      </c>
      <c r="B101">
        <v>2.2210937076119999</v>
      </c>
      <c r="E101" s="136">
        <f>MATCH(F101,PTRA!$D$214:$D$221,0)</f>
        <v>3</v>
      </c>
      <c r="F101" s="4" t="str">
        <f t="shared" si="1"/>
        <v>TPPRMOT</v>
      </c>
      <c r="G101" s="24">
        <f ca="1">OFFSET(PTRA!L$213,$E101,0)</f>
        <v>3.1893877916903843</v>
      </c>
      <c r="H101" s="24">
        <f ca="1">OFFSET(PTRA!M$213,$E101,0)</f>
        <v>3.288758549054271</v>
      </c>
      <c r="I101" s="24">
        <f ca="1">OFFSET(PTRA!N$213,$E101,0)</f>
        <v>3.3881293064181577</v>
      </c>
      <c r="J101" s="24">
        <f ca="1">OFFSET(PTRA!O$213,$E101,0)</f>
        <v>3.4875000637820444</v>
      </c>
      <c r="K101" s="24">
        <f ca="1">OFFSET(PTRA!P$213,$E101,0)</f>
        <v>3.5871580464556376</v>
      </c>
      <c r="L101" s="24">
        <f ca="1">OFFSET(PTRA!Q$213,$E101,0)</f>
        <v>3.6868160291292309</v>
      </c>
      <c r="M101" s="24">
        <f ca="1">OFFSET(PTRA!R$213,$E101,0)</f>
        <v>3.7718932789972879</v>
      </c>
      <c r="N101" s="24">
        <f ca="1">OFFSET(PTRA!S$213,$E101,0)</f>
        <v>3.8569705288653453</v>
      </c>
      <c r="O101" s="24">
        <f ca="1">OFFSET(PTRA!T$213,$E101,0)</f>
        <v>3.6927451955921633</v>
      </c>
      <c r="P101" s="24">
        <f ca="1">OFFSET(PTRA!U$213,$E101,0)</f>
        <v>3.7152803873671201</v>
      </c>
      <c r="Q101" s="24">
        <f ca="1">OFFSET(PTRA!V$213,$E101,0)</f>
        <v>3.8305928094477233</v>
      </c>
      <c r="R101" s="24">
        <f ca="1">OFFSET(PTRA!W$213,$E101,0)</f>
        <v>3.9459052315283265</v>
      </c>
      <c r="S101" s="24">
        <f ca="1">OFFSET(PTRA!X$213,$E101,0)</f>
        <v>4.0612176536089297</v>
      </c>
      <c r="T101" s="24">
        <f ca="1">OFFSET(PTRA!Y$213,$E101,0)</f>
        <v>4.1765300756895325</v>
      </c>
      <c r="U101" s="24">
        <f ca="1">OFFSET(PTRA!Z$213,$E101,0)</f>
        <v>4.2918424977701353</v>
      </c>
      <c r="V101" s="24">
        <f ca="1">OFFSET(PTRA!AA$213,$E101,0)</f>
        <v>4.407154919850738</v>
      </c>
      <c r="W101" s="24">
        <f ca="1">OFFSET(PTRA!AB$213,$E101,0)</f>
        <v>4.5224673419313408</v>
      </c>
      <c r="X101" s="24">
        <f ca="1">OFFSET(PTRA!AC$213,$E101,0)</f>
        <v>4.6377797640119436</v>
      </c>
      <c r="Y101" s="24">
        <f ca="1">OFFSET(PTRA!AD$213,$E101,0)</f>
        <v>4.753092186092549</v>
      </c>
      <c r="Z101" s="24">
        <f ca="1">OFFSET(PTRA!AE$213,$E101,0)</f>
        <v>4.9072475962847362</v>
      </c>
      <c r="AA101" s="24">
        <f ca="1">OFFSET(PTRA!AF$213,$E101,0)</f>
        <v>5.0614030064769233</v>
      </c>
      <c r="AB101" s="24">
        <f ca="1">OFFSET(PTRA!AG$213,$E101,0)</f>
        <v>5.2155584166691105</v>
      </c>
      <c r="AC101" s="24">
        <f ca="1">OFFSET(PTRA!AH$213,$E101,0)</f>
        <v>5.3697138268612976</v>
      </c>
      <c r="AD101" s="24">
        <f ca="1">OFFSET(PTRA!AI$213,$E101,0)</f>
        <v>5.5238692370534848</v>
      </c>
      <c r="AE101" s="24">
        <f ca="1">OFFSET(PTRA!AJ$213,$E101,0)</f>
        <v>5.6780246472456719</v>
      </c>
      <c r="AF101" s="24">
        <f ca="1">OFFSET(PTRA!AK$213,$E101,0)</f>
        <v>5.8321800574378591</v>
      </c>
      <c r="AG101" s="24">
        <f ca="1">OFFSET(PTRA!AL$213,$E101,0)</f>
        <v>5.9863354676300462</v>
      </c>
      <c r="AH101" s="24">
        <f ca="1">OFFSET(PTRA!AM$213,$E101,0)</f>
        <v>6.1404908778222334</v>
      </c>
      <c r="AI101" s="24">
        <f ca="1">OFFSET(PTRA!AN$213,$E101,0)</f>
        <v>6.2946462880144241</v>
      </c>
      <c r="AJ101" s="24">
        <f ca="1">OFFSET(PTRA!AO$213,$E101,0)</f>
        <v>7.1280852501139815</v>
      </c>
      <c r="AK101" s="24">
        <f ca="1">OFFSET(PTRA!AP$213,$E101,0)</f>
        <v>7.961524212213539</v>
      </c>
      <c r="AL101" s="24">
        <f ca="1">OFFSET(PTRA!AQ$213,$E101,0)</f>
        <v>7.961524212213539</v>
      </c>
      <c r="AM101" s="24">
        <f ca="1">OFFSET(PTRA!AR$213,$E101,0)</f>
        <v>7.961524212213539</v>
      </c>
    </row>
    <row r="102" spans="1:39">
      <c r="A102" s="36" t="s">
        <v>127</v>
      </c>
      <c r="B102">
        <v>9.7306216335790001</v>
      </c>
      <c r="E102" s="136">
        <f>MATCH(F102,PTRA!$D$214:$D$221,0)</f>
        <v>2</v>
      </c>
      <c r="F102" s="4" t="str">
        <f t="shared" si="1"/>
        <v>TPPRSUV</v>
      </c>
      <c r="G102" s="24">
        <f ca="1">OFFSET(PTRA!L$213,$E102,0)</f>
        <v>9.3562062912418789</v>
      </c>
      <c r="H102" s="24">
        <f ca="1">OFFSET(PTRA!M$213,$E102,0)</f>
        <v>9.6477146828008458</v>
      </c>
      <c r="I102" s="24">
        <f ca="1">OFFSET(PTRA!N$213,$E102,0)</f>
        <v>9.9392230743598127</v>
      </c>
      <c r="J102" s="24">
        <f ca="1">OFFSET(PTRA!O$213,$E102,0)</f>
        <v>10.230731465918778</v>
      </c>
      <c r="K102" s="24">
        <f ca="1">OFFSET(PTRA!P$213,$E102,0)</f>
        <v>10.523082445279918</v>
      </c>
      <c r="L102" s="24">
        <f ca="1">OFFSET(PTRA!Q$213,$E102,0)</f>
        <v>10.815433424641057</v>
      </c>
      <c r="M102" s="24">
        <f ca="1">OFFSET(PTRA!R$213,$E102,0)</f>
        <v>11.065011197068408</v>
      </c>
      <c r="N102" s="24">
        <f ca="1">OFFSET(PTRA!S$213,$E102,0)</f>
        <v>11.314588969495759</v>
      </c>
      <c r="O102" s="24">
        <f ca="1">OFFSET(PTRA!T$213,$E102,0)</f>
        <v>10.832826889526965</v>
      </c>
      <c r="P102" s="24">
        <f ca="1">OFFSET(PTRA!U$213,$E102,0)</f>
        <v>10.89893484404053</v>
      </c>
      <c r="Q102" s="24">
        <f ca="1">OFFSET(PTRA!V$213,$E102,0)</f>
        <v>11.237208794840683</v>
      </c>
      <c r="R102" s="24">
        <f ca="1">OFFSET(PTRA!W$213,$E102,0)</f>
        <v>11.575482745640835</v>
      </c>
      <c r="S102" s="24">
        <f ca="1">OFFSET(PTRA!X$213,$E102,0)</f>
        <v>11.913756696440988</v>
      </c>
      <c r="T102" s="24">
        <f ca="1">OFFSET(PTRA!Y$213,$E102,0)</f>
        <v>12.25203064724114</v>
      </c>
      <c r="U102" s="24">
        <f ca="1">OFFSET(PTRA!Z$213,$E102,0)</f>
        <v>12.590304598041293</v>
      </c>
      <c r="V102" s="24">
        <f ca="1">OFFSET(PTRA!AA$213,$E102,0)</f>
        <v>12.928578548841445</v>
      </c>
      <c r="W102" s="24">
        <f ca="1">OFFSET(PTRA!AB$213,$E102,0)</f>
        <v>13.266852499641598</v>
      </c>
      <c r="X102" s="24">
        <f ca="1">OFFSET(PTRA!AC$213,$E102,0)</f>
        <v>13.60512645044175</v>
      </c>
      <c r="Y102" s="24">
        <f ca="1">OFFSET(PTRA!AD$213,$E102,0)</f>
        <v>13.943400401241899</v>
      </c>
      <c r="Z102" s="24">
        <f ca="1">OFFSET(PTRA!AE$213,$E102,0)</f>
        <v>14.395621928654434</v>
      </c>
      <c r="AA102" s="24">
        <f ca="1">OFFSET(PTRA!AF$213,$E102,0)</f>
        <v>14.847843456066968</v>
      </c>
      <c r="AB102" s="24">
        <f ca="1">OFFSET(PTRA!AG$213,$E102,0)</f>
        <v>15.300064983479503</v>
      </c>
      <c r="AC102" s="24">
        <f ca="1">OFFSET(PTRA!AH$213,$E102,0)</f>
        <v>15.752286510892038</v>
      </c>
      <c r="AD102" s="24">
        <f ca="1">OFFSET(PTRA!AI$213,$E102,0)</f>
        <v>16.204508038304574</v>
      </c>
      <c r="AE102" s="24">
        <f ca="1">OFFSET(PTRA!AJ$213,$E102,0)</f>
        <v>16.656729565717111</v>
      </c>
      <c r="AF102" s="24">
        <f ca="1">OFFSET(PTRA!AK$213,$E102,0)</f>
        <v>17.108951093129647</v>
      </c>
      <c r="AG102" s="24">
        <f ca="1">OFFSET(PTRA!AL$213,$E102,0)</f>
        <v>17.561172620542184</v>
      </c>
      <c r="AH102" s="24">
        <f ca="1">OFFSET(PTRA!AM$213,$E102,0)</f>
        <v>18.01339414795472</v>
      </c>
      <c r="AI102" s="24">
        <f ca="1">OFFSET(PTRA!AN$213,$E102,0)</f>
        <v>18.46561567536725</v>
      </c>
      <c r="AJ102" s="24">
        <f ca="1">OFFSET(PTRA!AO$213,$E102,0)</f>
        <v>20.910544724408698</v>
      </c>
      <c r="AK102" s="24">
        <f ca="1">OFFSET(PTRA!AP$213,$E102,0)</f>
        <v>23.355473773450147</v>
      </c>
      <c r="AL102" s="24">
        <f ca="1">OFFSET(PTRA!AQ$213,$E102,0)</f>
        <v>23.355473773450147</v>
      </c>
      <c r="AM102" s="24">
        <f ca="1">OFFSET(PTRA!AR$213,$E102,0)</f>
        <v>23.355473773450147</v>
      </c>
    </row>
    <row r="103" spans="1:39">
      <c r="A103" s="36" t="s">
        <v>131</v>
      </c>
      <c r="B103" t="s">
        <v>386</v>
      </c>
      <c r="E103" s="136">
        <f>MATCH(F103,PTRA!$D$214:$D$221,0)</f>
        <v>6</v>
      </c>
      <c r="F103" s="4" t="str">
        <f t="shared" si="1"/>
        <v>TPPUBRT</v>
      </c>
      <c r="G103" s="24">
        <f ca="1">OFFSET(PTRA!L$213,$E103,0)</f>
        <v>0</v>
      </c>
      <c r="H103" s="24">
        <f ca="1">OFFSET(PTRA!M$213,$E103,0)</f>
        <v>2.4481641737668241E-2</v>
      </c>
      <c r="I103" s="24">
        <f ca="1">OFFSET(PTRA!N$213,$E103,0)</f>
        <v>2.7875678632381207E-2</v>
      </c>
      <c r="J103" s="24">
        <f ca="1">OFFSET(PTRA!O$213,$E103,0)</f>
        <v>3.1269715527094177E-2</v>
      </c>
      <c r="K103" s="24">
        <f ca="1">OFFSET(PTRA!P$213,$E103,0)</f>
        <v>4.7094773068544926E-2</v>
      </c>
      <c r="L103" s="24">
        <f ca="1">OFFSET(PTRA!Q$213,$E103,0)</f>
        <v>6.2919830609995675E-2</v>
      </c>
      <c r="M103" s="24">
        <f ca="1">OFFSET(PTRA!R$213,$E103,0)</f>
        <v>8.2239758862255277E-2</v>
      </c>
      <c r="N103" s="24">
        <f ca="1">OFFSET(PTRA!S$213,$E103,0)</f>
        <v>0.10155968711451488</v>
      </c>
      <c r="O103" s="24">
        <f ca="1">OFFSET(PTRA!T$213,$E103,0)</f>
        <v>0.10425069329756113</v>
      </c>
      <c r="P103" s="24">
        <f ca="1">OFFSET(PTRA!U$213,$E103,0)</f>
        <v>0.29374525410217339</v>
      </c>
      <c r="Q103" s="24">
        <f ca="1">OFFSET(PTRA!V$213,$E103,0)</f>
        <v>0.32419393261645385</v>
      </c>
      <c r="R103" s="24">
        <f ca="1">OFFSET(PTRA!W$213,$E103,0)</f>
        <v>0.35464261113073431</v>
      </c>
      <c r="S103" s="24">
        <f ca="1">OFFSET(PTRA!X$213,$E103,0)</f>
        <v>0.38509128964501477</v>
      </c>
      <c r="T103" s="24">
        <f ca="1">OFFSET(PTRA!Y$213,$E103,0)</f>
        <v>0.41553996815929523</v>
      </c>
      <c r="U103" s="24">
        <f ca="1">OFFSET(PTRA!Z$213,$E103,0)</f>
        <v>0.44598864667357568</v>
      </c>
      <c r="V103" s="24">
        <f ca="1">OFFSET(PTRA!AA$213,$E103,0)</f>
        <v>0.47643732518785614</v>
      </c>
      <c r="W103" s="24">
        <f ca="1">OFFSET(PTRA!AB$213,$E103,0)</f>
        <v>0.50688600370213666</v>
      </c>
      <c r="X103" s="24">
        <f ca="1">OFFSET(PTRA!AC$213,$E103,0)</f>
        <v>0.53733468221641711</v>
      </c>
      <c r="Y103" s="24">
        <f ca="1">OFFSET(PTRA!AD$213,$E103,0)</f>
        <v>0.56778336073069768</v>
      </c>
      <c r="Z103" s="24">
        <f ca="1">OFFSET(PTRA!AE$213,$E103,0)</f>
        <v>0.61894654287448447</v>
      </c>
      <c r="AA103" s="24">
        <f ca="1">OFFSET(PTRA!AF$213,$E103,0)</f>
        <v>0.67010972501827126</v>
      </c>
      <c r="AB103" s="24">
        <f ca="1">OFFSET(PTRA!AG$213,$E103,0)</f>
        <v>0.72127290716205805</v>
      </c>
      <c r="AC103" s="24">
        <f ca="1">OFFSET(PTRA!AH$213,$E103,0)</f>
        <v>0.77243608930584484</v>
      </c>
      <c r="AD103" s="24">
        <f ca="1">OFFSET(PTRA!AI$213,$E103,0)</f>
        <v>0.82359927144963163</v>
      </c>
      <c r="AE103" s="24">
        <f ca="1">OFFSET(PTRA!AJ$213,$E103,0)</f>
        <v>0.87476245359341842</v>
      </c>
      <c r="AF103" s="24">
        <f ca="1">OFFSET(PTRA!AK$213,$E103,0)</f>
        <v>0.92592563573720521</v>
      </c>
      <c r="AG103" s="24">
        <f ca="1">OFFSET(PTRA!AL$213,$E103,0)</f>
        <v>0.977088817880992</v>
      </c>
      <c r="AH103" s="24">
        <f ca="1">OFFSET(PTRA!AM$213,$E103,0)</f>
        <v>1.0282520000247788</v>
      </c>
      <c r="AI103" s="24">
        <f ca="1">OFFSET(PTRA!AN$213,$E103,0)</f>
        <v>1.0794151821685656</v>
      </c>
      <c r="AJ103" s="24">
        <f ca="1">OFFSET(PTRA!AO$213,$E103,0)</f>
        <v>1.3169948504595808</v>
      </c>
      <c r="AK103" s="24">
        <f ca="1">OFFSET(PTRA!AP$213,$E103,0)</f>
        <v>1.5545745187505957</v>
      </c>
      <c r="AL103" s="24">
        <f ca="1">OFFSET(PTRA!AQ$213,$E103,0)</f>
        <v>1.5545745187505957</v>
      </c>
      <c r="AM103" s="24">
        <f ca="1">OFFSET(PTRA!AR$213,$E103,0)</f>
        <v>1.5545745187505957</v>
      </c>
    </row>
    <row r="104" spans="1:39">
      <c r="A104" s="36" t="s">
        <v>129</v>
      </c>
      <c r="B104">
        <v>0.62801975359410001</v>
      </c>
      <c r="E104" s="136">
        <f>MATCH(F104,PTRA!$D$214:$D$221,0)</f>
        <v>4</v>
      </c>
      <c r="F104" s="4" t="str">
        <f t="shared" si="1"/>
        <v>TPPUBUS</v>
      </c>
      <c r="G104" s="24">
        <f ca="1">OFFSET(PTRA!L$213,$E104,0)</f>
        <v>1.4990333520535337</v>
      </c>
      <c r="H104" s="24">
        <f ca="1">OFFSET(PTRA!M$213,$E104,0)</f>
        <v>0.77885260922987343</v>
      </c>
      <c r="I104" s="24">
        <f ca="1">OFFSET(PTRA!N$213,$E104,0)</f>
        <v>0.93971372874215786</v>
      </c>
      <c r="J104" s="24">
        <f ca="1">OFFSET(PTRA!O$213,$E104,0)</f>
        <v>1.1005748482544424</v>
      </c>
      <c r="K104" s="24">
        <f ca="1">OFFSET(PTRA!P$213,$E104,0)</f>
        <v>0.95787739832517194</v>
      </c>
      <c r="L104" s="24">
        <f ca="1">OFFSET(PTRA!Q$213,$E104,0)</f>
        <v>0.81517994839590147</v>
      </c>
      <c r="M104" s="24">
        <f ca="1">OFFSET(PTRA!R$213,$E104,0)</f>
        <v>0.82466715160764559</v>
      </c>
      <c r="N104" s="24">
        <f ca="1">OFFSET(PTRA!S$213,$E104,0)</f>
        <v>0.83415435481938982</v>
      </c>
      <c r="O104" s="24">
        <f ca="1">OFFSET(PTRA!T$213,$E104,0)</f>
        <v>0.86283771464679471</v>
      </c>
      <c r="P104" s="24">
        <f ca="1">OFFSET(PTRA!U$213,$E104,0)</f>
        <v>0.8556093195052763</v>
      </c>
      <c r="Q104" s="24">
        <f ca="1">OFFSET(PTRA!V$213,$E104,0)</f>
        <v>0.85710132000003914</v>
      </c>
      <c r="R104" s="24">
        <f ca="1">OFFSET(PTRA!W$213,$E104,0)</f>
        <v>0.85859332049480197</v>
      </c>
      <c r="S104" s="24">
        <f ca="1">OFFSET(PTRA!X$213,$E104,0)</f>
        <v>0.86008532098956481</v>
      </c>
      <c r="T104" s="24">
        <f ca="1">OFFSET(PTRA!Y$213,$E104,0)</f>
        <v>0.86157732148432764</v>
      </c>
      <c r="U104" s="24">
        <f ca="1">OFFSET(PTRA!Z$213,$E104,0)</f>
        <v>0.86306932197909048</v>
      </c>
      <c r="V104" s="24">
        <f ca="1">OFFSET(PTRA!AA$213,$E104,0)</f>
        <v>0.86456132247385331</v>
      </c>
      <c r="W104" s="24">
        <f ca="1">OFFSET(PTRA!AB$213,$E104,0)</f>
        <v>0.86605332296861615</v>
      </c>
      <c r="X104" s="24">
        <f ca="1">OFFSET(PTRA!AC$213,$E104,0)</f>
        <v>0.86754532346337898</v>
      </c>
      <c r="Y104" s="24">
        <f ca="1">OFFSET(PTRA!AD$213,$E104,0)</f>
        <v>0.86903732395814148</v>
      </c>
      <c r="Z104" s="24">
        <f ca="1">OFFSET(PTRA!AE$213,$E104,0)</f>
        <v>0.8635476174840524</v>
      </c>
      <c r="AA104" s="24">
        <f ca="1">OFFSET(PTRA!AF$213,$E104,0)</f>
        <v>0.85805791100996331</v>
      </c>
      <c r="AB104" s="24">
        <f ca="1">OFFSET(PTRA!AG$213,$E104,0)</f>
        <v>0.85256820453587423</v>
      </c>
      <c r="AC104" s="24">
        <f ca="1">OFFSET(PTRA!AH$213,$E104,0)</f>
        <v>0.84707849806178515</v>
      </c>
      <c r="AD104" s="24">
        <f ca="1">OFFSET(PTRA!AI$213,$E104,0)</f>
        <v>0.84158879158769606</v>
      </c>
      <c r="AE104" s="24">
        <f ca="1">OFFSET(PTRA!AJ$213,$E104,0)</f>
        <v>0.83609908511360698</v>
      </c>
      <c r="AF104" s="24">
        <f ca="1">OFFSET(PTRA!AK$213,$E104,0)</f>
        <v>0.83060937863951789</v>
      </c>
      <c r="AG104" s="24">
        <f ca="1">OFFSET(PTRA!AL$213,$E104,0)</f>
        <v>0.82511967216542881</v>
      </c>
      <c r="AH104" s="24">
        <f ca="1">OFFSET(PTRA!AM$213,$E104,0)</f>
        <v>0.81962996569133972</v>
      </c>
      <c r="AI104" s="24">
        <f ca="1">OFFSET(PTRA!AN$213,$E104,0)</f>
        <v>0.81414025921725031</v>
      </c>
      <c r="AJ104" s="24">
        <f ca="1">OFFSET(PTRA!AO$213,$E104,0)</f>
        <v>0.77249388041323352</v>
      </c>
      <c r="AK104" s="24">
        <f ca="1">OFFSET(PTRA!AP$213,$E104,0)</f>
        <v>0.73084750160921663</v>
      </c>
      <c r="AL104" s="24">
        <f ca="1">OFFSET(PTRA!AQ$213,$E104,0)</f>
        <v>0.73084750160921663</v>
      </c>
      <c r="AM104" s="24">
        <f ca="1">OFFSET(PTRA!AR$213,$E104,0)</f>
        <v>0.73084750160921663</v>
      </c>
    </row>
    <row r="105" spans="1:39">
      <c r="A105" s="36" t="s">
        <v>133</v>
      </c>
      <c r="B105" t="s">
        <v>386</v>
      </c>
      <c r="E105" s="136">
        <f>MATCH(F105,PTRA!$D$214:$D$221,0)</f>
        <v>8</v>
      </c>
      <c r="F105" s="4" t="str">
        <f t="shared" si="1"/>
        <v>TPPUGAT</v>
      </c>
      <c r="G105" s="24">
        <f ca="1">OFFSET(PTRA!L$213,$E105,0)</f>
        <v>0</v>
      </c>
      <c r="H105" s="24">
        <f ca="1">OFFSET(PTRA!M$213,$E105,0)</f>
        <v>0.55248564192940541</v>
      </c>
      <c r="I105" s="24">
        <f ca="1">OFFSET(PTRA!N$213,$E105,0)</f>
        <v>0.57044550348095591</v>
      </c>
      <c r="J105" s="24">
        <f ca="1">OFFSET(PTRA!O$213,$E105,0)</f>
        <v>0.58840536503250629</v>
      </c>
      <c r="K105" s="24">
        <f ca="1">OFFSET(PTRA!P$213,$E105,0)</f>
        <v>0.60651580293507878</v>
      </c>
      <c r="L105" s="24">
        <f ca="1">OFFSET(PTRA!Q$213,$E105,0)</f>
        <v>0.62462624083765128</v>
      </c>
      <c r="M105" s="24">
        <f ca="1">OFFSET(PTRA!R$213,$E105,0)</f>
        <v>0.64844460531963566</v>
      </c>
      <c r="N105" s="24">
        <f ca="1">OFFSET(PTRA!S$213,$E105,0)</f>
        <v>0.67226296980162004</v>
      </c>
      <c r="O105" s="24">
        <f ca="1">OFFSET(PTRA!T$213,$E105,0)</f>
        <v>0.64616666359533781</v>
      </c>
      <c r="P105" s="24">
        <f ca="1">OFFSET(PTRA!U$213,$E105,0)</f>
        <v>0.64672402075743496</v>
      </c>
      <c r="Q105" s="24">
        <f ca="1">OFFSET(PTRA!V$213,$E105,0)</f>
        <v>0.66645524691108848</v>
      </c>
      <c r="R105" s="24">
        <f ca="1">OFFSET(PTRA!W$213,$E105,0)</f>
        <v>0.68618647306474201</v>
      </c>
      <c r="S105" s="24">
        <f ca="1">OFFSET(PTRA!X$213,$E105,0)</f>
        <v>0.70591769921839553</v>
      </c>
      <c r="T105" s="24">
        <f ca="1">OFFSET(PTRA!Y$213,$E105,0)</f>
        <v>0.72564892537204906</v>
      </c>
      <c r="U105" s="24">
        <f ca="1">OFFSET(PTRA!Z$213,$E105,0)</f>
        <v>0.74538015152570258</v>
      </c>
      <c r="V105" s="24">
        <f ca="1">OFFSET(PTRA!AA$213,$E105,0)</f>
        <v>0.76511137767935611</v>
      </c>
      <c r="W105" s="24">
        <f ca="1">OFFSET(PTRA!AB$213,$E105,0)</f>
        <v>0.78484260383300963</v>
      </c>
      <c r="X105" s="24">
        <f ca="1">OFFSET(PTRA!AC$213,$E105,0)</f>
        <v>0.80457382998666316</v>
      </c>
      <c r="Y105" s="24">
        <f ca="1">OFFSET(PTRA!AD$213,$E105,0)</f>
        <v>0.82430505614031691</v>
      </c>
      <c r="Z105" s="24">
        <f ca="1">OFFSET(PTRA!AE$213,$E105,0)</f>
        <v>0.84744076044105265</v>
      </c>
      <c r="AA105" s="24">
        <f ca="1">OFFSET(PTRA!AF$213,$E105,0)</f>
        <v>0.8705764647417884</v>
      </c>
      <c r="AB105" s="24">
        <f ca="1">OFFSET(PTRA!AG$213,$E105,0)</f>
        <v>0.89371216904252415</v>
      </c>
      <c r="AC105" s="24">
        <f ca="1">OFFSET(PTRA!AH$213,$E105,0)</f>
        <v>0.9168478733432599</v>
      </c>
      <c r="AD105" s="24">
        <f ca="1">OFFSET(PTRA!AI$213,$E105,0)</f>
        <v>0.93998357764399565</v>
      </c>
      <c r="AE105" s="24">
        <f ca="1">OFFSET(PTRA!AJ$213,$E105,0)</f>
        <v>0.9631192819447314</v>
      </c>
      <c r="AF105" s="24">
        <f ca="1">OFFSET(PTRA!AK$213,$E105,0)</f>
        <v>0.98625498624546715</v>
      </c>
      <c r="AG105" s="24">
        <f ca="1">OFFSET(PTRA!AL$213,$E105,0)</f>
        <v>1.0093906905462029</v>
      </c>
      <c r="AH105" s="24">
        <f ca="1">OFFSET(PTRA!AM$213,$E105,0)</f>
        <v>1.0325263948469388</v>
      </c>
      <c r="AI105" s="24">
        <f ca="1">OFFSET(PTRA!AN$213,$E105,0)</f>
        <v>1.0556620991476746</v>
      </c>
      <c r="AJ105" s="24">
        <f ca="1">OFFSET(PTRA!AO$213,$E105,0)</f>
        <v>1.1651513669786351</v>
      </c>
      <c r="AK105" s="24">
        <f ca="1">OFFSET(PTRA!AP$213,$E105,0)</f>
        <v>1.2746406348095956</v>
      </c>
      <c r="AL105" s="24">
        <f ca="1">OFFSET(PTRA!AQ$213,$E105,0)</f>
        <v>1.2746406348095956</v>
      </c>
      <c r="AM105" s="24">
        <f ca="1">OFFSET(PTRA!AR$213,$E105,0)</f>
        <v>1.2746406348095956</v>
      </c>
    </row>
    <row r="106" spans="1:39">
      <c r="A106" s="36" t="s">
        <v>130</v>
      </c>
      <c r="B106">
        <v>8.3842691666009994</v>
      </c>
      <c r="E106" s="136">
        <f>MATCH(F106,PTRA!$D$214:$D$221,0)</f>
        <v>5</v>
      </c>
      <c r="F106" s="4" t="str">
        <f t="shared" si="1"/>
        <v>TPPUMBT</v>
      </c>
      <c r="G106" s="24">
        <f ca="1">OFFSET(PTRA!L$213,$E106,0)</f>
        <v>6.4978638621089795</v>
      </c>
      <c r="H106" s="24">
        <f ca="1">OFFSET(PTRA!M$213,$E106,0)</f>
        <v>6.2129452564268437</v>
      </c>
      <c r="I106" s="24">
        <f ca="1">OFFSET(PTRA!N$213,$E106,0)</f>
        <v>6.5128577066124906</v>
      </c>
      <c r="J106" s="24">
        <f ca="1">OFFSET(PTRA!O$213,$E106,0)</f>
        <v>6.8127701567981385</v>
      </c>
      <c r="K106" s="24">
        <f ca="1">OFFSET(PTRA!P$213,$E106,0)</f>
        <v>7.2570480827064472</v>
      </c>
      <c r="L106" s="24">
        <f ca="1">OFFSET(PTRA!Q$213,$E106,0)</f>
        <v>7.701326008614755</v>
      </c>
      <c r="M106" s="24">
        <f ca="1">OFFSET(PTRA!R$213,$E106,0)</f>
        <v>7.7909553536291822</v>
      </c>
      <c r="N106" s="24">
        <f ca="1">OFFSET(PTRA!S$213,$E106,0)</f>
        <v>7.8805846986436094</v>
      </c>
      <c r="O106" s="24">
        <f ca="1">OFFSET(PTRA!T$213,$E106,0)</f>
        <v>8.1515676950825338</v>
      </c>
      <c r="P106" s="24">
        <f ca="1">OFFSET(PTRA!U$213,$E106,0)</f>
        <v>8.0832781994767302</v>
      </c>
      <c r="Q106" s="24">
        <f ca="1">OFFSET(PTRA!V$213,$E106,0)</f>
        <v>8.0973737157339603</v>
      </c>
      <c r="R106" s="24">
        <f ca="1">OFFSET(PTRA!W$213,$E106,0)</f>
        <v>8.1114692319911903</v>
      </c>
      <c r="S106" s="24">
        <f ca="1">OFFSET(PTRA!X$213,$E106,0)</f>
        <v>8.1255647482484203</v>
      </c>
      <c r="T106" s="24">
        <f ca="1">OFFSET(PTRA!Y$213,$E106,0)</f>
        <v>8.1396602645056504</v>
      </c>
      <c r="U106" s="24">
        <f ca="1">OFFSET(PTRA!Z$213,$E106,0)</f>
        <v>8.1537557807628804</v>
      </c>
      <c r="V106" s="24">
        <f ca="1">OFFSET(PTRA!AA$213,$E106,0)</f>
        <v>8.1678512970201105</v>
      </c>
      <c r="W106" s="24">
        <f ca="1">OFFSET(PTRA!AB$213,$E106,0)</f>
        <v>8.1819468132773405</v>
      </c>
      <c r="X106" s="24">
        <f ca="1">OFFSET(PTRA!AC$213,$E106,0)</f>
        <v>8.1960423295345706</v>
      </c>
      <c r="Y106" s="24">
        <f ca="1">OFFSET(PTRA!AD$213,$E106,0)</f>
        <v>8.2101378457918024</v>
      </c>
      <c r="Z106" s="24">
        <f ca="1">OFFSET(PTRA!AE$213,$E106,0)</f>
        <v>8.1582744267617375</v>
      </c>
      <c r="AA106" s="24">
        <f ca="1">OFFSET(PTRA!AF$213,$E106,0)</f>
        <v>8.1064110077316727</v>
      </c>
      <c r="AB106" s="24">
        <f ca="1">OFFSET(PTRA!AG$213,$E106,0)</f>
        <v>8.0545475887016078</v>
      </c>
      <c r="AC106" s="24">
        <f ca="1">OFFSET(PTRA!AH$213,$E106,0)</f>
        <v>8.0026841696715429</v>
      </c>
      <c r="AD106" s="24">
        <f ca="1">OFFSET(PTRA!AI$213,$E106,0)</f>
        <v>7.9508207506414781</v>
      </c>
      <c r="AE106" s="24">
        <f ca="1">OFFSET(PTRA!AJ$213,$E106,0)</f>
        <v>7.8989573316114132</v>
      </c>
      <c r="AF106" s="24">
        <f ca="1">OFFSET(PTRA!AK$213,$E106,0)</f>
        <v>7.8470939125813484</v>
      </c>
      <c r="AG106" s="24">
        <f ca="1">OFFSET(PTRA!AL$213,$E106,0)</f>
        <v>7.7952304935512835</v>
      </c>
      <c r="AH106" s="24">
        <f ca="1">OFFSET(PTRA!AM$213,$E106,0)</f>
        <v>7.7433670745212186</v>
      </c>
      <c r="AI106" s="24">
        <f ca="1">OFFSET(PTRA!AN$213,$E106,0)</f>
        <v>7.6915036554911547</v>
      </c>
      <c r="AJ106" s="24">
        <f ca="1">OFFSET(PTRA!AO$213,$E106,0)</f>
        <v>7.2980539136530131</v>
      </c>
      <c r="AK106" s="24">
        <f ca="1">OFFSET(PTRA!AP$213,$E106,0)</f>
        <v>6.9046041718148716</v>
      </c>
      <c r="AL106" s="24">
        <f ca="1">OFFSET(PTRA!AQ$213,$E106,0)</f>
        <v>6.9046041718148716</v>
      </c>
      <c r="AM106" s="24">
        <f ca="1">OFFSET(PTRA!AR$213,$E106,0)</f>
        <v>6.9046041718148716</v>
      </c>
    </row>
    <row r="107" spans="1:39">
      <c r="A107" s="36" t="s">
        <v>132</v>
      </c>
      <c r="B107">
        <v>13.9</v>
      </c>
      <c r="E107" s="137">
        <f>MATCH(F107,PTRA!$D$214:$D$221,0)</f>
        <v>7</v>
      </c>
      <c r="F107" s="4" t="str">
        <f t="shared" si="1"/>
        <v>TPPUMER</v>
      </c>
      <c r="G107" s="24">
        <f ca="1">OFFSET(PTRA!L$213,$E107,0)</f>
        <v>15.8</v>
      </c>
      <c r="H107" s="24">
        <f ca="1">OFFSET(PTRA!M$213,$E107,0)</f>
        <v>13.600515897817941</v>
      </c>
      <c r="I107" s="24">
        <f ca="1">OFFSET(PTRA!N$213,$E107,0)</f>
        <v>12.823088471306509</v>
      </c>
      <c r="J107" s="24">
        <f ca="1">OFFSET(PTRA!O$213,$E107,0)</f>
        <v>12.045661044795077</v>
      </c>
      <c r="K107" s="24">
        <f ca="1">OFFSET(PTRA!P$213,$E107,0)</f>
        <v>10.77345691085338</v>
      </c>
      <c r="L107" s="24">
        <f ca="1">OFFSET(PTRA!Q$213,$E107,0)</f>
        <v>9.5012527769116826</v>
      </c>
      <c r="M107" s="24">
        <f ca="1">OFFSET(PTRA!R$213,$E107,0)</f>
        <v>9.6118299765080266</v>
      </c>
      <c r="N107" s="24">
        <f ca="1">OFFSET(PTRA!S$213,$E107,0)</f>
        <v>9.7224071761043689</v>
      </c>
      <c r="O107" s="24">
        <f ca="1">OFFSET(PTRA!T$213,$E107,0)</f>
        <v>10.056723363281892</v>
      </c>
      <c r="P107" s="24">
        <f ca="1">OFFSET(PTRA!U$213,$E107,0)</f>
        <v>9.9724734874770302</v>
      </c>
      <c r="Q107" s="24">
        <f ca="1">OFFSET(PTRA!V$213,$E107,0)</f>
        <v>9.9898633581085559</v>
      </c>
      <c r="R107" s="24">
        <f ca="1">OFFSET(PTRA!W$213,$E107,0)</f>
        <v>10.007253228740081</v>
      </c>
      <c r="S107" s="24">
        <f ca="1">OFFSET(PTRA!X$213,$E107,0)</f>
        <v>10.024643099371607</v>
      </c>
      <c r="T107" s="24">
        <f ca="1">OFFSET(PTRA!Y$213,$E107,0)</f>
        <v>10.042032970003133</v>
      </c>
      <c r="U107" s="24">
        <f ca="1">OFFSET(PTRA!Z$213,$E107,0)</f>
        <v>10.059422840634658</v>
      </c>
      <c r="V107" s="24">
        <f ca="1">OFFSET(PTRA!AA$213,$E107,0)</f>
        <v>10.076812711266184</v>
      </c>
      <c r="W107" s="24">
        <f ca="1">OFFSET(PTRA!AB$213,$E107,0)</f>
        <v>10.09420258189771</v>
      </c>
      <c r="X107" s="24">
        <f ca="1">OFFSET(PTRA!AC$213,$E107,0)</f>
        <v>10.111592452529235</v>
      </c>
      <c r="Y107" s="24">
        <f ca="1">OFFSET(PTRA!AD$213,$E107,0)</f>
        <v>10.128982323160761</v>
      </c>
      <c r="Z107" s="24">
        <f ca="1">OFFSET(PTRA!AE$213,$E107,0)</f>
        <v>10.064997568648574</v>
      </c>
      <c r="AA107" s="24">
        <f ca="1">OFFSET(PTRA!AF$213,$E107,0)</f>
        <v>10.001012814136386</v>
      </c>
      <c r="AB107" s="24">
        <f ca="1">OFFSET(PTRA!AG$213,$E107,0)</f>
        <v>9.9370280596241987</v>
      </c>
      <c r="AC107" s="24">
        <f ca="1">OFFSET(PTRA!AH$213,$E107,0)</f>
        <v>9.8730433051120112</v>
      </c>
      <c r="AD107" s="24">
        <f ca="1">OFFSET(PTRA!AI$213,$E107,0)</f>
        <v>9.8090585505998238</v>
      </c>
      <c r="AE107" s="24">
        <f ca="1">OFFSET(PTRA!AJ$213,$E107,0)</f>
        <v>9.7450737960876364</v>
      </c>
      <c r="AF107" s="24">
        <f ca="1">OFFSET(PTRA!AK$213,$E107,0)</f>
        <v>9.6810890415754489</v>
      </c>
      <c r="AG107" s="24">
        <f ca="1">OFFSET(PTRA!AL$213,$E107,0)</f>
        <v>9.6171042870632615</v>
      </c>
      <c r="AH107" s="24">
        <f ca="1">OFFSET(PTRA!AM$213,$E107,0)</f>
        <v>9.553119532551074</v>
      </c>
      <c r="AI107" s="24">
        <f ca="1">OFFSET(PTRA!AN$213,$E107,0)</f>
        <v>9.4891347780388884</v>
      </c>
      <c r="AJ107" s="24">
        <f ca="1">OFFSET(PTRA!AO$213,$E107,0)</f>
        <v>9.0037293494109889</v>
      </c>
      <c r="AK107" s="24">
        <f ca="1">OFFSET(PTRA!AP$213,$E107,0)</f>
        <v>8.5183239207830912</v>
      </c>
      <c r="AL107" s="24">
        <f ca="1">OFFSET(PTRA!AQ$213,$E107,0)</f>
        <v>8.5183239207830912</v>
      </c>
      <c r="AM107" s="24">
        <f ca="1">OFFSET(PTRA!AR$213,$E107,0)</f>
        <v>8.5183239207830912</v>
      </c>
    </row>
    <row r="108" spans="1:39">
      <c r="A108" s="36" t="s">
        <v>158</v>
      </c>
      <c r="B108">
        <v>0.1024485696</v>
      </c>
      <c r="E108" s="138">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4.4890306892105265</v>
      </c>
      <c r="L108" s="24">
        <f ca="1">OFFSET(OtherTRA!O$46,$E108,0)</f>
        <v>4.5086140100000014</v>
      </c>
      <c r="M108" s="24">
        <f ca="1">OFFSET(OtherTRA!P$46,$E108,0)</f>
        <v>4.4099254260526326</v>
      </c>
      <c r="N108" s="24">
        <f ca="1">OFFSET(OtherTRA!Q$46,$E108,0)</f>
        <v>4.3112368421052647</v>
      </c>
      <c r="O108" s="24">
        <f ca="1">OFFSET(OtherTRA!R$46,$E108,0)</f>
        <v>4.3112368421052647</v>
      </c>
      <c r="P108" s="24">
        <f ca="1">OFFSET(OtherTRA!S$46,$E108,0)</f>
        <v>3.9157105263157894</v>
      </c>
      <c r="Q108" s="24">
        <f ca="1">OFFSET(OtherTRA!T$46,$E108,0)</f>
        <v>3.5201842105263141</v>
      </c>
      <c r="R108" s="24">
        <f ca="1">OFFSET(OtherTRA!U$46,$E108,0)</f>
        <v>3.1246578947368389</v>
      </c>
      <c r="S108" s="24">
        <f ca="1">OFFSET(OtherTRA!V$46,$E108,0)</f>
        <v>2.7291315789473636</v>
      </c>
      <c r="T108" s="24">
        <f ca="1">OFFSET(OtherTRA!W$46,$E108,0)</f>
        <v>2.3336052631578883</v>
      </c>
      <c r="U108" s="24">
        <f ca="1">OFFSET(OtherTRA!X$46,$E108,0)</f>
        <v>1.938078947368413</v>
      </c>
      <c r="V108" s="24">
        <f ca="1">OFFSET(OtherTRA!Y$46,$E108,0)</f>
        <v>1.5425526315789377</v>
      </c>
      <c r="W108" s="24">
        <f ca="1">OFFSET(OtherTRA!Z$46,$E108,0)</f>
        <v>1.1470263157894625</v>
      </c>
      <c r="X108" s="24">
        <f ca="1">OFFSET(OtherTRA!AA$46,$E108,0)</f>
        <v>0.75149999999998718</v>
      </c>
      <c r="Y108" s="24">
        <f ca="1">OFFSET(OtherTRA!AB$46,$E108,0)</f>
        <v>3.9157105263157894</v>
      </c>
      <c r="Z108" s="24">
        <f ca="1">OFFSET(OtherTRA!AC$46,$E108,0)</f>
        <v>3.8813285825217405</v>
      </c>
      <c r="AA108" s="24">
        <f ca="1">OFFSET(OtherTRA!AD$46,$E108,0)</f>
        <v>3.8469466387276916</v>
      </c>
      <c r="AB108" s="24">
        <f ca="1">OFFSET(OtherTRA!AE$46,$E108,0)</f>
        <v>3.8125646949336427</v>
      </c>
      <c r="AC108" s="24">
        <f ca="1">OFFSET(OtherTRA!AF$46,$E108,0)</f>
        <v>3.7781827511395938</v>
      </c>
      <c r="AD108" s="24">
        <f ca="1">OFFSET(OtherTRA!AG$46,$E108,0)</f>
        <v>3.7438008073455449</v>
      </c>
      <c r="AE108" s="24">
        <f ca="1">OFFSET(OtherTRA!AH$46,$E108,0)</f>
        <v>3.709418863551496</v>
      </c>
      <c r="AF108" s="24">
        <f ca="1">OFFSET(OtherTRA!AI$46,$E108,0)</f>
        <v>3.6750369197574471</v>
      </c>
      <c r="AG108" s="24">
        <f ca="1">OFFSET(OtherTRA!AJ$46,$E108,0)</f>
        <v>3.6406549759633982</v>
      </c>
      <c r="AH108" s="24">
        <f ca="1">OFFSET(OtherTRA!AK$46,$E108,0)</f>
        <v>3.6062730321693492</v>
      </c>
      <c r="AI108" s="24">
        <f ca="1">OFFSET(OtherTRA!AL$46,$E108,0)</f>
        <v>3.8813285825217405</v>
      </c>
      <c r="AJ108" s="24">
        <f ca="1">OFFSET(OtherTRA!AM$46,$E108,0)</f>
        <v>4.2347169228398176</v>
      </c>
      <c r="AK108" s="24">
        <f ca="1">OFFSET(OtherTRA!AN$46,$E108,0)</f>
        <v>4.5881052631578942</v>
      </c>
      <c r="AL108" s="24">
        <f ca="1">OFFSET(OtherTRA!AO$46,$E108,0)</f>
        <v>4.5881052631578942</v>
      </c>
      <c r="AM108" s="24">
        <f ca="1">OFFSET(OtherTRA!AP$46,$E108,0)</f>
        <v>4.5881052631578942</v>
      </c>
    </row>
    <row r="109" spans="1:39">
      <c r="A109" s="36" t="s">
        <v>239</v>
      </c>
      <c r="B109">
        <v>82.184767358499997</v>
      </c>
      <c r="E109" s="135">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3">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203">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15">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6" t="s">
        <v>245</v>
      </c>
      <c r="B110">
        <v>9.1664843454099998</v>
      </c>
      <c r="E110" s="135">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3">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203">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15">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6" t="s">
        <v>240</v>
      </c>
      <c r="B111">
        <v>29.897246584059999</v>
      </c>
      <c r="E111" s="135">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3">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203">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15">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6" t="s">
        <v>241</v>
      </c>
      <c r="B112">
        <v>0.29916376652240001</v>
      </c>
      <c r="E112" s="135">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3">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203">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15">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6" t="s">
        <v>242</v>
      </c>
      <c r="B113">
        <v>177.48088542799999</v>
      </c>
      <c r="E113" s="135">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3">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203">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15">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6" t="s">
        <v>247</v>
      </c>
      <c r="B114">
        <v>30.831061307799999</v>
      </c>
      <c r="E114" s="135">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3">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203">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15">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6" t="s">
        <v>243</v>
      </c>
      <c r="B115">
        <v>7.3604096683640003</v>
      </c>
      <c r="E115" s="135">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3">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203">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15">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6" t="s">
        <v>246</v>
      </c>
      <c r="B116">
        <v>3.1678360284579998</v>
      </c>
      <c r="E116" s="135">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3">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203">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15">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6" t="s">
        <v>244</v>
      </c>
      <c r="B117">
        <v>31.577350492680001</v>
      </c>
      <c r="E117" s="135">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3">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203">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15">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6" t="s">
        <v>248</v>
      </c>
      <c r="B118" t="s">
        <v>386</v>
      </c>
      <c r="E118" s="135">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3">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03">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15">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386</v>
      </c>
      <c r="E119" s="135">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3">
        <f ca="1">OFFSET(COM!R$247,$E119,0)</f>
        <v>0</v>
      </c>
      <c r="P119" s="24">
        <f ca="1">OFFSET(COM!S$247,$E119,0)</f>
        <v>0</v>
      </c>
      <c r="Q119" s="24">
        <f ca="1">OFFSET(COM!T$247,$E119,0)</f>
        <v>0</v>
      </c>
      <c r="R119" s="24">
        <f ca="1">OFFSET(COM!U$247,$E119,0)</f>
        <v>0</v>
      </c>
      <c r="S119" s="24">
        <f ca="1">OFFSET(COM!V$247,$E119,0)</f>
        <v>0</v>
      </c>
      <c r="T119" s="203">
        <f ca="1">OFFSET(COM!W$247,$E119,0)</f>
        <v>0</v>
      </c>
      <c r="U119" s="24">
        <f ca="1">OFFSET(COM!X$247,$E119,0)</f>
        <v>0</v>
      </c>
      <c r="V119" s="24">
        <f ca="1">OFFSET(COM!Y$247,$E119,0)</f>
        <v>0</v>
      </c>
      <c r="W119" s="24">
        <f ca="1">OFFSET(COM!Z$247,$E119,0)</f>
        <v>0</v>
      </c>
      <c r="X119" s="24">
        <f ca="1">OFFSET(COM!AA$247,$E119,0)</f>
        <v>0</v>
      </c>
      <c r="Y119" s="21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35">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3">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03">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15">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386</v>
      </c>
      <c r="E121" s="135">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3">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03">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15">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386</v>
      </c>
      <c r="E122" s="135">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3">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03">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15">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386</v>
      </c>
      <c r="E123" s="135">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3">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03">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15">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386</v>
      </c>
      <c r="E124" s="135">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3">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03">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15">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386</v>
      </c>
      <c r="E125" s="135">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3">
        <f ca="1">OFFSET(COM!R$247,$E125,0)</f>
        <v>0</v>
      </c>
      <c r="P125" s="24">
        <f ca="1">OFFSET(COM!S$247,$E125,0)</f>
        <v>0</v>
      </c>
      <c r="Q125" s="24">
        <f ca="1">OFFSET(COM!T$247,$E125,0)</f>
        <v>0</v>
      </c>
      <c r="R125" s="24">
        <f ca="1">OFFSET(COM!U$247,$E125,0)</f>
        <v>0</v>
      </c>
      <c r="S125" s="24">
        <f ca="1">OFFSET(COM!V$247,$E125,0)</f>
        <v>0</v>
      </c>
      <c r="T125" s="203">
        <f ca="1">OFFSET(COM!W$247,$E125,0)</f>
        <v>0</v>
      </c>
      <c r="U125" s="24">
        <f ca="1">OFFSET(COM!X$247,$E125,0)</f>
        <v>0</v>
      </c>
      <c r="V125" s="24">
        <f ca="1">OFFSET(COM!Y$247,$E125,0)</f>
        <v>0</v>
      </c>
      <c r="W125" s="24">
        <f ca="1">OFFSET(COM!Z$247,$E125,0)</f>
        <v>0</v>
      </c>
      <c r="X125" s="24">
        <f ca="1">OFFSET(COM!AA$247,$E125,0)</f>
        <v>0</v>
      </c>
      <c r="Y125" s="21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35">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3">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03">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15">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36">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3">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13">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16">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36">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3">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13">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16">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36">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3">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13">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16">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36">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3">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13">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16">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36">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3">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13">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16">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385</v>
      </c>
      <c r="B132">
        <v>7.8658203618</v>
      </c>
      <c r="E132" s="136">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3">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13">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16">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36">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3">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13">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16">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36">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3">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13">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16">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616</v>
      </c>
      <c r="E135" s="136">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3">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13">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16">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36"/>
      <c r="F136" s="4"/>
      <c r="G136" s="10"/>
      <c r="H136" s="10"/>
      <c r="I136" s="10"/>
      <c r="J136" s="10"/>
      <c r="K136" s="10"/>
      <c r="L136" s="10"/>
      <c r="M136" s="10"/>
      <c r="N136" s="10"/>
      <c r="O136" s="213"/>
      <c r="P136" s="10"/>
      <c r="Q136" s="10"/>
      <c r="R136" s="10"/>
      <c r="S136" s="10"/>
      <c r="T136" s="213"/>
      <c r="U136" s="10"/>
      <c r="V136" s="10"/>
      <c r="W136" s="10"/>
      <c r="X136" s="10"/>
      <c r="Y136" s="216"/>
      <c r="Z136" s="10"/>
      <c r="AA136" s="10"/>
      <c r="AB136" s="10"/>
      <c r="AC136" s="10"/>
      <c r="AD136" s="10"/>
      <c r="AE136" s="10"/>
      <c r="AF136" s="10"/>
      <c r="AG136" s="10"/>
      <c r="AH136" s="10"/>
      <c r="AI136" s="10"/>
      <c r="AJ136" s="10"/>
      <c r="AK136" s="10"/>
      <c r="AL136" s="10"/>
      <c r="AM136" s="10"/>
    </row>
    <row r="137" spans="1:39">
      <c r="B137" s="4"/>
      <c r="C137" s="4"/>
      <c r="E137" s="136"/>
      <c r="F137" s="4"/>
      <c r="G137" s="10"/>
      <c r="H137" s="10"/>
      <c r="I137" s="10"/>
      <c r="J137" s="10"/>
      <c r="K137" s="10"/>
      <c r="L137" s="10"/>
      <c r="M137" s="10"/>
      <c r="N137" s="10"/>
      <c r="O137" s="213"/>
      <c r="P137" s="10"/>
      <c r="Q137" s="10"/>
      <c r="R137" s="10"/>
      <c r="S137" s="10"/>
      <c r="T137" s="213"/>
      <c r="U137" s="10"/>
      <c r="V137" s="10"/>
      <c r="W137" s="10"/>
      <c r="X137" s="10"/>
      <c r="Y137" s="216"/>
      <c r="Z137" s="10"/>
      <c r="AA137" s="10"/>
      <c r="AB137" s="10"/>
      <c r="AC137" s="10"/>
      <c r="AD137" s="10"/>
      <c r="AE137" s="10"/>
      <c r="AF137" s="10"/>
      <c r="AG137" s="10"/>
      <c r="AH137" s="10"/>
      <c r="AI137" s="10"/>
      <c r="AJ137" s="10"/>
      <c r="AK137" s="10"/>
      <c r="AL137" s="10"/>
      <c r="AM137" s="10"/>
    </row>
    <row r="138" spans="1:39">
      <c r="B138" s="4"/>
      <c r="C138" s="4"/>
      <c r="E138" s="136"/>
      <c r="F138" s="4"/>
      <c r="G138" s="10"/>
      <c r="H138" s="10"/>
      <c r="I138" s="10"/>
      <c r="J138" s="10"/>
      <c r="K138" s="10"/>
      <c r="L138" s="10"/>
      <c r="M138" s="10"/>
      <c r="N138" s="10"/>
      <c r="O138" s="213"/>
      <c r="P138" s="10"/>
      <c r="Q138" s="10"/>
      <c r="R138" s="10"/>
      <c r="S138" s="10"/>
      <c r="T138" s="213"/>
      <c r="U138" s="10"/>
      <c r="V138" s="10"/>
      <c r="W138" s="10"/>
      <c r="X138" s="10"/>
      <c r="Y138" s="216"/>
      <c r="Z138" s="10"/>
      <c r="AA138" s="10"/>
      <c r="AB138" s="10"/>
      <c r="AC138" s="10"/>
      <c r="AD138" s="10"/>
      <c r="AE138" s="10"/>
      <c r="AF138" s="10"/>
      <c r="AG138" s="10"/>
      <c r="AH138" s="10"/>
      <c r="AI138" s="10"/>
      <c r="AJ138" s="10"/>
      <c r="AK138" s="10"/>
      <c r="AL138" s="10"/>
      <c r="AM138" s="10"/>
    </row>
    <row r="139" spans="1:39">
      <c r="B139" s="4"/>
      <c r="C139" s="4"/>
      <c r="E139" s="136"/>
      <c r="F139" s="4"/>
      <c r="G139" s="10"/>
      <c r="H139" s="10"/>
      <c r="I139" s="10"/>
      <c r="J139" s="10"/>
      <c r="K139" s="10"/>
      <c r="L139" s="10"/>
      <c r="M139" s="10"/>
      <c r="N139" s="10"/>
      <c r="O139" s="213"/>
      <c r="P139" s="10"/>
      <c r="Q139" s="10"/>
      <c r="R139" s="10"/>
      <c r="S139" s="10"/>
      <c r="T139" s="213"/>
      <c r="U139" s="10"/>
      <c r="V139" s="10"/>
      <c r="W139" s="10"/>
      <c r="X139" s="10"/>
      <c r="Y139" s="216"/>
      <c r="Z139" s="10"/>
      <c r="AA139" s="10"/>
      <c r="AB139" s="10"/>
      <c r="AC139" s="10"/>
      <c r="AD139" s="10"/>
      <c r="AE139" s="10"/>
      <c r="AF139" s="10"/>
      <c r="AG139" s="10"/>
      <c r="AH139" s="10"/>
      <c r="AI139" s="10"/>
      <c r="AJ139" s="10"/>
      <c r="AK139" s="10"/>
      <c r="AL139" s="10"/>
      <c r="AM139" s="10"/>
    </row>
    <row r="140" spans="1:39">
      <c r="B140" s="4"/>
      <c r="C140" s="4"/>
      <c r="E140" s="136"/>
      <c r="F140" s="4"/>
      <c r="G140" s="10"/>
      <c r="H140" s="10"/>
      <c r="I140" s="10"/>
      <c r="J140" s="10"/>
      <c r="K140" s="10"/>
      <c r="L140" s="10"/>
      <c r="M140" s="10"/>
      <c r="N140" s="10"/>
      <c r="O140" s="213"/>
      <c r="P140" s="10"/>
      <c r="Q140" s="10"/>
      <c r="R140" s="10"/>
      <c r="S140" s="10"/>
      <c r="T140" s="213"/>
      <c r="U140" s="10"/>
      <c r="V140" s="10"/>
      <c r="W140" s="10"/>
      <c r="X140" s="10"/>
      <c r="Y140" s="216"/>
      <c r="Z140" s="10"/>
      <c r="AA140" s="10"/>
      <c r="AB140" s="10"/>
      <c r="AC140" s="10"/>
      <c r="AD140" s="10"/>
      <c r="AE140" s="10"/>
      <c r="AF140" s="10"/>
      <c r="AG140" s="10"/>
      <c r="AH140" s="10"/>
      <c r="AI140" s="10"/>
      <c r="AJ140" s="10"/>
      <c r="AK140" s="10"/>
      <c r="AL140" s="10"/>
      <c r="AM140" s="10"/>
    </row>
    <row r="141" spans="1:39">
      <c r="B141" s="4"/>
      <c r="C141" s="4"/>
      <c r="E141" s="136"/>
      <c r="F141" s="4"/>
      <c r="G141" s="10"/>
      <c r="H141" s="10"/>
      <c r="I141" s="10"/>
      <c r="J141" s="10"/>
      <c r="K141" s="10"/>
      <c r="L141" s="10"/>
      <c r="M141" s="10"/>
      <c r="N141" s="10"/>
      <c r="O141" s="213"/>
      <c r="P141" s="10"/>
      <c r="Q141" s="10"/>
      <c r="R141" s="10"/>
      <c r="S141" s="10"/>
      <c r="T141" s="213"/>
      <c r="U141" s="10"/>
      <c r="V141" s="10"/>
      <c r="W141" s="10"/>
      <c r="X141" s="10"/>
      <c r="Y141" s="216"/>
      <c r="Z141" s="10"/>
      <c r="AA141" s="10"/>
      <c r="AB141" s="10"/>
      <c r="AC141" s="10"/>
      <c r="AD141" s="10"/>
      <c r="AE141" s="10"/>
      <c r="AF141" s="10"/>
      <c r="AG141" s="10"/>
      <c r="AH141" s="10"/>
      <c r="AI141" s="10"/>
      <c r="AJ141" s="10"/>
      <c r="AK141" s="10"/>
      <c r="AL141" s="10"/>
      <c r="AM141" s="10"/>
    </row>
    <row r="142" spans="1:39">
      <c r="B142" s="4"/>
      <c r="C142" s="4"/>
      <c r="E142" s="136"/>
      <c r="F142" s="4"/>
      <c r="G142" s="10"/>
      <c r="H142" s="10"/>
      <c r="I142" s="10"/>
      <c r="J142" s="10"/>
      <c r="K142" s="10"/>
      <c r="L142" s="10"/>
      <c r="M142" s="10"/>
      <c r="N142" s="10"/>
      <c r="O142" s="213"/>
      <c r="P142" s="10"/>
      <c r="Q142" s="10"/>
      <c r="R142" s="10"/>
      <c r="S142" s="10"/>
      <c r="T142" s="213"/>
      <c r="U142" s="10"/>
      <c r="V142" s="10"/>
      <c r="W142" s="10"/>
      <c r="X142" s="10"/>
      <c r="Y142" s="216"/>
      <c r="Z142" s="10"/>
      <c r="AA142" s="10"/>
      <c r="AB142" s="10"/>
      <c r="AC142" s="10"/>
      <c r="AD142" s="10"/>
      <c r="AE142" s="10"/>
      <c r="AF142" s="10"/>
      <c r="AG142" s="10"/>
      <c r="AH142" s="10"/>
      <c r="AI142" s="10"/>
      <c r="AJ142" s="10"/>
      <c r="AK142" s="10"/>
      <c r="AL142" s="10"/>
      <c r="AM142" s="10"/>
    </row>
    <row r="143" spans="1:39">
      <c r="B143" s="4"/>
      <c r="C143" s="4"/>
      <c r="E143" s="136"/>
      <c r="F143" s="4"/>
      <c r="G143" s="10"/>
      <c r="H143" s="10"/>
      <c r="I143" s="10"/>
      <c r="J143" s="10"/>
      <c r="K143" s="10"/>
      <c r="L143" s="10"/>
      <c r="M143" s="10"/>
      <c r="N143" s="10"/>
      <c r="O143" s="213"/>
      <c r="P143" s="10"/>
      <c r="Q143" s="10"/>
      <c r="R143" s="10"/>
      <c r="S143" s="10"/>
      <c r="T143" s="213"/>
      <c r="U143" s="10"/>
      <c r="V143" s="10"/>
      <c r="W143" s="10"/>
      <c r="X143" s="10"/>
      <c r="Y143" s="216"/>
      <c r="Z143" s="10"/>
      <c r="AA143" s="10"/>
      <c r="AB143" s="10"/>
      <c r="AC143" s="10"/>
      <c r="AD143" s="10"/>
      <c r="AE143" s="10"/>
      <c r="AF143" s="10"/>
      <c r="AG143" s="10"/>
      <c r="AH143" s="10"/>
      <c r="AI143" s="10"/>
      <c r="AJ143" s="10"/>
      <c r="AK143" s="10"/>
      <c r="AL143" s="10"/>
      <c r="AM143" s="10"/>
    </row>
    <row r="144" spans="1:39">
      <c r="B144" s="4"/>
      <c r="C144" s="4"/>
      <c r="E144" s="136"/>
      <c r="F144" s="4"/>
      <c r="G144" s="10"/>
      <c r="H144" s="10"/>
      <c r="I144" s="10"/>
      <c r="J144" s="10"/>
      <c r="K144" s="10"/>
      <c r="L144" s="10"/>
      <c r="M144" s="10"/>
      <c r="N144" s="10"/>
      <c r="O144" s="213"/>
      <c r="P144" s="10"/>
      <c r="Q144" s="10"/>
      <c r="R144" s="10"/>
      <c r="S144" s="10"/>
      <c r="T144" s="213"/>
      <c r="U144" s="10"/>
      <c r="V144" s="10"/>
      <c r="W144" s="10"/>
      <c r="X144" s="10"/>
      <c r="Y144" s="216"/>
      <c r="Z144" s="10"/>
      <c r="AA144" s="10"/>
      <c r="AB144" s="10"/>
      <c r="AC144" s="10"/>
      <c r="AD144" s="10"/>
      <c r="AE144" s="10"/>
      <c r="AF144" s="10"/>
      <c r="AG144" s="10"/>
      <c r="AH144" s="10"/>
      <c r="AI144" s="10"/>
      <c r="AJ144" s="10"/>
      <c r="AK144" s="10"/>
      <c r="AL144" s="10"/>
      <c r="AM144" s="10"/>
    </row>
    <row r="145" spans="2:39">
      <c r="B145" s="4"/>
      <c r="C145" s="4"/>
      <c r="E145" s="136"/>
      <c r="F145" s="4"/>
      <c r="G145" s="10"/>
      <c r="H145" s="10"/>
      <c r="I145" s="10"/>
      <c r="J145" s="10"/>
      <c r="K145" s="10"/>
      <c r="L145" s="10"/>
      <c r="M145" s="10"/>
      <c r="N145" s="10"/>
      <c r="O145" s="213"/>
      <c r="P145" s="10"/>
      <c r="Q145" s="10"/>
      <c r="R145" s="10"/>
      <c r="S145" s="10"/>
      <c r="T145" s="213"/>
      <c r="U145" s="10"/>
      <c r="V145" s="10"/>
      <c r="W145" s="10"/>
      <c r="X145" s="10"/>
      <c r="Y145" s="216"/>
      <c r="Z145" s="10"/>
      <c r="AA145" s="10"/>
      <c r="AB145" s="10"/>
      <c r="AC145" s="10"/>
      <c r="AD145" s="10"/>
      <c r="AE145" s="10"/>
      <c r="AF145" s="10"/>
      <c r="AG145" s="10"/>
      <c r="AH145" s="10"/>
      <c r="AI145" s="10"/>
      <c r="AJ145" s="10"/>
      <c r="AK145" s="10"/>
      <c r="AL145" s="10"/>
      <c r="AM145" s="10"/>
    </row>
    <row r="146" spans="2:39">
      <c r="B146" s="4"/>
      <c r="C146" s="4"/>
      <c r="E146" s="136"/>
      <c r="F146" s="4"/>
      <c r="G146" s="10"/>
      <c r="H146" s="10"/>
      <c r="I146" s="10"/>
      <c r="J146" s="10"/>
      <c r="K146" s="10"/>
      <c r="L146" s="10"/>
      <c r="M146" s="10"/>
      <c r="N146" s="10"/>
      <c r="O146" s="213"/>
      <c r="P146" s="10"/>
      <c r="Q146" s="10"/>
      <c r="R146" s="10"/>
      <c r="S146" s="10"/>
      <c r="T146" s="213"/>
      <c r="U146" s="10"/>
      <c r="V146" s="10"/>
      <c r="W146" s="10"/>
      <c r="X146" s="10"/>
      <c r="Y146" s="216"/>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24" t="s">
        <v>197</v>
      </c>
      <c r="C2" s="324"/>
    </row>
    <row r="3" spans="1:48">
      <c r="A3" s="4" t="s">
        <v>16</v>
      </c>
    </row>
    <row r="4" spans="1:48" ht="15.75" thickBot="1">
      <c r="A4" s="4" t="s">
        <v>16</v>
      </c>
      <c r="B4" s="324" t="s">
        <v>11</v>
      </c>
      <c r="C4" s="324"/>
      <c r="D4" s="58"/>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3">
        <f>INDEX(Drivers!$C$7:$AG$22,$D$6,MATCH(K$4,Drivers!$C$5:$AG$5,0))</f>
        <v>69.819999999999993</v>
      </c>
      <c r="L6" s="133">
        <f>INDEX(Drivers!$C$7:$AG$22,$D$6,MATCH(L$4,Drivers!$C$5:$AG$5,0))</f>
        <v>72.77</v>
      </c>
      <c r="M6" s="133">
        <f>INDEX(Drivers!$C$7:$AG$22,$D$6,MATCH(M$4,Drivers!$C$5:$AG$5,0))</f>
        <v>75.510000000000005</v>
      </c>
      <c r="N6" s="133">
        <f>INDEX(Drivers!$C$7:$AG$22,$D$6,MATCH(N$4,Drivers!$C$5:$AG$5,0))</f>
        <v>74.36</v>
      </c>
      <c r="O6" s="133">
        <f>INDEX(Drivers!$C$7:$AG$22,$D$6,MATCH(O$4,Drivers!$C$5:$AG$5,0))</f>
        <v>73.55</v>
      </c>
      <c r="P6" s="133">
        <f>INDEX(Drivers!$C$7:$AG$22,$D$6,MATCH(P$4,Drivers!$C$5:$AG$5,0))</f>
        <v>76</v>
      </c>
      <c r="Q6" s="133">
        <f>INDEX(Drivers!$C$7:$AG$22,$D$6,MATCH(Q$4,Drivers!$C$5:$AG$5,0))</f>
        <v>74.78</v>
      </c>
      <c r="R6" s="133">
        <f>INDEX(Drivers!$C$7:$AG$22,$D$6,MATCH(R$4,Drivers!$C$5:$AG$5,0))</f>
        <v>73.53</v>
      </c>
      <c r="S6" s="133">
        <f>INDEX(Drivers!$C$7:$AG$22,$D$6,MATCH(S$4,Drivers!$C$5:$AG$5,0))</f>
        <v>70.959999999999994</v>
      </c>
      <c r="T6" s="133">
        <f>INDEX(Drivers!$C$7:$AG$22,$D$6,MATCH(T$4,Drivers!$C$5:$AG$5,0))</f>
        <v>72.959999999999994</v>
      </c>
      <c r="U6" s="133">
        <f>INDEX(Drivers!$C$7:$AG$22,$D$6,MATCH(U$4,Drivers!$C$5:$AG$5,0))</f>
        <v>75</v>
      </c>
      <c r="V6" s="133">
        <f>INDEX(Drivers!$C$7:$AG$22,$D$6,MATCH(V$4,Drivers!$C$5:$AG$5,0))</f>
        <v>76.52</v>
      </c>
      <c r="W6" s="133">
        <f>INDEX(Drivers!$C$7:$AG$22,$D$6,MATCH(W$4,Drivers!$C$5:$AG$5,0))</f>
        <v>77.900000000000006</v>
      </c>
      <c r="X6" s="133">
        <f>INDEX(Drivers!$C$7:$AG$22,$D$6,MATCH(X$4,Drivers!$C$5:$AG$5,0))</f>
        <v>79.13</v>
      </c>
      <c r="Y6" s="133">
        <f>INDEX(Drivers!$C$7:$AG$22,$D$6,MATCH(Y$4,Drivers!$C$5:$AG$5,0))</f>
        <v>81.150000000000006</v>
      </c>
      <c r="Z6" s="133">
        <f>INDEX(Drivers!$C$7:$AG$22,$D$6,MATCH(Z$4,Drivers!$C$5:$AG$5,0))</f>
        <v>83.06</v>
      </c>
      <c r="AA6" s="133">
        <f>INDEX(Drivers!$C$7:$AG$22,$D$6,MATCH(AA$4,Drivers!$C$5:$AG$5,0))</f>
        <v>85</v>
      </c>
      <c r="AB6" s="133">
        <f>INDEX(Drivers!$C$7:$AG$22,$D$6,MATCH(AB$4,Drivers!$C$5:$AG$5,0))</f>
        <v>86.79</v>
      </c>
      <c r="AC6" s="133">
        <f>INDEX(Drivers!$C$7:$AG$22,$D$6,MATCH(AC$4,Drivers!$C$5:$AG$5,0))</f>
        <v>88.61</v>
      </c>
      <c r="AD6" s="133">
        <f>INDEX(Drivers!$C$7:$AG$22,$D$6,MATCH(AD$4,Drivers!$C$5:$AG$5,0))</f>
        <v>90.52</v>
      </c>
      <c r="AE6" s="133">
        <f>INDEX(Drivers!$C$7:$AG$22,$D$6,MATCH(AE$4,Drivers!$C$5:$AG$5,0))</f>
        <v>92.22</v>
      </c>
      <c r="AF6" s="133">
        <f>INDEX(Drivers!$C$7:$AG$22,$D$6,MATCH(AF$4,Drivers!$C$5:$AG$5,0))</f>
        <v>94</v>
      </c>
      <c r="AG6" s="133">
        <f>INDEX(Drivers!$C$7:$AG$22,$D$6,MATCH(AG$4,Drivers!$C$5:$AG$5,0))</f>
        <v>95.83</v>
      </c>
      <c r="AH6" s="133">
        <f>INDEX(Drivers!$C$7:$AG$22,$D$6,MATCH(AH$4,Drivers!$C$5:$AG$5,0))</f>
        <v>97.69</v>
      </c>
      <c r="AI6" s="133">
        <f>INDEX(Drivers!$C$7:$AG$22,$D$6,MATCH(AI$4,Drivers!$C$5:$AG$5,0))</f>
        <v>99.72</v>
      </c>
      <c r="AJ6" s="133">
        <f>INDEX(Drivers!$C$7:$AG$22,$D$6,MATCH(AJ$4,Drivers!$C$5:$AG$5,0))</f>
        <v>101.85</v>
      </c>
      <c r="AK6" s="133">
        <f>INDEX(Drivers!$C$7:$AG$22,$D$6,MATCH(AK$4,Drivers!$C$5:$AG$5,0))</f>
        <v>104.02</v>
      </c>
      <c r="AL6" s="133">
        <f>INDEX(Drivers!$C$7:$AG$22,$D$6,MATCH(AL$4,Drivers!$C$5:$AG$5,0))</f>
        <v>106.26</v>
      </c>
      <c r="AM6" s="133">
        <f>INDEX(Drivers!$C$7:$AG$22,$D$6,MATCH(AM$4,Drivers!$C$5:$AG$5,0))</f>
        <v>108.6</v>
      </c>
      <c r="AN6" s="133">
        <f>INDEX(Drivers!$C$7:$AG$22,$D$6,MATCH(AN$4,Drivers!$C$5:$AG$5,0))</f>
        <v>120.7</v>
      </c>
      <c r="AO6" s="133">
        <f>INDEX(Drivers!$C$7:$AG$22,$D$6,MATCH(AO$4,Drivers!$C$5:$AG$5,0))</f>
        <v>136.25</v>
      </c>
      <c r="AP6" s="133">
        <f>AO6</f>
        <v>136.25</v>
      </c>
      <c r="AQ6" s="133"/>
      <c r="AR6" s="133"/>
      <c r="AS6" s="24"/>
      <c r="AT6" s="24"/>
      <c r="AU6" s="24"/>
      <c r="AV6" s="24"/>
    </row>
    <row r="7" spans="1:48">
      <c r="A7" s="4" t="s">
        <v>16</v>
      </c>
      <c r="B7" s="25"/>
    </row>
    <row r="8" spans="1:48" ht="15.75" thickBot="1">
      <c r="A8" s="4" t="s">
        <v>16</v>
      </c>
      <c r="B8" s="324" t="s">
        <v>285</v>
      </c>
      <c r="C8" s="324"/>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24" t="s">
        <v>12</v>
      </c>
      <c r="C16" s="32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94"/>
    <col min="2" max="2" width="11.85546875" style="194" customWidth="1"/>
    <col min="3" max="3" width="34.85546875" style="194" customWidth="1"/>
    <col min="4" max="4" width="8.85546875" style="194"/>
    <col min="5" max="5" width="6.42578125" style="194" customWidth="1"/>
    <col min="6" max="6" width="9.7109375" style="194" customWidth="1"/>
    <col min="7" max="8" width="6.42578125" style="194" customWidth="1"/>
    <col min="9" max="9" width="9.140625" style="194" customWidth="1"/>
    <col min="10" max="10" width="8.85546875" style="5" customWidth="1"/>
    <col min="11" max="11" width="8.42578125" style="194" customWidth="1"/>
    <col min="12" max="29" width="6.42578125" style="194" customWidth="1"/>
    <col min="30" max="46" width="6.140625" style="194" customWidth="1"/>
    <col min="47" max="47" width="10.42578125" style="194" customWidth="1"/>
    <col min="48" max="48" width="6.140625" style="194" customWidth="1"/>
    <col min="49" max="16384" width="8.85546875" style="194"/>
  </cols>
  <sheetData>
    <row r="1" spans="1:48">
      <c r="A1" s="194" t="s">
        <v>611</v>
      </c>
      <c r="B1" s="194" t="s">
        <v>17</v>
      </c>
      <c r="G1" s="194" t="s">
        <v>283</v>
      </c>
    </row>
    <row r="2" spans="1:48" ht="15.75" thickBot="1">
      <c r="A2" s="194" t="s">
        <v>16</v>
      </c>
      <c r="B2" s="324" t="s">
        <v>197</v>
      </c>
      <c r="C2" s="324"/>
      <c r="G2" s="194" t="s">
        <v>282</v>
      </c>
      <c r="H2" s="194">
        <v>1</v>
      </c>
    </row>
    <row r="3" spans="1:48">
      <c r="A3" s="194" t="s">
        <v>16</v>
      </c>
      <c r="G3" s="194" t="s">
        <v>284</v>
      </c>
      <c r="H3" s="194">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4" t="s">
        <v>16</v>
      </c>
      <c r="D4" s="194">
        <v>2012</v>
      </c>
      <c r="E4" s="194">
        <v>2020</v>
      </c>
      <c r="F4" s="194">
        <v>2030</v>
      </c>
      <c r="G4" s="194">
        <v>2050</v>
      </c>
      <c r="H4" s="194">
        <v>1</v>
      </c>
      <c r="I4" s="194" t="s">
        <v>392</v>
      </c>
      <c r="J4" s="194">
        <f>MATCH(J$3,$D$4:$G$4,$H4)</f>
        <v>1</v>
      </c>
      <c r="K4" s="194">
        <f t="shared" ref="K4:AP5" si="0">MATCH(K$3,$D$4:$G$4,$H4)</f>
        <v>1</v>
      </c>
      <c r="L4" s="194">
        <f t="shared" si="0"/>
        <v>1</v>
      </c>
      <c r="M4" s="194">
        <f t="shared" si="0"/>
        <v>1</v>
      </c>
      <c r="N4" s="194">
        <f t="shared" si="0"/>
        <v>1</v>
      </c>
      <c r="O4" s="194">
        <f t="shared" si="0"/>
        <v>1</v>
      </c>
      <c r="P4" s="194">
        <f t="shared" si="0"/>
        <v>1</v>
      </c>
      <c r="Q4" s="194">
        <f t="shared" si="0"/>
        <v>1</v>
      </c>
      <c r="R4" s="194">
        <f t="shared" si="0"/>
        <v>2</v>
      </c>
      <c r="S4" s="194">
        <f t="shared" si="0"/>
        <v>2</v>
      </c>
      <c r="T4" s="194">
        <f t="shared" si="0"/>
        <v>2</v>
      </c>
      <c r="U4" s="194">
        <f t="shared" si="0"/>
        <v>2</v>
      </c>
      <c r="V4" s="194">
        <f t="shared" si="0"/>
        <v>2</v>
      </c>
      <c r="W4" s="194">
        <f t="shared" si="0"/>
        <v>2</v>
      </c>
      <c r="X4" s="194">
        <f t="shared" si="0"/>
        <v>2</v>
      </c>
      <c r="Y4" s="194">
        <f t="shared" si="0"/>
        <v>2</v>
      </c>
      <c r="Z4" s="194">
        <f t="shared" si="0"/>
        <v>2</v>
      </c>
      <c r="AA4" s="194">
        <f t="shared" si="0"/>
        <v>2</v>
      </c>
      <c r="AB4" s="194">
        <f t="shared" si="0"/>
        <v>3</v>
      </c>
      <c r="AC4" s="194">
        <f t="shared" si="0"/>
        <v>3</v>
      </c>
      <c r="AD4" s="194">
        <f t="shared" si="0"/>
        <v>3</v>
      </c>
      <c r="AE4" s="194">
        <f t="shared" si="0"/>
        <v>3</v>
      </c>
      <c r="AF4" s="194">
        <f t="shared" si="0"/>
        <v>3</v>
      </c>
      <c r="AG4" s="194">
        <f t="shared" si="0"/>
        <v>3</v>
      </c>
      <c r="AH4" s="194">
        <f t="shared" si="0"/>
        <v>3</v>
      </c>
      <c r="AI4" s="194">
        <f t="shared" si="0"/>
        <v>3</v>
      </c>
      <c r="AJ4" s="194">
        <f t="shared" si="0"/>
        <v>3</v>
      </c>
      <c r="AK4" s="194">
        <f t="shared" si="0"/>
        <v>3</v>
      </c>
      <c r="AL4" s="194">
        <f t="shared" si="0"/>
        <v>3</v>
      </c>
      <c r="AM4" s="194">
        <f t="shared" si="0"/>
        <v>3</v>
      </c>
      <c r="AN4" s="194">
        <f t="shared" si="0"/>
        <v>4</v>
      </c>
      <c r="AO4" s="194">
        <f t="shared" si="0"/>
        <v>4</v>
      </c>
      <c r="AP4" s="194">
        <f t="shared" si="0"/>
        <v>4</v>
      </c>
    </row>
    <row r="5" spans="1:48">
      <c r="A5" s="194" t="s">
        <v>16</v>
      </c>
      <c r="D5" s="194">
        <f>INDEX($D4:$G4,0,COUNT($D4:$G4)-D6)</f>
        <v>2050</v>
      </c>
      <c r="E5" s="194">
        <f>INDEX($D4:$G4,0,COUNT($D4:$G4)-E6)</f>
        <v>2030</v>
      </c>
      <c r="F5" s="194">
        <f>INDEX($D4:$G4,0,COUNT($D4:$G4)-F6)</f>
        <v>2020</v>
      </c>
      <c r="G5" s="194">
        <f>INDEX($D4:$G4,0,COUNT($D4:$G4)-G6)</f>
        <v>2012</v>
      </c>
      <c r="H5" s="194">
        <v>0</v>
      </c>
      <c r="I5" s="194" t="s">
        <v>393</v>
      </c>
      <c r="J5" s="194">
        <f t="shared" ref="J5:Y5" si="1">MATCH(J$3,$D$4:$G$4,$H5)</f>
        <v>1</v>
      </c>
      <c r="K5" s="194" t="e">
        <f t="shared" si="1"/>
        <v>#N/A</v>
      </c>
      <c r="L5" s="194" t="e">
        <f t="shared" si="1"/>
        <v>#N/A</v>
      </c>
      <c r="M5" s="194" t="e">
        <f t="shared" si="1"/>
        <v>#N/A</v>
      </c>
      <c r="N5" s="194" t="e">
        <f t="shared" si="1"/>
        <v>#N/A</v>
      </c>
      <c r="O5" s="194" t="e">
        <f t="shared" si="1"/>
        <v>#N/A</v>
      </c>
      <c r="P5" s="194" t="e">
        <f t="shared" si="1"/>
        <v>#N/A</v>
      </c>
      <c r="Q5" s="194" t="e">
        <f t="shared" si="1"/>
        <v>#N/A</v>
      </c>
      <c r="R5" s="194">
        <f t="shared" si="1"/>
        <v>2</v>
      </c>
      <c r="S5" s="194" t="e">
        <f t="shared" si="1"/>
        <v>#N/A</v>
      </c>
      <c r="T5" s="194" t="e">
        <f t="shared" si="1"/>
        <v>#N/A</v>
      </c>
      <c r="U5" s="194" t="e">
        <f t="shared" si="1"/>
        <v>#N/A</v>
      </c>
      <c r="V5" s="194" t="e">
        <f t="shared" si="1"/>
        <v>#N/A</v>
      </c>
      <c r="W5" s="194" t="e">
        <f t="shared" si="1"/>
        <v>#N/A</v>
      </c>
      <c r="X5" s="194" t="e">
        <f t="shared" si="1"/>
        <v>#N/A</v>
      </c>
      <c r="Y5" s="194" t="e">
        <f t="shared" si="1"/>
        <v>#N/A</v>
      </c>
      <c r="Z5" s="194" t="e">
        <f t="shared" si="0"/>
        <v>#N/A</v>
      </c>
      <c r="AA5" s="194" t="e">
        <f t="shared" si="0"/>
        <v>#N/A</v>
      </c>
      <c r="AB5" s="194">
        <f t="shared" si="0"/>
        <v>3</v>
      </c>
      <c r="AC5" s="194" t="e">
        <f t="shared" si="0"/>
        <v>#N/A</v>
      </c>
      <c r="AD5" s="194" t="e">
        <f t="shared" si="0"/>
        <v>#N/A</v>
      </c>
      <c r="AE5" s="194" t="e">
        <f t="shared" si="0"/>
        <v>#N/A</v>
      </c>
      <c r="AF5" s="194" t="e">
        <f t="shared" si="0"/>
        <v>#N/A</v>
      </c>
      <c r="AG5" s="194" t="e">
        <f t="shared" si="0"/>
        <v>#N/A</v>
      </c>
      <c r="AH5" s="194" t="e">
        <f t="shared" si="0"/>
        <v>#N/A</v>
      </c>
      <c r="AI5" s="194" t="e">
        <f t="shared" si="0"/>
        <v>#N/A</v>
      </c>
      <c r="AJ5" s="194" t="e">
        <f t="shared" si="0"/>
        <v>#N/A</v>
      </c>
      <c r="AK5" s="194" t="e">
        <f t="shared" si="0"/>
        <v>#N/A</v>
      </c>
      <c r="AL5" s="194" t="e">
        <f t="shared" si="0"/>
        <v>#N/A</v>
      </c>
      <c r="AM5" s="194" t="e">
        <f t="shared" si="0"/>
        <v>#N/A</v>
      </c>
      <c r="AN5" s="194">
        <f t="shared" si="0"/>
        <v>4</v>
      </c>
      <c r="AO5" s="194" t="e">
        <f t="shared" si="0"/>
        <v>#N/A</v>
      </c>
      <c r="AP5" s="194" t="e">
        <f t="shared" si="0"/>
        <v>#N/A</v>
      </c>
    </row>
    <row r="6" spans="1:48">
      <c r="A6" s="194" t="s">
        <v>16</v>
      </c>
      <c r="D6" s="194">
        <v>0</v>
      </c>
      <c r="E6" s="194">
        <v>1</v>
      </c>
      <c r="F6" s="194">
        <v>2</v>
      </c>
      <c r="G6" s="194">
        <v>3</v>
      </c>
      <c r="H6" s="194">
        <v>-1</v>
      </c>
      <c r="I6" s="194" t="s">
        <v>391</v>
      </c>
      <c r="J6" s="194">
        <f>MATCH(J$3,$D$5:$G$5,$H6)</f>
        <v>4</v>
      </c>
      <c r="K6" s="194">
        <f t="shared" ref="K6:AP6" si="2">MATCH(K$3,$D$5:$G$5,$H6)</f>
        <v>3</v>
      </c>
      <c r="L6" s="194">
        <f t="shared" si="2"/>
        <v>3</v>
      </c>
      <c r="M6" s="194">
        <f t="shared" si="2"/>
        <v>3</v>
      </c>
      <c r="N6" s="194">
        <f t="shared" si="2"/>
        <v>3</v>
      </c>
      <c r="O6" s="194">
        <f t="shared" si="2"/>
        <v>3</v>
      </c>
      <c r="P6" s="194">
        <f t="shared" si="2"/>
        <v>3</v>
      </c>
      <c r="Q6" s="194">
        <f t="shared" si="2"/>
        <v>3</v>
      </c>
      <c r="R6" s="194">
        <f t="shared" si="2"/>
        <v>3</v>
      </c>
      <c r="S6" s="194">
        <f t="shared" si="2"/>
        <v>2</v>
      </c>
      <c r="T6" s="194">
        <f t="shared" si="2"/>
        <v>2</v>
      </c>
      <c r="U6" s="194">
        <f t="shared" si="2"/>
        <v>2</v>
      </c>
      <c r="V6" s="194">
        <f t="shared" si="2"/>
        <v>2</v>
      </c>
      <c r="W6" s="194">
        <f t="shared" si="2"/>
        <v>2</v>
      </c>
      <c r="X6" s="194">
        <f t="shared" si="2"/>
        <v>2</v>
      </c>
      <c r="Y6" s="194">
        <f t="shared" si="2"/>
        <v>2</v>
      </c>
      <c r="Z6" s="194">
        <f t="shared" si="2"/>
        <v>2</v>
      </c>
      <c r="AA6" s="194">
        <f t="shared" si="2"/>
        <v>2</v>
      </c>
      <c r="AB6" s="194">
        <f t="shared" si="2"/>
        <v>2</v>
      </c>
      <c r="AC6" s="194">
        <f t="shared" si="2"/>
        <v>1</v>
      </c>
      <c r="AD6" s="194">
        <f t="shared" si="2"/>
        <v>1</v>
      </c>
      <c r="AE6" s="194">
        <f t="shared" si="2"/>
        <v>1</v>
      </c>
      <c r="AF6" s="194">
        <f t="shared" si="2"/>
        <v>1</v>
      </c>
      <c r="AG6" s="194">
        <f t="shared" si="2"/>
        <v>1</v>
      </c>
      <c r="AH6" s="194">
        <f t="shared" si="2"/>
        <v>1</v>
      </c>
      <c r="AI6" s="194">
        <f t="shared" si="2"/>
        <v>1</v>
      </c>
      <c r="AJ6" s="194">
        <f t="shared" si="2"/>
        <v>1</v>
      </c>
      <c r="AK6" s="194">
        <f t="shared" si="2"/>
        <v>1</v>
      </c>
      <c r="AL6" s="194">
        <f t="shared" si="2"/>
        <v>1</v>
      </c>
      <c r="AM6" s="194">
        <f t="shared" si="2"/>
        <v>1</v>
      </c>
      <c r="AN6" s="194">
        <f>MATCH(AN$3,$D$5:$G$5,$H6)</f>
        <v>1</v>
      </c>
      <c r="AO6" s="194" t="e">
        <f t="shared" si="2"/>
        <v>#N/A</v>
      </c>
      <c r="AP6" s="194" t="e">
        <f t="shared" si="2"/>
        <v>#N/A</v>
      </c>
    </row>
    <row r="7" spans="1:48">
      <c r="A7" s="194" t="s">
        <v>16</v>
      </c>
      <c r="I7" s="194"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4" t="s">
        <v>16</v>
      </c>
      <c r="B8" s="14" t="s">
        <v>11</v>
      </c>
      <c r="C8" s="14"/>
      <c r="D8" s="14"/>
      <c r="E8" s="14"/>
      <c r="F8" s="14"/>
    </row>
    <row r="9" spans="1:48">
      <c r="A9" s="194" t="s">
        <v>16</v>
      </c>
      <c r="B9" s="194" t="s">
        <v>9</v>
      </c>
      <c r="C9" s="194" t="s">
        <v>10</v>
      </c>
      <c r="D9" s="194" t="s">
        <v>281</v>
      </c>
      <c r="E9" s="194"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4">
        <f>AN9+1</f>
        <v>32</v>
      </c>
      <c r="AP9" s="194">
        <f>AO9+1</f>
        <v>33</v>
      </c>
    </row>
    <row r="10" spans="1:48">
      <c r="A10" s="194" t="s">
        <v>16</v>
      </c>
      <c r="B10" s="195" t="str">
        <f>[4]IND!B10</f>
        <v>MI</v>
      </c>
      <c r="C10" s="195" t="str">
        <f>[4]IND!A10</f>
        <v>Mining</v>
      </c>
      <c r="D10" s="194">
        <f>[4]IND!M10</f>
        <v>1</v>
      </c>
      <c r="F10" s="195"/>
      <c r="G10" s="194">
        <f>MATCH(B10,Drivers!$A$7:$A$22,0)</f>
        <v>7</v>
      </c>
      <c r="H10" s="195"/>
      <c r="I10" s="195"/>
      <c r="J10" s="194">
        <f>INDEX(Drivers!$C$7:$AG$22,$G10,J$9)</f>
        <v>205.45</v>
      </c>
      <c r="K10" s="194">
        <f>INDEX(Drivers!$C$7:$AG$22,$G10,K$9)</f>
        <v>210.29</v>
      </c>
      <c r="L10" s="194">
        <f>INDEX(Drivers!$C$7:$AG$22,$G10,L$9)</f>
        <v>210.09</v>
      </c>
      <c r="M10" s="194">
        <f>INDEX(Drivers!$C$7:$AG$22,$G10,M$9)</f>
        <v>214.84</v>
      </c>
      <c r="N10" s="194">
        <f>INDEX(Drivers!$C$7:$AG$22,$G10,N$9)</f>
        <v>210.99</v>
      </c>
      <c r="O10" s="194">
        <f>INDEX(Drivers!$C$7:$AG$22,$G10,O$9)</f>
        <v>215.85</v>
      </c>
      <c r="P10" s="194">
        <f>INDEX(Drivers!$C$7:$AG$22,$G10,P$9)</f>
        <v>213.65</v>
      </c>
      <c r="Q10" s="194">
        <f>INDEX(Drivers!$C$7:$AG$22,$G10,Q$9)</f>
        <v>210.07</v>
      </c>
      <c r="R10" s="194">
        <f>INDEX(Drivers!$C$7:$AG$22,$G10,R$9)</f>
        <v>193.07</v>
      </c>
      <c r="S10" s="194">
        <f>INDEX(Drivers!$C$7:$AG$22,$G10,S$9)</f>
        <v>196.38</v>
      </c>
      <c r="T10" s="194">
        <f>INDEX(Drivers!$C$7:$AG$22,$G10,T$9)</f>
        <v>199.05</v>
      </c>
      <c r="U10" s="194">
        <f>INDEX(Drivers!$C$7:$AG$22,$G10,U$9)</f>
        <v>201.54</v>
      </c>
      <c r="V10" s="194">
        <f>INDEX(Drivers!$C$7:$AG$22,$G10,V$9)</f>
        <v>203.91</v>
      </c>
      <c r="W10" s="194">
        <f>INDEX(Drivers!$C$7:$AG$22,$G10,W$9)</f>
        <v>207.14</v>
      </c>
      <c r="X10" s="194">
        <f>INDEX(Drivers!$C$7:$AG$22,$G10,X$9)</f>
        <v>212.19</v>
      </c>
      <c r="Y10" s="194">
        <f>INDEX(Drivers!$C$7:$AG$22,$G10,Y$9)</f>
        <v>217.65</v>
      </c>
      <c r="Z10" s="194">
        <f>INDEX(Drivers!$C$7:$AG$22,$G10,Z$9)</f>
        <v>223.52</v>
      </c>
      <c r="AA10" s="194">
        <f>INDEX(Drivers!$C$7:$AG$22,$G10,AA$9)</f>
        <v>228.69</v>
      </c>
      <c r="AB10" s="194">
        <f>INDEX(Drivers!$C$7:$AG$22,$G10,AB$9)</f>
        <v>234.66</v>
      </c>
      <c r="AC10" s="194">
        <f>INDEX(Drivers!$C$7:$AG$22,$G10,AC$9)</f>
        <v>240.3</v>
      </c>
      <c r="AD10" s="194">
        <f>INDEX(Drivers!$C$7:$AG$22,$G10,AD$9)</f>
        <v>245.53</v>
      </c>
      <c r="AE10" s="194">
        <f>INDEX(Drivers!$C$7:$AG$22,$G10,AE$9)</f>
        <v>251.1</v>
      </c>
      <c r="AF10" s="194">
        <f>INDEX(Drivers!$C$7:$AG$22,$G10,AF$9)</f>
        <v>256.91000000000003</v>
      </c>
      <c r="AG10" s="194">
        <f>INDEX(Drivers!$C$7:$AG$22,$G10,AG$9)</f>
        <v>262.83</v>
      </c>
      <c r="AH10" s="194">
        <f>INDEX(Drivers!$C$7:$AG$22,$G10,AH$9)</f>
        <v>269.37</v>
      </c>
      <c r="AI10" s="194">
        <f>INDEX(Drivers!$C$7:$AG$22,$G10,AI$9)</f>
        <v>276.17</v>
      </c>
      <c r="AJ10" s="194">
        <f>INDEX(Drivers!$C$7:$AG$22,$G10,AJ$9)</f>
        <v>282.98</v>
      </c>
      <c r="AK10" s="194">
        <f>INDEX(Drivers!$C$7:$AG$22,$G10,AK$9)</f>
        <v>290.05</v>
      </c>
      <c r="AL10" s="194">
        <f>INDEX(Drivers!$C$7:$AG$22,$G10,AL$9)</f>
        <v>297.62</v>
      </c>
      <c r="AM10" s="194">
        <f>INDEX(Drivers!$C$7:$AG$22,$G10,AM$9)</f>
        <v>334.31</v>
      </c>
      <c r="AN10" s="194">
        <f>INDEX(Drivers!$C$7:$AG$22,$G10,AN$9)</f>
        <v>380</v>
      </c>
      <c r="AO10" s="194">
        <f>FORECAST(AO$3,$AL10:$AN10,$AL$3:$AN$3)</f>
        <v>460.88000000000102</v>
      </c>
      <c r="AP10" s="194">
        <f>FORECAST(AP$3,$AL10:$AN10,$AL$3:$AN$3)</f>
        <v>543.26000000000204</v>
      </c>
    </row>
    <row r="11" spans="1:48">
      <c r="A11" s="194" t="s">
        <v>16</v>
      </c>
      <c r="B11" s="195" t="str">
        <f>[4]IND!B11</f>
        <v>FA</v>
      </c>
      <c r="C11" s="195" t="str">
        <f>[4]IND!A11</f>
        <v>Ferro Alloys</v>
      </c>
      <c r="D11" s="194">
        <f>[4]IND!M11</f>
        <v>0</v>
      </c>
      <c r="F11" s="195" t="s">
        <v>616</v>
      </c>
      <c r="G11" s="194">
        <f>G10</f>
        <v>7</v>
      </c>
      <c r="H11" s="195"/>
      <c r="I11" s="195"/>
      <c r="J11" s="194">
        <f>INDEX(Drivers!$C$7:$AG$22,$G11,J$9)</f>
        <v>205.45</v>
      </c>
      <c r="K11" s="194">
        <f>INDEX(Drivers!$C$7:$AG$22,$G11,K$9)</f>
        <v>210.29</v>
      </c>
      <c r="L11" s="194">
        <f>INDEX(Drivers!$C$7:$AG$22,$G11,L$9)</f>
        <v>210.09</v>
      </c>
      <c r="M11" s="194">
        <f>INDEX(Drivers!$C$7:$AG$22,$G11,M$9)</f>
        <v>214.84</v>
      </c>
      <c r="N11" s="194">
        <f>INDEX(Drivers!$C$7:$AG$22,$G11,N$9)</f>
        <v>210.99</v>
      </c>
      <c r="O11" s="194">
        <f>INDEX(Drivers!$C$7:$AG$22,$G11,O$9)</f>
        <v>215.85</v>
      </c>
      <c r="P11" s="194">
        <f>INDEX(Drivers!$C$7:$AG$22,$G11,P$9)</f>
        <v>213.65</v>
      </c>
      <c r="Q11" s="194">
        <f>INDEX(Drivers!$C$7:$AG$22,$G11,Q$9)</f>
        <v>210.07</v>
      </c>
      <c r="R11" s="194">
        <f>INDEX(Drivers!$C$7:$AG$22,$G11,R$9)</f>
        <v>193.07</v>
      </c>
      <c r="S11" s="194">
        <f>INDEX(Drivers!$C$7:$AG$22,$G11,S$9)</f>
        <v>196.38</v>
      </c>
      <c r="T11" s="194">
        <f>INDEX(Drivers!$C$7:$AG$22,$G11,T$9)</f>
        <v>199.05</v>
      </c>
      <c r="U11" s="194">
        <f>INDEX(Drivers!$C$7:$AG$22,$G11,U$9)</f>
        <v>201.54</v>
      </c>
      <c r="V11" s="194">
        <f>INDEX(Drivers!$C$7:$AG$22,$G11,V$9)</f>
        <v>203.91</v>
      </c>
      <c r="W11" s="194">
        <f>INDEX(Drivers!$C$7:$AG$22,$G11,W$9)</f>
        <v>207.14</v>
      </c>
      <c r="X11" s="194">
        <f>INDEX(Drivers!$C$7:$AG$22,$G11,X$9)</f>
        <v>212.19</v>
      </c>
      <c r="Y11" s="194">
        <f>INDEX(Drivers!$C$7:$AG$22,$G11,Y$9)</f>
        <v>217.65</v>
      </c>
      <c r="Z11" s="194">
        <f>INDEX(Drivers!$C$7:$AG$22,$G11,Z$9)</f>
        <v>223.52</v>
      </c>
      <c r="AA11" s="194">
        <f>INDEX(Drivers!$C$7:$AG$22,$G11,AA$9)</f>
        <v>228.69</v>
      </c>
      <c r="AB11" s="194">
        <f>INDEX(Drivers!$C$7:$AG$22,$G11,AB$9)</f>
        <v>234.66</v>
      </c>
      <c r="AC11" s="194">
        <f>INDEX(Drivers!$C$7:$AG$22,$G11,AC$9)</f>
        <v>240.3</v>
      </c>
      <c r="AD11" s="194">
        <f>INDEX(Drivers!$C$7:$AG$22,$G11,AD$9)</f>
        <v>245.53</v>
      </c>
      <c r="AE11" s="194">
        <f>INDEX(Drivers!$C$7:$AG$22,$G11,AE$9)</f>
        <v>251.1</v>
      </c>
      <c r="AF11" s="194">
        <f>INDEX(Drivers!$C$7:$AG$22,$G11,AF$9)</f>
        <v>256.91000000000003</v>
      </c>
      <c r="AG11" s="194">
        <f>INDEX(Drivers!$C$7:$AG$22,$G11,AG$9)</f>
        <v>262.83</v>
      </c>
      <c r="AH11" s="194">
        <f>INDEX(Drivers!$C$7:$AG$22,$G11,AH$9)</f>
        <v>269.37</v>
      </c>
      <c r="AI11" s="194">
        <f>INDEX(Drivers!$C$7:$AG$22,$G11,AI$9)</f>
        <v>276.17</v>
      </c>
      <c r="AJ11" s="194">
        <f>INDEX(Drivers!$C$7:$AG$22,$G11,AJ$9)</f>
        <v>282.98</v>
      </c>
      <c r="AK11" s="194">
        <f>INDEX(Drivers!$C$7:$AG$22,$G11,AK$9)</f>
        <v>290.05</v>
      </c>
      <c r="AL11" s="194">
        <f>INDEX(Drivers!$C$7:$AG$22,$G11,AL$9)</f>
        <v>297.62</v>
      </c>
      <c r="AM11" s="194">
        <f>INDEX(Drivers!$C$7:$AG$22,$G11,AM$9)</f>
        <v>334.31</v>
      </c>
      <c r="AN11" s="194">
        <f>INDEX(Drivers!$C$7:$AG$22,$G11,AN$9)</f>
        <v>380</v>
      </c>
      <c r="AO11" s="194">
        <f t="shared" ref="AO11:AP22" si="4">FORECAST(AO$3,$AL11:$AN11,$AL$3:$AN$3)</f>
        <v>460.88000000000102</v>
      </c>
      <c r="AP11" s="194">
        <f t="shared" si="4"/>
        <v>543.26000000000204</v>
      </c>
    </row>
    <row r="12" spans="1:48">
      <c r="A12" s="194" t="s">
        <v>16</v>
      </c>
      <c r="B12" s="195" t="str">
        <f>[4]IND!B12</f>
        <v>IS</v>
      </c>
      <c r="C12" s="195" t="str">
        <f>[4]IND!A12</f>
        <v>Iron &amp; Steel</v>
      </c>
      <c r="D12" s="194">
        <f>[4]IND!M12</f>
        <v>0</v>
      </c>
      <c r="F12" s="195" t="s">
        <v>292</v>
      </c>
      <c r="G12" s="194">
        <f>MATCH(B12,Drivers!$A$7:$A$22,0)</f>
        <v>6</v>
      </c>
      <c r="H12" s="195"/>
      <c r="I12" s="195"/>
      <c r="J12" s="194">
        <f>INDEX(Drivers!$C$7:$AG$22,$G12,J$9)</f>
        <v>13.35</v>
      </c>
      <c r="K12" s="194">
        <f>INDEX(Drivers!$C$7:$AG$22,$G12,K$9)</f>
        <v>13.74</v>
      </c>
      <c r="L12" s="194">
        <f>INDEX(Drivers!$C$7:$AG$22,$G12,L$9)</f>
        <v>13.91</v>
      </c>
      <c r="M12" s="194">
        <f>INDEX(Drivers!$C$7:$AG$22,$G12,M$9)</f>
        <v>14.13</v>
      </c>
      <c r="N12" s="194">
        <f>INDEX(Drivers!$C$7:$AG$22,$G12,N$9)</f>
        <v>14.15</v>
      </c>
      <c r="O12" s="194">
        <f>INDEX(Drivers!$C$7:$AG$22,$G12,O$9)</f>
        <v>14.18</v>
      </c>
      <c r="P12" s="194">
        <f>INDEX(Drivers!$C$7:$AG$22,$G12,P$9)</f>
        <v>14.21</v>
      </c>
      <c r="Q12" s="194">
        <f>INDEX(Drivers!$C$7:$AG$22,$G12,Q$9)</f>
        <v>14.08</v>
      </c>
      <c r="R12" s="194">
        <f>INDEX(Drivers!$C$7:$AG$22,$G12,R$9)</f>
        <v>12.26</v>
      </c>
      <c r="S12" s="194">
        <f>INDEX(Drivers!$C$7:$AG$22,$G12,S$9)</f>
        <v>12.65</v>
      </c>
      <c r="T12" s="194">
        <f>INDEX(Drivers!$C$7:$AG$22,$G12,T$9)</f>
        <v>12.9</v>
      </c>
      <c r="U12" s="194">
        <f>INDEX(Drivers!$C$7:$AG$22,$G12,U$9)</f>
        <v>13.13</v>
      </c>
      <c r="V12" s="194">
        <f>INDEX(Drivers!$C$7:$AG$22,$G12,V$9)</f>
        <v>13.34</v>
      </c>
      <c r="W12" s="194">
        <f>INDEX(Drivers!$C$7:$AG$22,$G12,W$9)</f>
        <v>13.63</v>
      </c>
      <c r="X12" s="194">
        <f>INDEX(Drivers!$C$7:$AG$22,$G12,X$9)</f>
        <v>14.12</v>
      </c>
      <c r="Y12" s="194">
        <f>INDEX(Drivers!$C$7:$AG$22,$G12,Y$9)</f>
        <v>14.6</v>
      </c>
      <c r="Z12" s="194">
        <f>INDEX(Drivers!$C$7:$AG$22,$G12,Z$9)</f>
        <v>15.08</v>
      </c>
      <c r="AA12" s="194">
        <f>INDEX(Drivers!$C$7:$AG$22,$G12,AA$9)</f>
        <v>15.43</v>
      </c>
      <c r="AB12" s="194">
        <f>INDEX(Drivers!$C$7:$AG$22,$G12,AB$9)</f>
        <v>15.88</v>
      </c>
      <c r="AC12" s="194">
        <f>INDEX(Drivers!$C$7:$AG$22,$G12,AC$9)</f>
        <v>16.239999999999998</v>
      </c>
      <c r="AD12" s="194">
        <f>INDEX(Drivers!$C$7:$AG$22,$G12,AD$9)</f>
        <v>16.559999999999999</v>
      </c>
      <c r="AE12" s="194">
        <f>INDEX(Drivers!$C$7:$AG$22,$G12,AE$9)</f>
        <v>16.93</v>
      </c>
      <c r="AF12" s="194">
        <f>INDEX(Drivers!$C$7:$AG$22,$G12,AF$9)</f>
        <v>17.34</v>
      </c>
      <c r="AG12" s="194">
        <f>INDEX(Drivers!$C$7:$AG$22,$G12,AG$9)</f>
        <v>17.73</v>
      </c>
      <c r="AH12" s="194">
        <f>INDEX(Drivers!$C$7:$AG$22,$G12,AH$9)</f>
        <v>18.190000000000001</v>
      </c>
      <c r="AI12" s="194">
        <f>INDEX(Drivers!$C$7:$AG$22,$G12,AI$9)</f>
        <v>18.670000000000002</v>
      </c>
      <c r="AJ12" s="194">
        <f>INDEX(Drivers!$C$7:$AG$22,$G12,AJ$9)</f>
        <v>19.14</v>
      </c>
      <c r="AK12" s="194">
        <f>INDEX(Drivers!$C$7:$AG$22,$G12,AK$9)</f>
        <v>19.63</v>
      </c>
      <c r="AL12" s="194">
        <f>INDEX(Drivers!$C$7:$AG$22,$G12,AL$9)</f>
        <v>20.14</v>
      </c>
      <c r="AM12" s="194">
        <f>INDEX(Drivers!$C$7:$AG$22,$G12,AM$9)</f>
        <v>22.59</v>
      </c>
      <c r="AN12" s="194">
        <f>INDEX(Drivers!$C$7:$AG$22,$G12,AN$9)</f>
        <v>25.89</v>
      </c>
      <c r="AO12" s="194">
        <f t="shared" si="4"/>
        <v>31.498333333333449</v>
      </c>
      <c r="AP12" s="194">
        <f t="shared" si="4"/>
        <v>37.248333333333449</v>
      </c>
    </row>
    <row r="13" spans="1:48">
      <c r="A13" s="194" t="s">
        <v>16</v>
      </c>
      <c r="B13" s="195" t="str">
        <f>[4]IND!B14</f>
        <v>CP</v>
      </c>
      <c r="C13" s="195" t="str">
        <f>[4]IND!A14</f>
        <v>Chemicals</v>
      </c>
      <c r="D13" s="194">
        <f>[4]IND!M14</f>
        <v>1</v>
      </c>
      <c r="F13" s="195"/>
      <c r="G13" s="194">
        <f>MATCH(B13,Drivers!$A$7:$A$22,0)</f>
        <v>3</v>
      </c>
      <c r="H13" s="195"/>
      <c r="I13" s="195"/>
      <c r="J13" s="194">
        <f>INDEX(Drivers!$C$7:$AG$22,$G13,J$9)</f>
        <v>52.81</v>
      </c>
      <c r="K13" s="194">
        <f>INDEX(Drivers!$C$7:$AG$22,$G13,K$9)</f>
        <v>54.31</v>
      </c>
      <c r="L13" s="194">
        <f>INDEX(Drivers!$C$7:$AG$22,$G13,L$9)</f>
        <v>55.26</v>
      </c>
      <c r="M13" s="194">
        <f>INDEX(Drivers!$C$7:$AG$22,$G13,M$9)</f>
        <v>55.73</v>
      </c>
      <c r="N13" s="194">
        <f>INDEX(Drivers!$C$7:$AG$22,$G13,N$9)</f>
        <v>56.3</v>
      </c>
      <c r="O13" s="194">
        <f>INDEX(Drivers!$C$7:$AG$22,$G13,O$9)</f>
        <v>56.6</v>
      </c>
      <c r="P13" s="194">
        <f>INDEX(Drivers!$C$7:$AG$22,$G13,P$9)</f>
        <v>57.09</v>
      </c>
      <c r="Q13" s="194">
        <f>INDEX(Drivers!$C$7:$AG$22,$G13,Q$9)</f>
        <v>56.96</v>
      </c>
      <c r="R13" s="194">
        <f>INDEX(Drivers!$C$7:$AG$22,$G13,R$9)</f>
        <v>52.37</v>
      </c>
      <c r="S13" s="194">
        <f>INDEX(Drivers!$C$7:$AG$22,$G13,S$9)</f>
        <v>53.76</v>
      </c>
      <c r="T13" s="194">
        <f>INDEX(Drivers!$C$7:$AG$22,$G13,T$9)</f>
        <v>55.02</v>
      </c>
      <c r="U13" s="194">
        <f>INDEX(Drivers!$C$7:$AG$22,$G13,U$9)</f>
        <v>56.21</v>
      </c>
      <c r="V13" s="194">
        <f>INDEX(Drivers!$C$7:$AG$22,$G13,V$9)</f>
        <v>57.35</v>
      </c>
      <c r="W13" s="194">
        <f>INDEX(Drivers!$C$7:$AG$22,$G13,W$9)</f>
        <v>58.59</v>
      </c>
      <c r="X13" s="194">
        <f>INDEX(Drivers!$C$7:$AG$22,$G13,X$9)</f>
        <v>60.17</v>
      </c>
      <c r="Y13" s="194">
        <f>INDEX(Drivers!$C$7:$AG$22,$G13,Y$9)</f>
        <v>61.72</v>
      </c>
      <c r="Z13" s="194">
        <f>INDEX(Drivers!$C$7:$AG$22,$G13,Z$9)</f>
        <v>63.31</v>
      </c>
      <c r="AA13" s="194">
        <f>INDEX(Drivers!$C$7:$AG$22,$G13,AA$9)</f>
        <v>65.09</v>
      </c>
      <c r="AB13" s="194">
        <f>INDEX(Drivers!$C$7:$AG$22,$G13,AB$9)</f>
        <v>66.930000000000007</v>
      </c>
      <c r="AC13" s="194">
        <f>INDEX(Drivers!$C$7:$AG$22,$G13,AC$9)</f>
        <v>68.83</v>
      </c>
      <c r="AD13" s="194">
        <f>INDEX(Drivers!$C$7:$AG$22,$G13,AD$9)</f>
        <v>70.67</v>
      </c>
      <c r="AE13" s="194">
        <f>INDEX(Drivers!$C$7:$AG$22,$G13,AE$9)</f>
        <v>72.69</v>
      </c>
      <c r="AF13" s="194">
        <f>INDEX(Drivers!$C$7:$AG$22,$G13,AF$9)</f>
        <v>74.849999999999994</v>
      </c>
      <c r="AG13" s="194">
        <f>INDEX(Drivers!$C$7:$AG$22,$G13,AG$9)</f>
        <v>77.23</v>
      </c>
      <c r="AH13" s="194">
        <f>INDEX(Drivers!$C$7:$AG$22,$G13,AH$9)</f>
        <v>79.680000000000007</v>
      </c>
      <c r="AI13" s="194">
        <f>INDEX(Drivers!$C$7:$AG$22,$G13,AI$9)</f>
        <v>82.2</v>
      </c>
      <c r="AJ13" s="194">
        <f>INDEX(Drivers!$C$7:$AG$22,$G13,AJ$9)</f>
        <v>84.75</v>
      </c>
      <c r="AK13" s="194">
        <f>INDEX(Drivers!$C$7:$AG$22,$G13,AK$9)</f>
        <v>87.38</v>
      </c>
      <c r="AL13" s="194">
        <f>INDEX(Drivers!$C$7:$AG$22,$G13,AL$9)</f>
        <v>90.15</v>
      </c>
      <c r="AM13" s="194">
        <f>INDEX(Drivers!$C$7:$AG$22,$G13,AM$9)</f>
        <v>105</v>
      </c>
      <c r="AN13" s="194">
        <f>INDEX(Drivers!$C$7:$AG$22,$G13,AN$9)</f>
        <v>123.19</v>
      </c>
      <c r="AO13" s="194">
        <f t="shared" si="4"/>
        <v>155.67333333333409</v>
      </c>
      <c r="AP13" s="194">
        <f t="shared" si="4"/>
        <v>188.71333333333405</v>
      </c>
    </row>
    <row r="14" spans="1:48">
      <c r="A14" s="194" t="s">
        <v>16</v>
      </c>
      <c r="B14" s="195" t="str">
        <f>[4]IND!B15</f>
        <v>NF</v>
      </c>
      <c r="C14" s="195" t="str">
        <f>[4]IND!A15</f>
        <v>Precious &amp; Non-Ferrous metals</v>
      </c>
      <c r="D14" s="194">
        <f>[4]IND!M15</f>
        <v>1</v>
      </c>
      <c r="F14" s="195"/>
      <c r="G14" s="194">
        <f>MATCH(B14,Drivers!$A$7:$A$22,0)</f>
        <v>8</v>
      </c>
      <c r="H14" s="195"/>
      <c r="I14" s="195"/>
      <c r="J14" s="194">
        <f>INDEX(Drivers!$C$7:$AG$22,$G14,J$9)</f>
        <v>10.11</v>
      </c>
      <c r="K14" s="194">
        <f>INDEX(Drivers!$C$7:$AG$22,$G14,K$9)</f>
        <v>8.43</v>
      </c>
      <c r="L14" s="194">
        <f>INDEX(Drivers!$C$7:$AG$22,$G14,L$9)</f>
        <v>7.26</v>
      </c>
      <c r="M14" s="194">
        <f>INDEX(Drivers!$C$7:$AG$22,$G14,M$9)</f>
        <v>6.85</v>
      </c>
      <c r="N14" s="194">
        <f>INDEX(Drivers!$C$7:$AG$22,$G14,N$9)</f>
        <v>6.43</v>
      </c>
      <c r="O14" s="194">
        <f>INDEX(Drivers!$C$7:$AG$22,$G14,O$9)</f>
        <v>5.96</v>
      </c>
      <c r="P14" s="194">
        <f>INDEX(Drivers!$C$7:$AG$22,$G14,P$9)</f>
        <v>5.84</v>
      </c>
      <c r="Q14" s="194">
        <f>INDEX(Drivers!$C$7:$AG$22,$G14,Q$9)</f>
        <v>5.52</v>
      </c>
      <c r="R14" s="194">
        <f>INDEX(Drivers!$C$7:$AG$22,$G14,R$9)</f>
        <v>4.53</v>
      </c>
      <c r="S14" s="194">
        <f>INDEX(Drivers!$C$7:$AG$22,$G14,S$9)</f>
        <v>4.6900000000000004</v>
      </c>
      <c r="T14" s="194">
        <f>INDEX(Drivers!$C$7:$AG$22,$G14,T$9)</f>
        <v>4.71</v>
      </c>
      <c r="U14" s="194">
        <f>INDEX(Drivers!$C$7:$AG$22,$G14,U$9)</f>
        <v>4.74</v>
      </c>
      <c r="V14" s="194">
        <f>INDEX(Drivers!$C$7:$AG$22,$G14,V$9)</f>
        <v>4.7699999999999996</v>
      </c>
      <c r="W14" s="194">
        <f>INDEX(Drivers!$C$7:$AG$22,$G14,W$9)</f>
        <v>4.84</v>
      </c>
      <c r="X14" s="194">
        <f>INDEX(Drivers!$C$7:$AG$22,$G14,X$9)</f>
        <v>5.01</v>
      </c>
      <c r="Y14" s="194">
        <f>INDEX(Drivers!$C$7:$AG$22,$G14,Y$9)</f>
        <v>5.21</v>
      </c>
      <c r="Z14" s="194">
        <f>INDEX(Drivers!$C$7:$AG$22,$G14,Z$9)</f>
        <v>5.45</v>
      </c>
      <c r="AA14" s="194">
        <f>INDEX(Drivers!$C$7:$AG$22,$G14,AA$9)</f>
        <v>5.64</v>
      </c>
      <c r="AB14" s="194">
        <f>INDEX(Drivers!$C$7:$AG$22,$G14,AB$9)</f>
        <v>5.88</v>
      </c>
      <c r="AC14" s="194">
        <f>INDEX(Drivers!$C$7:$AG$22,$G14,AC$9)</f>
        <v>6.08</v>
      </c>
      <c r="AD14" s="194">
        <f>INDEX(Drivers!$C$7:$AG$22,$G14,AD$9)</f>
        <v>6.21</v>
      </c>
      <c r="AE14" s="194">
        <f>INDEX(Drivers!$C$7:$AG$22,$G14,AE$9)</f>
        <v>6.36</v>
      </c>
      <c r="AF14" s="194">
        <f>INDEX(Drivers!$C$7:$AG$22,$G14,AF$9)</f>
        <v>6.52</v>
      </c>
      <c r="AG14" s="194">
        <f>INDEX(Drivers!$C$7:$AG$22,$G14,AG$9)</f>
        <v>6.66</v>
      </c>
      <c r="AH14" s="194">
        <f>INDEX(Drivers!$C$7:$AG$22,$G14,AH$9)</f>
        <v>6.83</v>
      </c>
      <c r="AI14" s="194">
        <f>INDEX(Drivers!$C$7:$AG$22,$G14,AI$9)</f>
        <v>7</v>
      </c>
      <c r="AJ14" s="194">
        <f>INDEX(Drivers!$C$7:$AG$22,$G14,AJ$9)</f>
        <v>7.17</v>
      </c>
      <c r="AK14" s="194">
        <f>INDEX(Drivers!$C$7:$AG$22,$G14,AK$9)</f>
        <v>7.34</v>
      </c>
      <c r="AL14" s="194">
        <f>INDEX(Drivers!$C$7:$AG$22,$G14,AL$9)</f>
        <v>7.52</v>
      </c>
      <c r="AM14" s="194">
        <f>INDEX(Drivers!$C$7:$AG$22,$G14,AM$9)</f>
        <v>8.08</v>
      </c>
      <c r="AN14" s="194">
        <f>INDEX(Drivers!$C$7:$AG$22,$G14,AN$9)</f>
        <v>8.82</v>
      </c>
      <c r="AO14" s="194">
        <f t="shared" si="4"/>
        <v>10.089999999999975</v>
      </c>
      <c r="AP14" s="194">
        <f t="shared" si="4"/>
        <v>11.389999999999986</v>
      </c>
    </row>
    <row r="15" spans="1:48">
      <c r="A15" s="194" t="s">
        <v>16</v>
      </c>
      <c r="B15" s="195" t="str">
        <f>[4]IND!B16</f>
        <v>NM</v>
      </c>
      <c r="C15" s="195" t="str">
        <f>[4]IND!A16</f>
        <v>N.M.M Products</v>
      </c>
      <c r="D15" s="194">
        <f>[4]IND!M16</f>
        <v>0</v>
      </c>
      <c r="F15" s="195" t="s">
        <v>293</v>
      </c>
      <c r="G15" s="194">
        <f>MATCH(B15,Drivers!$A$7:$A$22,0)</f>
        <v>9</v>
      </c>
      <c r="H15" s="195"/>
      <c r="I15" s="195"/>
      <c r="J15" s="194">
        <f>INDEX(Drivers!$C$7:$AG$22,$G15,J$9)</f>
        <v>14.11</v>
      </c>
      <c r="K15" s="194">
        <f>INDEX(Drivers!$C$7:$AG$22,$G15,K$9)</f>
        <v>14.52</v>
      </c>
      <c r="L15" s="194">
        <f>INDEX(Drivers!$C$7:$AG$22,$G15,L$9)</f>
        <v>14.79</v>
      </c>
      <c r="M15" s="194">
        <f>INDEX(Drivers!$C$7:$AG$22,$G15,M$9)</f>
        <v>15.03</v>
      </c>
      <c r="N15" s="194">
        <f>INDEX(Drivers!$C$7:$AG$22,$G15,N$9)</f>
        <v>15.21</v>
      </c>
      <c r="O15" s="194">
        <f>INDEX(Drivers!$C$7:$AG$22,$G15,O$9)</f>
        <v>15.35</v>
      </c>
      <c r="P15" s="194">
        <f>INDEX(Drivers!$C$7:$AG$22,$G15,P$9)</f>
        <v>15.51</v>
      </c>
      <c r="Q15" s="194">
        <f>INDEX(Drivers!$C$7:$AG$22,$G15,Q$9)</f>
        <v>15.54</v>
      </c>
      <c r="R15" s="194">
        <f>INDEX(Drivers!$C$7:$AG$22,$G15,R$9)</f>
        <v>14.21</v>
      </c>
      <c r="S15" s="194">
        <f>INDEX(Drivers!$C$7:$AG$22,$G15,S$9)</f>
        <v>14.6</v>
      </c>
      <c r="T15" s="194">
        <f>INDEX(Drivers!$C$7:$AG$22,$G15,T$9)</f>
        <v>14.95</v>
      </c>
      <c r="U15" s="194">
        <f>INDEX(Drivers!$C$7:$AG$22,$G15,U$9)</f>
        <v>15.3</v>
      </c>
      <c r="V15" s="194">
        <f>INDEX(Drivers!$C$7:$AG$22,$G15,V$9)</f>
        <v>15.64</v>
      </c>
      <c r="W15" s="194">
        <f>INDEX(Drivers!$C$7:$AG$22,$G15,W$9)</f>
        <v>16</v>
      </c>
      <c r="X15" s="194">
        <f>INDEX(Drivers!$C$7:$AG$22,$G15,X$9)</f>
        <v>16.440000000000001</v>
      </c>
      <c r="Y15" s="194">
        <f>INDEX(Drivers!$C$7:$AG$22,$G15,Y$9)</f>
        <v>16.88</v>
      </c>
      <c r="Z15" s="194">
        <f>INDEX(Drivers!$C$7:$AG$22,$G15,Z$9)</f>
        <v>17.34</v>
      </c>
      <c r="AA15" s="194">
        <f>INDEX(Drivers!$C$7:$AG$22,$G15,AA$9)</f>
        <v>17.8</v>
      </c>
      <c r="AB15" s="194">
        <f>INDEX(Drivers!$C$7:$AG$22,$G15,AB$9)</f>
        <v>18.27</v>
      </c>
      <c r="AC15" s="194">
        <f>INDEX(Drivers!$C$7:$AG$22,$G15,AC$9)</f>
        <v>18.809999999999999</v>
      </c>
      <c r="AD15" s="194">
        <f>INDEX(Drivers!$C$7:$AG$22,$G15,AD$9)</f>
        <v>19.32</v>
      </c>
      <c r="AE15" s="194">
        <f>INDEX(Drivers!$C$7:$AG$22,$G15,AE$9)</f>
        <v>19.88</v>
      </c>
      <c r="AF15" s="194">
        <f>INDEX(Drivers!$C$7:$AG$22,$G15,AF$9)</f>
        <v>20.49</v>
      </c>
      <c r="AG15" s="194">
        <f>INDEX(Drivers!$C$7:$AG$22,$G15,AG$9)</f>
        <v>21.14</v>
      </c>
      <c r="AH15" s="194">
        <f>INDEX(Drivers!$C$7:$AG$22,$G15,AH$9)</f>
        <v>21.81</v>
      </c>
      <c r="AI15" s="194">
        <f>INDEX(Drivers!$C$7:$AG$22,$G15,AI$9)</f>
        <v>22.5</v>
      </c>
      <c r="AJ15" s="194">
        <f>INDEX(Drivers!$C$7:$AG$22,$G15,AJ$9)</f>
        <v>23.19</v>
      </c>
      <c r="AK15" s="194">
        <f>INDEX(Drivers!$C$7:$AG$22,$G15,AK$9)</f>
        <v>23.92</v>
      </c>
      <c r="AL15" s="194">
        <f>INDEX(Drivers!$C$7:$AG$22,$G15,AL$9)</f>
        <v>24.68</v>
      </c>
      <c r="AM15" s="194">
        <f>INDEX(Drivers!$C$7:$AG$22,$G15,AM$9)</f>
        <v>28.99</v>
      </c>
      <c r="AN15" s="194">
        <f>INDEX(Drivers!$C$7:$AG$22,$G15,AN$9)</f>
        <v>34.44</v>
      </c>
      <c r="AO15" s="194">
        <f t="shared" si="4"/>
        <v>44.009999999999991</v>
      </c>
      <c r="AP15" s="194">
        <f t="shared" si="4"/>
        <v>53.769999999999982</v>
      </c>
    </row>
    <row r="16" spans="1:48">
      <c r="A16" s="194" t="s">
        <v>16</v>
      </c>
      <c r="B16" s="195" t="str">
        <f t="shared" ref="B16:D18" si="5">B15</f>
        <v>NM</v>
      </c>
      <c r="C16" s="195" t="str">
        <f t="shared" si="5"/>
        <v>N.M.M Products</v>
      </c>
      <c r="D16" s="194">
        <f t="shared" si="5"/>
        <v>0</v>
      </c>
      <c r="F16" s="195" t="s">
        <v>297</v>
      </c>
      <c r="G16" s="194">
        <f>MATCH(B16,Drivers!$A$7:$A$22,0)</f>
        <v>9</v>
      </c>
      <c r="H16" s="195"/>
      <c r="I16" s="195"/>
      <c r="J16" s="194">
        <f>INDEX(Drivers!$C$7:$AG$22,$G16,J$9)</f>
        <v>14.11</v>
      </c>
      <c r="K16" s="194">
        <f>INDEX(Drivers!$C$7:$AG$22,$G16,K$9)</f>
        <v>14.52</v>
      </c>
      <c r="L16" s="194">
        <f>INDEX(Drivers!$C$7:$AG$22,$G16,L$9)</f>
        <v>14.79</v>
      </c>
      <c r="M16" s="194">
        <f>INDEX(Drivers!$C$7:$AG$22,$G16,M$9)</f>
        <v>15.03</v>
      </c>
      <c r="N16" s="194">
        <f>INDEX(Drivers!$C$7:$AG$22,$G16,N$9)</f>
        <v>15.21</v>
      </c>
      <c r="O16" s="194">
        <f>INDEX(Drivers!$C$7:$AG$22,$G16,O$9)</f>
        <v>15.35</v>
      </c>
      <c r="P16" s="194">
        <f>INDEX(Drivers!$C$7:$AG$22,$G16,P$9)</f>
        <v>15.51</v>
      </c>
      <c r="Q16" s="194">
        <f>INDEX(Drivers!$C$7:$AG$22,$G16,Q$9)</f>
        <v>15.54</v>
      </c>
      <c r="R16" s="194">
        <f>INDEX(Drivers!$C$7:$AG$22,$G16,R$9)</f>
        <v>14.21</v>
      </c>
      <c r="S16" s="194">
        <f>INDEX(Drivers!$C$7:$AG$22,$G16,S$9)</f>
        <v>14.6</v>
      </c>
      <c r="T16" s="194">
        <f>INDEX(Drivers!$C$7:$AG$22,$G16,T$9)</f>
        <v>14.95</v>
      </c>
      <c r="U16" s="194">
        <f>INDEX(Drivers!$C$7:$AG$22,$G16,U$9)</f>
        <v>15.3</v>
      </c>
      <c r="V16" s="194">
        <f>INDEX(Drivers!$C$7:$AG$22,$G16,V$9)</f>
        <v>15.64</v>
      </c>
      <c r="W16" s="194">
        <f>INDEX(Drivers!$C$7:$AG$22,$G16,W$9)</f>
        <v>16</v>
      </c>
      <c r="X16" s="194">
        <f>INDEX(Drivers!$C$7:$AG$22,$G16,X$9)</f>
        <v>16.440000000000001</v>
      </c>
      <c r="Y16" s="194">
        <f>INDEX(Drivers!$C$7:$AG$22,$G16,Y$9)</f>
        <v>16.88</v>
      </c>
      <c r="Z16" s="194">
        <f>INDEX(Drivers!$C$7:$AG$22,$G16,Z$9)</f>
        <v>17.34</v>
      </c>
      <c r="AA16" s="194">
        <f>INDEX(Drivers!$C$7:$AG$22,$G16,AA$9)</f>
        <v>17.8</v>
      </c>
      <c r="AB16" s="194">
        <f>INDEX(Drivers!$C$7:$AG$22,$G16,AB$9)</f>
        <v>18.27</v>
      </c>
      <c r="AC16" s="194">
        <f>INDEX(Drivers!$C$7:$AG$22,$G16,AC$9)</f>
        <v>18.809999999999999</v>
      </c>
      <c r="AD16" s="194">
        <f>INDEX(Drivers!$C$7:$AG$22,$G16,AD$9)</f>
        <v>19.32</v>
      </c>
      <c r="AE16" s="194">
        <f>INDEX(Drivers!$C$7:$AG$22,$G16,AE$9)</f>
        <v>19.88</v>
      </c>
      <c r="AF16" s="194">
        <f>INDEX(Drivers!$C$7:$AG$22,$G16,AF$9)</f>
        <v>20.49</v>
      </c>
      <c r="AG16" s="194">
        <f>INDEX(Drivers!$C$7:$AG$22,$G16,AG$9)</f>
        <v>21.14</v>
      </c>
      <c r="AH16" s="194">
        <f>INDEX(Drivers!$C$7:$AG$22,$G16,AH$9)</f>
        <v>21.81</v>
      </c>
      <c r="AI16" s="194">
        <f>INDEX(Drivers!$C$7:$AG$22,$G16,AI$9)</f>
        <v>22.5</v>
      </c>
      <c r="AJ16" s="194">
        <f>INDEX(Drivers!$C$7:$AG$22,$G16,AJ$9)</f>
        <v>23.19</v>
      </c>
      <c r="AK16" s="194">
        <f>INDEX(Drivers!$C$7:$AG$22,$G16,AK$9)</f>
        <v>23.92</v>
      </c>
      <c r="AL16" s="194">
        <f>INDEX(Drivers!$C$7:$AG$22,$G16,AL$9)</f>
        <v>24.68</v>
      </c>
      <c r="AM16" s="194">
        <f>INDEX(Drivers!$C$7:$AG$22,$G16,AM$9)</f>
        <v>28.99</v>
      </c>
      <c r="AN16" s="194">
        <f>INDEX(Drivers!$C$7:$AG$22,$G16,AN$9)</f>
        <v>34.44</v>
      </c>
      <c r="AO16" s="194">
        <f t="shared" si="4"/>
        <v>44.009999999999991</v>
      </c>
      <c r="AP16" s="194">
        <f t="shared" si="4"/>
        <v>53.769999999999982</v>
      </c>
    </row>
    <row r="17" spans="1:42">
      <c r="A17" s="194" t="s">
        <v>16</v>
      </c>
      <c r="B17" s="195" t="str">
        <f t="shared" si="5"/>
        <v>NM</v>
      </c>
      <c r="C17" s="195" t="str">
        <f t="shared" si="5"/>
        <v>N.M.M Products</v>
      </c>
      <c r="D17" s="194">
        <f t="shared" si="5"/>
        <v>0</v>
      </c>
      <c r="F17" s="195" t="s">
        <v>298</v>
      </c>
      <c r="G17" s="194">
        <f>MATCH(B17,Drivers!$A$7:$A$22,0)</f>
        <v>9</v>
      </c>
      <c r="H17" s="195"/>
      <c r="I17" s="195"/>
      <c r="J17" s="194">
        <f>INDEX(Drivers!$C$7:$AG$22,$G17,J$9)</f>
        <v>14.11</v>
      </c>
      <c r="K17" s="194">
        <f>INDEX(Drivers!$C$7:$AG$22,$G17,K$9)</f>
        <v>14.52</v>
      </c>
      <c r="L17" s="194">
        <f>INDEX(Drivers!$C$7:$AG$22,$G17,L$9)</f>
        <v>14.79</v>
      </c>
      <c r="M17" s="194">
        <f>INDEX(Drivers!$C$7:$AG$22,$G17,M$9)</f>
        <v>15.03</v>
      </c>
      <c r="N17" s="194">
        <f>INDEX(Drivers!$C$7:$AG$22,$G17,N$9)</f>
        <v>15.21</v>
      </c>
      <c r="O17" s="194">
        <f>INDEX(Drivers!$C$7:$AG$22,$G17,O$9)</f>
        <v>15.35</v>
      </c>
      <c r="P17" s="194">
        <f>INDEX(Drivers!$C$7:$AG$22,$G17,P$9)</f>
        <v>15.51</v>
      </c>
      <c r="Q17" s="194">
        <f>INDEX(Drivers!$C$7:$AG$22,$G17,Q$9)</f>
        <v>15.54</v>
      </c>
      <c r="R17" s="194">
        <f>INDEX(Drivers!$C$7:$AG$22,$G17,R$9)</f>
        <v>14.21</v>
      </c>
      <c r="S17" s="194">
        <f>INDEX(Drivers!$C$7:$AG$22,$G17,S$9)</f>
        <v>14.6</v>
      </c>
      <c r="T17" s="194">
        <f>INDEX(Drivers!$C$7:$AG$22,$G17,T$9)</f>
        <v>14.95</v>
      </c>
      <c r="U17" s="194">
        <f>INDEX(Drivers!$C$7:$AG$22,$G17,U$9)</f>
        <v>15.3</v>
      </c>
      <c r="V17" s="194">
        <f>INDEX(Drivers!$C$7:$AG$22,$G17,V$9)</f>
        <v>15.64</v>
      </c>
      <c r="W17" s="194">
        <f>INDEX(Drivers!$C$7:$AG$22,$G17,W$9)</f>
        <v>16</v>
      </c>
      <c r="X17" s="194">
        <f>INDEX(Drivers!$C$7:$AG$22,$G17,X$9)</f>
        <v>16.440000000000001</v>
      </c>
      <c r="Y17" s="194">
        <f>INDEX(Drivers!$C$7:$AG$22,$G17,Y$9)</f>
        <v>16.88</v>
      </c>
      <c r="Z17" s="194">
        <f>INDEX(Drivers!$C$7:$AG$22,$G17,Z$9)</f>
        <v>17.34</v>
      </c>
      <c r="AA17" s="194">
        <f>INDEX(Drivers!$C$7:$AG$22,$G17,AA$9)</f>
        <v>17.8</v>
      </c>
      <c r="AB17" s="194">
        <f>INDEX(Drivers!$C$7:$AG$22,$G17,AB$9)</f>
        <v>18.27</v>
      </c>
      <c r="AC17" s="194">
        <f>INDEX(Drivers!$C$7:$AG$22,$G17,AC$9)</f>
        <v>18.809999999999999</v>
      </c>
      <c r="AD17" s="194">
        <f>INDEX(Drivers!$C$7:$AG$22,$G17,AD$9)</f>
        <v>19.32</v>
      </c>
      <c r="AE17" s="194">
        <f>INDEX(Drivers!$C$7:$AG$22,$G17,AE$9)</f>
        <v>19.88</v>
      </c>
      <c r="AF17" s="194">
        <f>INDEX(Drivers!$C$7:$AG$22,$G17,AF$9)</f>
        <v>20.49</v>
      </c>
      <c r="AG17" s="194">
        <f>INDEX(Drivers!$C$7:$AG$22,$G17,AG$9)</f>
        <v>21.14</v>
      </c>
      <c r="AH17" s="194">
        <f>INDEX(Drivers!$C$7:$AG$22,$G17,AH$9)</f>
        <v>21.81</v>
      </c>
      <c r="AI17" s="194">
        <f>INDEX(Drivers!$C$7:$AG$22,$G17,AI$9)</f>
        <v>22.5</v>
      </c>
      <c r="AJ17" s="194">
        <f>INDEX(Drivers!$C$7:$AG$22,$G17,AJ$9)</f>
        <v>23.19</v>
      </c>
      <c r="AK17" s="194">
        <f>INDEX(Drivers!$C$7:$AG$22,$G17,AK$9)</f>
        <v>23.92</v>
      </c>
      <c r="AL17" s="194">
        <f>INDEX(Drivers!$C$7:$AG$22,$G17,AL$9)</f>
        <v>24.68</v>
      </c>
      <c r="AM17" s="194">
        <f>INDEX(Drivers!$C$7:$AG$22,$G17,AM$9)</f>
        <v>28.99</v>
      </c>
      <c r="AN17" s="194">
        <f>INDEX(Drivers!$C$7:$AG$22,$G17,AN$9)</f>
        <v>34.44</v>
      </c>
      <c r="AO17" s="194">
        <f t="shared" si="4"/>
        <v>44.009999999999991</v>
      </c>
      <c r="AP17" s="194">
        <f t="shared" si="4"/>
        <v>53.769999999999982</v>
      </c>
    </row>
    <row r="18" spans="1:42">
      <c r="A18" s="194" t="s">
        <v>16</v>
      </c>
      <c r="B18" s="195" t="str">
        <f t="shared" si="5"/>
        <v>NM</v>
      </c>
      <c r="C18" s="195" t="str">
        <f t="shared" si="5"/>
        <v>N.M.M Products</v>
      </c>
      <c r="D18" s="194">
        <f t="shared" si="5"/>
        <v>0</v>
      </c>
      <c r="F18" s="195" t="s">
        <v>299</v>
      </c>
      <c r="G18" s="194">
        <f>MATCH(B18,Drivers!$A$7:$A$22,0)</f>
        <v>9</v>
      </c>
      <c r="H18" s="195"/>
      <c r="I18" s="195"/>
      <c r="J18" s="194">
        <f>INDEX(Drivers!$C$7:$AG$22,$G18,J$9)</f>
        <v>14.11</v>
      </c>
      <c r="K18" s="194">
        <f>INDEX(Drivers!$C$7:$AG$22,$G18,K$9)</f>
        <v>14.52</v>
      </c>
      <c r="L18" s="194">
        <f>INDEX(Drivers!$C$7:$AG$22,$G18,L$9)</f>
        <v>14.79</v>
      </c>
      <c r="M18" s="194">
        <f>INDEX(Drivers!$C$7:$AG$22,$G18,M$9)</f>
        <v>15.03</v>
      </c>
      <c r="N18" s="194">
        <f>INDEX(Drivers!$C$7:$AG$22,$G18,N$9)</f>
        <v>15.21</v>
      </c>
      <c r="O18" s="194">
        <f>INDEX(Drivers!$C$7:$AG$22,$G18,O$9)</f>
        <v>15.35</v>
      </c>
      <c r="P18" s="194">
        <f>INDEX(Drivers!$C$7:$AG$22,$G18,P$9)</f>
        <v>15.51</v>
      </c>
      <c r="Q18" s="194">
        <f>INDEX(Drivers!$C$7:$AG$22,$G18,Q$9)</f>
        <v>15.54</v>
      </c>
      <c r="R18" s="194">
        <f>INDEX(Drivers!$C$7:$AG$22,$G18,R$9)</f>
        <v>14.21</v>
      </c>
      <c r="S18" s="194">
        <f>INDEX(Drivers!$C$7:$AG$22,$G18,S$9)</f>
        <v>14.6</v>
      </c>
      <c r="T18" s="194">
        <f>INDEX(Drivers!$C$7:$AG$22,$G18,T$9)</f>
        <v>14.95</v>
      </c>
      <c r="U18" s="194">
        <f>INDEX(Drivers!$C$7:$AG$22,$G18,U$9)</f>
        <v>15.3</v>
      </c>
      <c r="V18" s="194">
        <f>INDEX(Drivers!$C$7:$AG$22,$G18,V$9)</f>
        <v>15.64</v>
      </c>
      <c r="W18" s="194">
        <f>INDEX(Drivers!$C$7:$AG$22,$G18,W$9)</f>
        <v>16</v>
      </c>
      <c r="X18" s="194">
        <f>INDEX(Drivers!$C$7:$AG$22,$G18,X$9)</f>
        <v>16.440000000000001</v>
      </c>
      <c r="Y18" s="194">
        <f>INDEX(Drivers!$C$7:$AG$22,$G18,Y$9)</f>
        <v>16.88</v>
      </c>
      <c r="Z18" s="194">
        <f>INDEX(Drivers!$C$7:$AG$22,$G18,Z$9)</f>
        <v>17.34</v>
      </c>
      <c r="AA18" s="194">
        <f>INDEX(Drivers!$C$7:$AG$22,$G18,AA$9)</f>
        <v>17.8</v>
      </c>
      <c r="AB18" s="194">
        <f>INDEX(Drivers!$C$7:$AG$22,$G18,AB$9)</f>
        <v>18.27</v>
      </c>
      <c r="AC18" s="194">
        <f>INDEX(Drivers!$C$7:$AG$22,$G18,AC$9)</f>
        <v>18.809999999999999</v>
      </c>
      <c r="AD18" s="194">
        <f>INDEX(Drivers!$C$7:$AG$22,$G18,AD$9)</f>
        <v>19.32</v>
      </c>
      <c r="AE18" s="194">
        <f>INDEX(Drivers!$C$7:$AG$22,$G18,AE$9)</f>
        <v>19.88</v>
      </c>
      <c r="AF18" s="194">
        <f>INDEX(Drivers!$C$7:$AG$22,$G18,AF$9)</f>
        <v>20.49</v>
      </c>
      <c r="AG18" s="194">
        <f>INDEX(Drivers!$C$7:$AG$22,$G18,AG$9)</f>
        <v>21.14</v>
      </c>
      <c r="AH18" s="194">
        <f>INDEX(Drivers!$C$7:$AG$22,$G18,AH$9)</f>
        <v>21.81</v>
      </c>
      <c r="AI18" s="194">
        <f>INDEX(Drivers!$C$7:$AG$22,$G18,AI$9)</f>
        <v>22.5</v>
      </c>
      <c r="AJ18" s="194">
        <f>INDEX(Drivers!$C$7:$AG$22,$G18,AJ$9)</f>
        <v>23.19</v>
      </c>
      <c r="AK18" s="194">
        <f>INDEX(Drivers!$C$7:$AG$22,$G18,AK$9)</f>
        <v>23.92</v>
      </c>
      <c r="AL18" s="194">
        <f>INDEX(Drivers!$C$7:$AG$22,$G18,AL$9)</f>
        <v>24.68</v>
      </c>
      <c r="AM18" s="194">
        <f>INDEX(Drivers!$C$7:$AG$22,$G18,AM$9)</f>
        <v>28.99</v>
      </c>
      <c r="AN18" s="194">
        <f>INDEX(Drivers!$C$7:$AG$22,$G18,AN$9)</f>
        <v>34.44</v>
      </c>
      <c r="AO18" s="194">
        <f t="shared" si="4"/>
        <v>44.009999999999991</v>
      </c>
      <c r="AP18" s="194">
        <f t="shared" si="4"/>
        <v>53.769999999999982</v>
      </c>
    </row>
    <row r="19" spans="1:42">
      <c r="A19" s="194" t="s">
        <v>16</v>
      </c>
      <c r="B19" s="195" t="str">
        <f>[4]IND!B17</f>
        <v>FB</v>
      </c>
      <c r="C19" s="195" t="str">
        <f>[4]IND!A17</f>
        <v>Food, Beverage &amp; Tabacco</v>
      </c>
      <c r="D19" s="194">
        <f>[4]IND!M17</f>
        <v>1</v>
      </c>
      <c r="F19" s="195"/>
      <c r="G19" s="194">
        <f>MATCH(B19,Drivers!$A$7:$A$22,0)</f>
        <v>4</v>
      </c>
      <c r="H19" s="195"/>
      <c r="I19" s="195"/>
      <c r="J19" s="194">
        <f>INDEX(Drivers!$C$7:$AG$22,$G19,J$9)</f>
        <v>93.1</v>
      </c>
      <c r="K19" s="194">
        <f>INDEX(Drivers!$C$7:$AG$22,$G19,K$9)</f>
        <v>94.81</v>
      </c>
      <c r="L19" s="194">
        <f>INDEX(Drivers!$C$7:$AG$22,$G19,L$9)</f>
        <v>96.04</v>
      </c>
      <c r="M19" s="194">
        <f>INDEX(Drivers!$C$7:$AG$22,$G19,M$9)</f>
        <v>96.13</v>
      </c>
      <c r="N19" s="194">
        <f>INDEX(Drivers!$C$7:$AG$22,$G19,N$9)</f>
        <v>97.44</v>
      </c>
      <c r="O19" s="194">
        <f>INDEX(Drivers!$C$7:$AG$22,$G19,O$9)</f>
        <v>97.81</v>
      </c>
      <c r="P19" s="194">
        <f>INDEX(Drivers!$C$7:$AG$22,$G19,P$9)</f>
        <v>98.48</v>
      </c>
      <c r="Q19" s="194">
        <f>INDEX(Drivers!$C$7:$AG$22,$G19,Q$9)</f>
        <v>97.71</v>
      </c>
      <c r="R19" s="194">
        <f>INDEX(Drivers!$C$7:$AG$22,$G19,R$9)</f>
        <v>92.79</v>
      </c>
      <c r="S19" s="194">
        <f>INDEX(Drivers!$C$7:$AG$22,$G19,S$9)</f>
        <v>95.58</v>
      </c>
      <c r="T19" s="194">
        <f>INDEX(Drivers!$C$7:$AG$22,$G19,T$9)</f>
        <v>98.13</v>
      </c>
      <c r="U19" s="194">
        <f>INDEX(Drivers!$C$7:$AG$22,$G19,U$9)</f>
        <v>100.22</v>
      </c>
      <c r="V19" s="194">
        <f>INDEX(Drivers!$C$7:$AG$22,$G19,V$9)</f>
        <v>102.18</v>
      </c>
      <c r="W19" s="194">
        <f>INDEX(Drivers!$C$7:$AG$22,$G19,W$9)</f>
        <v>104.28</v>
      </c>
      <c r="X19" s="194">
        <f>INDEX(Drivers!$C$7:$AG$22,$G19,X$9)</f>
        <v>107.16</v>
      </c>
      <c r="Y19" s="194">
        <f>INDEX(Drivers!$C$7:$AG$22,$G19,Y$9)</f>
        <v>109.9</v>
      </c>
      <c r="Z19" s="194">
        <f>INDEX(Drivers!$C$7:$AG$22,$G19,Z$9)</f>
        <v>112.65</v>
      </c>
      <c r="AA19" s="194">
        <f>INDEX(Drivers!$C$7:$AG$22,$G19,AA$9)</f>
        <v>115.22</v>
      </c>
      <c r="AB19" s="194">
        <f>INDEX(Drivers!$C$7:$AG$22,$G19,AB$9)</f>
        <v>117.84</v>
      </c>
      <c r="AC19" s="194">
        <f>INDEX(Drivers!$C$7:$AG$22,$G19,AC$9)</f>
        <v>120.44</v>
      </c>
      <c r="AD19" s="194">
        <f>INDEX(Drivers!$C$7:$AG$22,$G19,AD$9)</f>
        <v>122.85</v>
      </c>
      <c r="AE19" s="194">
        <f>INDEX(Drivers!$C$7:$AG$22,$G19,AE$9)</f>
        <v>125.47</v>
      </c>
      <c r="AF19" s="194">
        <f>INDEX(Drivers!$C$7:$AG$22,$G19,AF$9)</f>
        <v>128.21</v>
      </c>
      <c r="AG19" s="194">
        <f>INDEX(Drivers!$C$7:$AG$22,$G19,AG$9)</f>
        <v>131.01</v>
      </c>
      <c r="AH19" s="194">
        <f>INDEX(Drivers!$C$7:$AG$22,$G19,AH$9)</f>
        <v>134.12</v>
      </c>
      <c r="AI19" s="194">
        <f>INDEX(Drivers!$C$7:$AG$22,$G19,AI$9)</f>
        <v>137.33000000000001</v>
      </c>
      <c r="AJ19" s="194">
        <f>INDEX(Drivers!$C$7:$AG$22,$G19,AJ$9)</f>
        <v>140.49</v>
      </c>
      <c r="AK19" s="194">
        <f>INDEX(Drivers!$C$7:$AG$22,$G19,AK$9)</f>
        <v>143.72</v>
      </c>
      <c r="AL19" s="194">
        <f>INDEX(Drivers!$C$7:$AG$22,$G19,AL$9)</f>
        <v>147.09</v>
      </c>
      <c r="AM19" s="194">
        <f>INDEX(Drivers!$C$7:$AG$22,$G19,AM$9)</f>
        <v>164.01</v>
      </c>
      <c r="AN19" s="194">
        <f>INDEX(Drivers!$C$7:$AG$22,$G19,AN$9)</f>
        <v>184.39</v>
      </c>
      <c r="AO19" s="194">
        <f t="shared" si="4"/>
        <v>221.11333333333278</v>
      </c>
      <c r="AP19" s="194">
        <f t="shared" si="4"/>
        <v>258.41333333333296</v>
      </c>
    </row>
    <row r="20" spans="1:42">
      <c r="A20" s="194" t="s">
        <v>16</v>
      </c>
      <c r="B20" s="195" t="str">
        <f>[4]IND!B18</f>
        <v>PP</v>
      </c>
      <c r="C20" s="195" t="str">
        <f>[4]IND!A18</f>
        <v>Pulp &amp; Paper Products</v>
      </c>
      <c r="D20" s="194">
        <f>[4]IND!M18</f>
        <v>0</v>
      </c>
      <c r="F20" s="195" t="s">
        <v>300</v>
      </c>
      <c r="G20" s="194">
        <f>MATCH(B20,Drivers!$A$7:$A$22,0)</f>
        <v>12</v>
      </c>
      <c r="H20" s="195"/>
      <c r="I20" s="195"/>
      <c r="J20" s="194">
        <f>INDEX(Drivers!$C$7:$AG$22,$G20,J$9)</f>
        <v>17.78</v>
      </c>
      <c r="K20" s="194">
        <f>INDEX(Drivers!$C$7:$AG$22,$G20,K$9)</f>
        <v>18.190000000000001</v>
      </c>
      <c r="L20" s="194">
        <f>INDEX(Drivers!$C$7:$AG$22,$G20,L$9)</f>
        <v>18.54</v>
      </c>
      <c r="M20" s="194">
        <f>INDEX(Drivers!$C$7:$AG$22,$G20,M$9)</f>
        <v>18.73</v>
      </c>
      <c r="N20" s="194">
        <f>INDEX(Drivers!$C$7:$AG$22,$G20,N$9)</f>
        <v>19.13</v>
      </c>
      <c r="O20" s="194">
        <f>INDEX(Drivers!$C$7:$AG$22,$G20,O$9)</f>
        <v>19.23</v>
      </c>
      <c r="P20" s="194">
        <f>INDEX(Drivers!$C$7:$AG$22,$G20,P$9)</f>
        <v>19.5</v>
      </c>
      <c r="Q20" s="194">
        <f>INDEX(Drivers!$C$7:$AG$22,$G20,Q$9)</f>
        <v>19.52</v>
      </c>
      <c r="R20" s="194">
        <f>INDEX(Drivers!$C$7:$AG$22,$G20,R$9)</f>
        <v>18.16</v>
      </c>
      <c r="S20" s="194">
        <f>INDEX(Drivers!$C$7:$AG$22,$G20,S$9)</f>
        <v>18.68</v>
      </c>
      <c r="T20" s="194">
        <f>INDEX(Drivers!$C$7:$AG$22,$G20,T$9)</f>
        <v>19.149999999999999</v>
      </c>
      <c r="U20" s="194">
        <f>INDEX(Drivers!$C$7:$AG$22,$G20,U$9)</f>
        <v>19.61</v>
      </c>
      <c r="V20" s="194">
        <f>INDEX(Drivers!$C$7:$AG$22,$G20,V$9)</f>
        <v>20.04</v>
      </c>
      <c r="W20" s="194">
        <f>INDEX(Drivers!$C$7:$AG$22,$G20,W$9)</f>
        <v>20.51</v>
      </c>
      <c r="X20" s="194">
        <f>INDEX(Drivers!$C$7:$AG$22,$G20,X$9)</f>
        <v>21.11</v>
      </c>
      <c r="Y20" s="194">
        <f>INDEX(Drivers!$C$7:$AG$22,$G20,Y$9)</f>
        <v>21.69</v>
      </c>
      <c r="Z20" s="194">
        <f>INDEX(Drivers!$C$7:$AG$22,$G20,Z$9)</f>
        <v>22.28</v>
      </c>
      <c r="AA20" s="194">
        <f>INDEX(Drivers!$C$7:$AG$22,$G20,AA$9)</f>
        <v>22.83</v>
      </c>
      <c r="AB20" s="194">
        <f>INDEX(Drivers!$C$7:$AG$22,$G20,AB$9)</f>
        <v>23.42</v>
      </c>
      <c r="AC20" s="194">
        <f>INDEX(Drivers!$C$7:$AG$22,$G20,AC$9)</f>
        <v>24.02</v>
      </c>
      <c r="AD20" s="194">
        <f>INDEX(Drivers!$C$7:$AG$22,$G20,AD$9)</f>
        <v>24.61</v>
      </c>
      <c r="AE20" s="194">
        <f>INDEX(Drivers!$C$7:$AG$22,$G20,AE$9)</f>
        <v>25.26</v>
      </c>
      <c r="AF20" s="194">
        <f>INDEX(Drivers!$C$7:$AG$22,$G20,AF$9)</f>
        <v>25.94</v>
      </c>
      <c r="AG20" s="194">
        <f>INDEX(Drivers!$C$7:$AG$22,$G20,AG$9)</f>
        <v>26.65</v>
      </c>
      <c r="AH20" s="194">
        <f>INDEX(Drivers!$C$7:$AG$22,$G20,AH$9)</f>
        <v>27.42</v>
      </c>
      <c r="AI20" s="194">
        <f>INDEX(Drivers!$C$7:$AG$22,$G20,AI$9)</f>
        <v>28.22</v>
      </c>
      <c r="AJ20" s="194">
        <f>INDEX(Drivers!$C$7:$AG$22,$G20,AJ$9)</f>
        <v>29.03</v>
      </c>
      <c r="AK20" s="194">
        <f>INDEX(Drivers!$C$7:$AG$22,$G20,AK$9)</f>
        <v>29.88</v>
      </c>
      <c r="AL20" s="194">
        <f>INDEX(Drivers!$C$7:$AG$22,$G20,AL$9)</f>
        <v>30.78</v>
      </c>
      <c r="AM20" s="194">
        <f>INDEX(Drivers!$C$7:$AG$22,$G20,AM$9)</f>
        <v>35.619999999999997</v>
      </c>
      <c r="AN20" s="194">
        <f>INDEX(Drivers!$C$7:$AG$22,$G20,AN$9)</f>
        <v>41.7</v>
      </c>
      <c r="AO20" s="194">
        <f t="shared" si="4"/>
        <v>52.413333333332957</v>
      </c>
      <c r="AP20" s="194">
        <f t="shared" si="4"/>
        <v>63.33333333333303</v>
      </c>
    </row>
    <row r="21" spans="1:42">
      <c r="A21" s="194" t="s">
        <v>16</v>
      </c>
      <c r="B21" s="195" t="str">
        <f>B20</f>
        <v>PP</v>
      </c>
      <c r="C21" s="195" t="str">
        <f>C20</f>
        <v>Pulp &amp; Paper Products</v>
      </c>
      <c r="D21" s="194">
        <f>D20</f>
        <v>0</v>
      </c>
      <c r="F21" s="195" t="s">
        <v>301</v>
      </c>
      <c r="G21" s="194">
        <f>MATCH(B21,Drivers!$A$7:$A$22,0)</f>
        <v>12</v>
      </c>
      <c r="H21" s="195"/>
      <c r="I21" s="195"/>
      <c r="J21" s="194">
        <f>INDEX(Drivers!$C$7:$AG$22,$G21,J$9)</f>
        <v>17.78</v>
      </c>
      <c r="K21" s="194">
        <f>INDEX(Drivers!$C$7:$AG$22,$G21,K$9)</f>
        <v>18.190000000000001</v>
      </c>
      <c r="L21" s="194">
        <f>INDEX(Drivers!$C$7:$AG$22,$G21,L$9)</f>
        <v>18.54</v>
      </c>
      <c r="M21" s="194">
        <f>INDEX(Drivers!$C$7:$AG$22,$G21,M$9)</f>
        <v>18.73</v>
      </c>
      <c r="N21" s="194">
        <f>INDEX(Drivers!$C$7:$AG$22,$G21,N$9)</f>
        <v>19.13</v>
      </c>
      <c r="O21" s="194">
        <f>INDEX(Drivers!$C$7:$AG$22,$G21,O$9)</f>
        <v>19.23</v>
      </c>
      <c r="P21" s="194">
        <f>INDEX(Drivers!$C$7:$AG$22,$G21,P$9)</f>
        <v>19.5</v>
      </c>
      <c r="Q21" s="194">
        <f>INDEX(Drivers!$C$7:$AG$22,$G21,Q$9)</f>
        <v>19.52</v>
      </c>
      <c r="R21" s="194">
        <f>INDEX(Drivers!$C$7:$AG$22,$G21,R$9)</f>
        <v>18.16</v>
      </c>
      <c r="S21" s="194">
        <f>INDEX(Drivers!$C$7:$AG$22,$G21,S$9)</f>
        <v>18.68</v>
      </c>
      <c r="T21" s="194">
        <f>INDEX(Drivers!$C$7:$AG$22,$G21,T$9)</f>
        <v>19.149999999999999</v>
      </c>
      <c r="U21" s="194">
        <f>INDEX(Drivers!$C$7:$AG$22,$G21,U$9)</f>
        <v>19.61</v>
      </c>
      <c r="V21" s="194">
        <f>INDEX(Drivers!$C$7:$AG$22,$G21,V$9)</f>
        <v>20.04</v>
      </c>
      <c r="W21" s="194">
        <f>INDEX(Drivers!$C$7:$AG$22,$G21,W$9)</f>
        <v>20.51</v>
      </c>
      <c r="X21" s="194">
        <f>INDEX(Drivers!$C$7:$AG$22,$G21,X$9)</f>
        <v>21.11</v>
      </c>
      <c r="Y21" s="194">
        <f>INDEX(Drivers!$C$7:$AG$22,$G21,Y$9)</f>
        <v>21.69</v>
      </c>
      <c r="Z21" s="194">
        <f>INDEX(Drivers!$C$7:$AG$22,$G21,Z$9)</f>
        <v>22.28</v>
      </c>
      <c r="AA21" s="194">
        <f>INDEX(Drivers!$C$7:$AG$22,$G21,AA$9)</f>
        <v>22.83</v>
      </c>
      <c r="AB21" s="194">
        <f>INDEX(Drivers!$C$7:$AG$22,$G21,AB$9)</f>
        <v>23.42</v>
      </c>
      <c r="AC21" s="194">
        <f>INDEX(Drivers!$C$7:$AG$22,$G21,AC$9)</f>
        <v>24.02</v>
      </c>
      <c r="AD21" s="194">
        <f>INDEX(Drivers!$C$7:$AG$22,$G21,AD$9)</f>
        <v>24.61</v>
      </c>
      <c r="AE21" s="194">
        <f>INDEX(Drivers!$C$7:$AG$22,$G21,AE$9)</f>
        <v>25.26</v>
      </c>
      <c r="AF21" s="194">
        <f>INDEX(Drivers!$C$7:$AG$22,$G21,AF$9)</f>
        <v>25.94</v>
      </c>
      <c r="AG21" s="194">
        <f>INDEX(Drivers!$C$7:$AG$22,$G21,AG$9)</f>
        <v>26.65</v>
      </c>
      <c r="AH21" s="194">
        <f>INDEX(Drivers!$C$7:$AG$22,$G21,AH$9)</f>
        <v>27.42</v>
      </c>
      <c r="AI21" s="194">
        <f>INDEX(Drivers!$C$7:$AG$22,$G21,AI$9)</f>
        <v>28.22</v>
      </c>
      <c r="AJ21" s="194">
        <f>INDEX(Drivers!$C$7:$AG$22,$G21,AJ$9)</f>
        <v>29.03</v>
      </c>
      <c r="AK21" s="194">
        <f>INDEX(Drivers!$C$7:$AG$22,$G21,AK$9)</f>
        <v>29.88</v>
      </c>
      <c r="AL21" s="194">
        <f>INDEX(Drivers!$C$7:$AG$22,$G21,AL$9)</f>
        <v>30.78</v>
      </c>
      <c r="AM21" s="194">
        <f>INDEX(Drivers!$C$7:$AG$22,$G21,AM$9)</f>
        <v>35.619999999999997</v>
      </c>
      <c r="AN21" s="194">
        <f>INDEX(Drivers!$C$7:$AG$22,$G21,AN$9)</f>
        <v>41.7</v>
      </c>
      <c r="AO21" s="194">
        <f t="shared" si="4"/>
        <v>52.413333333332957</v>
      </c>
      <c r="AP21" s="194">
        <f t="shared" si="4"/>
        <v>63.33333333333303</v>
      </c>
    </row>
    <row r="22" spans="1:42">
      <c r="A22" s="194" t="s">
        <v>16</v>
      </c>
      <c r="B22" s="195" t="str">
        <f>[4]IND!B19</f>
        <v>OT</v>
      </c>
      <c r="C22" s="195" t="str">
        <f>[4]IND!A19</f>
        <v>Other</v>
      </c>
      <c r="D22" s="194">
        <f>[4]IND!M19</f>
        <v>1</v>
      </c>
      <c r="F22" s="195"/>
      <c r="G22" s="194">
        <f>MATCH(B22,Drivers!$A$7:$A$22,0)</f>
        <v>10</v>
      </c>
      <c r="H22" s="195"/>
      <c r="I22" s="195"/>
      <c r="J22" s="194">
        <f>INDEX(Drivers!$C$7:$AG$22,$G22,J$9)</f>
        <v>235.5</v>
      </c>
      <c r="K22" s="194">
        <f>INDEX(Drivers!$C$7:$AG$22,$G22,K$9)</f>
        <v>241.63</v>
      </c>
      <c r="L22" s="194">
        <f>INDEX(Drivers!$C$7:$AG$22,$G22,L$9)</f>
        <v>245.65</v>
      </c>
      <c r="M22" s="194">
        <f>INDEX(Drivers!$C$7:$AG$22,$G22,M$9)</f>
        <v>248.47</v>
      </c>
      <c r="N22" s="194">
        <f>INDEX(Drivers!$C$7:$AG$22,$G22,N$9)</f>
        <v>251.07</v>
      </c>
      <c r="O22" s="194">
        <f>INDEX(Drivers!$C$7:$AG$22,$G22,O$9)</f>
        <v>252.54</v>
      </c>
      <c r="P22" s="194">
        <f>INDEX(Drivers!$C$7:$AG$22,$G22,P$9)</f>
        <v>254.74</v>
      </c>
      <c r="Q22" s="194">
        <f>INDEX(Drivers!$C$7:$AG$22,$G22,Q$9)</f>
        <v>254.67</v>
      </c>
      <c r="R22" s="194">
        <f>INDEX(Drivers!$C$7:$AG$22,$G22,R$9)</f>
        <v>230.24</v>
      </c>
      <c r="S22" s="194">
        <f>INDEX(Drivers!$C$7:$AG$22,$G22,S$9)</f>
        <v>236.69</v>
      </c>
      <c r="T22" s="194">
        <f>INDEX(Drivers!$C$7:$AG$22,$G22,T$9)</f>
        <v>242.59</v>
      </c>
      <c r="U22" s="194">
        <f>INDEX(Drivers!$C$7:$AG$22,$G22,U$9)</f>
        <v>248.33</v>
      </c>
      <c r="V22" s="194">
        <f>INDEX(Drivers!$C$7:$AG$22,$G22,V$9)</f>
        <v>253.83</v>
      </c>
      <c r="W22" s="194">
        <f>INDEX(Drivers!$C$7:$AG$22,$G22,W$9)</f>
        <v>259.61</v>
      </c>
      <c r="X22" s="194">
        <f>INDEX(Drivers!$C$7:$AG$22,$G22,X$9)</f>
        <v>266.92</v>
      </c>
      <c r="Y22" s="194">
        <f>INDEX(Drivers!$C$7:$AG$22,$G22,Y$9)</f>
        <v>274.13</v>
      </c>
      <c r="Z22" s="194">
        <f>INDEX(Drivers!$C$7:$AG$22,$G22,Z$9)</f>
        <v>281.63</v>
      </c>
      <c r="AA22" s="194">
        <f>INDEX(Drivers!$C$7:$AG$22,$G22,AA$9)</f>
        <v>289.23</v>
      </c>
      <c r="AB22" s="194">
        <f>INDEX(Drivers!$C$7:$AG$22,$G22,AB$9)</f>
        <v>297.02</v>
      </c>
      <c r="AC22" s="194">
        <f>INDEX(Drivers!$C$7:$AG$22,$G22,AC$9)</f>
        <v>305.64</v>
      </c>
      <c r="AD22" s="194">
        <f>INDEX(Drivers!$C$7:$AG$22,$G22,AD$9)</f>
        <v>313.91000000000003</v>
      </c>
      <c r="AE22" s="194">
        <f>INDEX(Drivers!$C$7:$AG$22,$G22,AE$9)</f>
        <v>323.06</v>
      </c>
      <c r="AF22" s="194">
        <f>INDEX(Drivers!$C$7:$AG$22,$G22,AF$9)</f>
        <v>332.87</v>
      </c>
      <c r="AG22" s="194">
        <f>INDEX(Drivers!$C$7:$AG$22,$G22,AG$9)</f>
        <v>343.27</v>
      </c>
      <c r="AH22" s="194">
        <f>INDEX(Drivers!$C$7:$AG$22,$G22,AH$9)</f>
        <v>354.09</v>
      </c>
      <c r="AI22" s="194">
        <f>INDEX(Drivers!$C$7:$AG$22,$G22,AI$9)</f>
        <v>365.3</v>
      </c>
      <c r="AJ22" s="194">
        <f>INDEX(Drivers!$C$7:$AG$22,$G22,AJ$9)</f>
        <v>376.62</v>
      </c>
      <c r="AK22" s="194">
        <f>INDEX(Drivers!$C$7:$AG$22,$G22,AK$9)</f>
        <v>388.36</v>
      </c>
      <c r="AL22" s="194">
        <f>INDEX(Drivers!$C$7:$AG$22,$G22,AL$9)</f>
        <v>400.79</v>
      </c>
      <c r="AM22" s="194">
        <f>INDEX(Drivers!$C$7:$AG$22,$G22,AM$9)</f>
        <v>469.74</v>
      </c>
      <c r="AN22" s="194">
        <f>INDEX(Drivers!$C$7:$AG$22,$G22,AN$9)</f>
        <v>556.72</v>
      </c>
      <c r="AO22" s="194">
        <f t="shared" si="4"/>
        <v>709.64500000000044</v>
      </c>
      <c r="AP22" s="194">
        <f t="shared" si="4"/>
        <v>865.57499999999709</v>
      </c>
    </row>
    <row r="23" spans="1:42">
      <c r="A23" s="194" t="s">
        <v>16</v>
      </c>
      <c r="B23" s="195"/>
    </row>
    <row r="24" spans="1:42" ht="15.75" thickBot="1">
      <c r="A24" s="194" t="s">
        <v>16</v>
      </c>
      <c r="B24" s="14" t="s">
        <v>291</v>
      </c>
      <c r="C24" s="14"/>
      <c r="D24" s="14"/>
      <c r="E24" s="14"/>
      <c r="F24" s="14"/>
    </row>
    <row r="25" spans="1:42">
      <c r="A25" s="194" t="s">
        <v>16</v>
      </c>
      <c r="B25" s="194" t="s">
        <v>9</v>
      </c>
      <c r="C25" s="194" t="s">
        <v>10</v>
      </c>
      <c r="D25" s="194" t="s">
        <v>281</v>
      </c>
      <c r="E25" s="194" t="s">
        <v>280</v>
      </c>
    </row>
    <row r="26" spans="1:42">
      <c r="A26" s="59" t="str">
        <f>IF(D10,"*","")</f>
        <v>*</v>
      </c>
      <c r="B26" s="22" t="s">
        <v>288</v>
      </c>
      <c r="C26" s="23" t="s">
        <v>137</v>
      </c>
      <c r="D26" s="59">
        <f t="shared" ref="D26:D38" si="6">F10</f>
        <v>0</v>
      </c>
      <c r="E26" s="23" t="s">
        <v>137</v>
      </c>
      <c r="F26" s="23" t="s">
        <v>137</v>
      </c>
      <c r="G26" s="23" t="s">
        <v>137</v>
      </c>
      <c r="H26" s="23" t="s">
        <v>137</v>
      </c>
      <c r="I26" s="22">
        <v>0</v>
      </c>
      <c r="J26" s="116">
        <v>0</v>
      </c>
      <c r="K26" s="194">
        <f t="shared" ref="K26:AP34" si="7">J26*K10/J10</f>
        <v>0</v>
      </c>
      <c r="L26" s="194">
        <f t="shared" si="7"/>
        <v>0</v>
      </c>
      <c r="M26" s="194">
        <f t="shared" si="7"/>
        <v>0</v>
      </c>
      <c r="N26" s="194">
        <f t="shared" si="7"/>
        <v>0</v>
      </c>
      <c r="O26" s="194">
        <f t="shared" si="7"/>
        <v>0</v>
      </c>
      <c r="P26" s="194">
        <f t="shared" si="7"/>
        <v>0</v>
      </c>
      <c r="Q26" s="194">
        <f t="shared" si="7"/>
        <v>0</v>
      </c>
      <c r="R26" s="194">
        <f t="shared" si="7"/>
        <v>0</v>
      </c>
      <c r="S26" s="194">
        <f t="shared" si="7"/>
        <v>0</v>
      </c>
      <c r="T26" s="194">
        <f t="shared" si="7"/>
        <v>0</v>
      </c>
      <c r="U26" s="194">
        <f t="shared" si="7"/>
        <v>0</v>
      </c>
      <c r="V26" s="194">
        <f t="shared" si="7"/>
        <v>0</v>
      </c>
      <c r="W26" s="194">
        <f t="shared" si="7"/>
        <v>0</v>
      </c>
      <c r="X26" s="194">
        <f t="shared" si="7"/>
        <v>0</v>
      </c>
      <c r="Y26" s="194">
        <f t="shared" si="7"/>
        <v>0</v>
      </c>
      <c r="Z26" s="194">
        <f t="shared" si="7"/>
        <v>0</v>
      </c>
      <c r="AA26" s="194">
        <f t="shared" si="7"/>
        <v>0</v>
      </c>
      <c r="AB26" s="194">
        <f t="shared" si="7"/>
        <v>0</v>
      </c>
      <c r="AC26" s="194">
        <f t="shared" si="7"/>
        <v>0</v>
      </c>
      <c r="AD26" s="194">
        <f t="shared" si="7"/>
        <v>0</v>
      </c>
      <c r="AE26" s="194">
        <f t="shared" si="7"/>
        <v>0</v>
      </c>
      <c r="AF26" s="194">
        <f t="shared" si="7"/>
        <v>0</v>
      </c>
      <c r="AG26" s="194">
        <f t="shared" si="7"/>
        <v>0</v>
      </c>
      <c r="AH26" s="194">
        <f t="shared" si="7"/>
        <v>0</v>
      </c>
      <c r="AI26" s="194">
        <f t="shared" si="7"/>
        <v>0</v>
      </c>
      <c r="AJ26" s="194">
        <f t="shared" si="7"/>
        <v>0</v>
      </c>
      <c r="AK26" s="194">
        <f t="shared" si="7"/>
        <v>0</v>
      </c>
      <c r="AL26" s="194">
        <f t="shared" si="7"/>
        <v>0</v>
      </c>
      <c r="AM26" s="194">
        <f t="shared" si="7"/>
        <v>0</v>
      </c>
      <c r="AN26" s="194">
        <f t="shared" si="7"/>
        <v>0</v>
      </c>
      <c r="AO26" s="194">
        <f t="shared" si="7"/>
        <v>0</v>
      </c>
      <c r="AP26" s="194">
        <f t="shared" si="7"/>
        <v>0</v>
      </c>
    </row>
    <row r="27" spans="1:42">
      <c r="A27" s="59" t="str">
        <f>IF(D11,"*","")</f>
        <v/>
      </c>
      <c r="B27" s="22" t="s">
        <v>288</v>
      </c>
      <c r="C27" s="23" t="s">
        <v>137</v>
      </c>
      <c r="D27" s="59" t="str">
        <f t="shared" si="6"/>
        <v>IFAM</v>
      </c>
      <c r="E27" s="23" t="s">
        <v>137</v>
      </c>
      <c r="F27" s="23" t="s">
        <v>137</v>
      </c>
      <c r="G27" s="23" t="s">
        <v>137</v>
      </c>
      <c r="H27" s="23" t="s">
        <v>137</v>
      </c>
      <c r="I27" s="22">
        <v>0</v>
      </c>
      <c r="J27" s="147">
        <f>'[4]FA-TSData'!J2</f>
        <v>4.0820999999999996</v>
      </c>
      <c r="K27" s="147">
        <f>'[4]FA-TSData'!K2</f>
        <v>4.1753999999999998</v>
      </c>
      <c r="L27" s="147">
        <f>'[4]FA-TSData'!L2</f>
        <v>4.8628999999999998</v>
      </c>
      <c r="M27" s="147">
        <f>'[4]FA-TSData'!M2</f>
        <v>4.4805999999999999</v>
      </c>
      <c r="N27" s="147">
        <f>'[4]FA-TSData'!N2</f>
        <v>4.3260612235437241</v>
      </c>
      <c r="O27" s="147">
        <f>'[4]FA-TSData'!O2</f>
        <v>4.372754104082464</v>
      </c>
      <c r="P27" s="194">
        <f>O27*P11/O11</f>
        <v>4.3281858435822027</v>
      </c>
      <c r="Q27" s="194">
        <f t="shared" si="7"/>
        <v>4.255661128768141</v>
      </c>
      <c r="R27" s="194">
        <f t="shared" si="7"/>
        <v>3.911270024902485</v>
      </c>
      <c r="S27" s="194">
        <f t="shared" si="7"/>
        <v>3.9783249986551508</v>
      </c>
      <c r="T27" s="194">
        <f t="shared" si="7"/>
        <v>4.0324146602622868</v>
      </c>
      <c r="U27" s="194">
        <f t="shared" si="7"/>
        <v>4.0828578278284908</v>
      </c>
      <c r="V27" s="194">
        <f t="shared" si="7"/>
        <v>4.130869999367409</v>
      </c>
      <c r="W27" s="194">
        <f t="shared" si="7"/>
        <v>4.1963043091018832</v>
      </c>
      <c r="X27" s="194">
        <f t="shared" si="7"/>
        <v>4.2986087252502108</v>
      </c>
      <c r="Y27" s="194">
        <f t="shared" si="7"/>
        <v>4.4092190444917687</v>
      </c>
      <c r="Z27" s="194">
        <f t="shared" si="7"/>
        <v>4.5281352668265571</v>
      </c>
      <c r="AA27" s="194">
        <f t="shared" si="7"/>
        <v>4.6328706790021705</v>
      </c>
      <c r="AB27" s="194">
        <f t="shared" si="7"/>
        <v>4.7538127313596972</v>
      </c>
      <c r="AC27" s="194">
        <f t="shared" si="7"/>
        <v>4.8680695446421858</v>
      </c>
      <c r="AD27" s="194">
        <f t="shared" si="7"/>
        <v>4.9740204548314431</v>
      </c>
      <c r="AE27" s="194">
        <f t="shared" si="7"/>
        <v>5.086859187098014</v>
      </c>
      <c r="AF27" s="194">
        <f t="shared" si="7"/>
        <v>5.2045599114191594</v>
      </c>
      <c r="AG27" s="194">
        <f t="shared" si="7"/>
        <v>5.3244890487653169</v>
      </c>
      <c r="AH27" s="194">
        <f t="shared" si="7"/>
        <v>5.4569783322524579</v>
      </c>
      <c r="AI27" s="194">
        <f t="shared" si="7"/>
        <v>5.594734773798721</v>
      </c>
      <c r="AJ27" s="194">
        <f t="shared" si="7"/>
        <v>5.732693798347257</v>
      </c>
      <c r="AK27" s="194">
        <f t="shared" si="7"/>
        <v>5.8759199809549152</v>
      </c>
      <c r="AL27" s="194">
        <f t="shared" si="7"/>
        <v>6.0292753136762691</v>
      </c>
      <c r="AM27" s="194">
        <f t="shared" si="7"/>
        <v>6.7725523490192643</v>
      </c>
      <c r="AN27" s="194">
        <f t="shared" si="7"/>
        <v>7.698154086408783</v>
      </c>
      <c r="AO27" s="194">
        <f t="shared" si="7"/>
        <v>9.3366454088002317</v>
      </c>
      <c r="AP27" s="194">
        <f t="shared" si="7"/>
        <v>11.005524181532767</v>
      </c>
    </row>
    <row r="28" spans="1:42">
      <c r="A28" s="59" t="str">
        <f>IF(D12,"*","")</f>
        <v/>
      </c>
      <c r="B28" s="22" t="s">
        <v>288</v>
      </c>
      <c r="C28" s="23" t="s">
        <v>137</v>
      </c>
      <c r="D28" s="59" t="str">
        <f t="shared" si="6"/>
        <v>IISCRS</v>
      </c>
      <c r="E28" s="23" t="s">
        <v>137</v>
      </c>
      <c r="F28" s="23" t="s">
        <v>137</v>
      </c>
      <c r="G28" s="23" t="s">
        <v>137</v>
      </c>
      <c r="H28" s="23" t="s">
        <v>137</v>
      </c>
      <c r="I28" s="22">
        <v>0</v>
      </c>
      <c r="J28" s="116">
        <f>'[4]IS-TSData'!J24</f>
        <v>6.94</v>
      </c>
      <c r="K28" s="116">
        <f>'[4]IS-TSData'!K24</f>
        <v>7.1000000000000005</v>
      </c>
      <c r="L28" s="116">
        <f>'[4]IS-TSData'!L24</f>
        <v>6.5</v>
      </c>
      <c r="M28" s="116">
        <f>'[4]IS-TSData'!M24</f>
        <v>6.4000000000000012</v>
      </c>
      <c r="N28" s="116">
        <f>'[4]IS-TSData'!N24</f>
        <v>6.0910000000000002</v>
      </c>
      <c r="O28" s="116">
        <f>'[4]IS-TSData'!O24</f>
        <v>6.23</v>
      </c>
      <c r="P28" s="116">
        <f>'[4]IS-TSData'!P24</f>
        <v>6.3</v>
      </c>
      <c r="Q28" s="116">
        <f>'[4]IS-TSData'!Q24</f>
        <v>6.1267974837582679</v>
      </c>
      <c r="R28" s="116">
        <f>'[4]IS-TSData'!R24</f>
        <v>5.0030232389251985</v>
      </c>
      <c r="S28" s="194">
        <f t="shared" si="7"/>
        <v>5.1621732440786108</v>
      </c>
      <c r="T28" s="194">
        <f t="shared" si="7"/>
        <v>5.2641924781513101</v>
      </c>
      <c r="U28" s="194">
        <f t="shared" si="7"/>
        <v>5.358050173498194</v>
      </c>
      <c r="V28" s="194">
        <f t="shared" si="7"/>
        <v>5.4437463301192617</v>
      </c>
      <c r="W28" s="194">
        <f t="shared" si="7"/>
        <v>5.5620886416435935</v>
      </c>
      <c r="X28" s="194">
        <f t="shared" si="7"/>
        <v>5.7620463404260844</v>
      </c>
      <c r="Y28" s="194">
        <f t="shared" si="7"/>
        <v>5.9579232698456677</v>
      </c>
      <c r="Z28" s="194">
        <f t="shared" si="7"/>
        <v>6.1538001992652518</v>
      </c>
      <c r="AA28" s="194">
        <f t="shared" si="7"/>
        <v>6.2966271269670315</v>
      </c>
      <c r="AB28" s="194">
        <f t="shared" si="7"/>
        <v>6.4802617482978908</v>
      </c>
      <c r="AC28" s="194">
        <f t="shared" si="7"/>
        <v>6.6271694453625782</v>
      </c>
      <c r="AD28" s="194">
        <f t="shared" si="7"/>
        <v>6.757754064975634</v>
      </c>
      <c r="AE28" s="194">
        <f t="shared" si="7"/>
        <v>6.90874253140323</v>
      </c>
      <c r="AF28" s="194">
        <f t="shared" si="7"/>
        <v>7.0760540752824577</v>
      </c>
      <c r="AG28" s="194">
        <f t="shared" si="7"/>
        <v>7.2352040804358699</v>
      </c>
      <c r="AH28" s="194">
        <f t="shared" si="7"/>
        <v>7.4229194711296387</v>
      </c>
      <c r="AI28" s="194">
        <f t="shared" si="7"/>
        <v>7.6187964005492228</v>
      </c>
      <c r="AJ28" s="194">
        <f t="shared" si="7"/>
        <v>7.8105925606058983</v>
      </c>
      <c r="AK28" s="194">
        <f t="shared" si="7"/>
        <v>8.0105502593883902</v>
      </c>
      <c r="AL28" s="194">
        <f t="shared" si="7"/>
        <v>8.2186694968966982</v>
      </c>
      <c r="AM28" s="194">
        <f t="shared" si="7"/>
        <v>9.2184579908091564</v>
      </c>
      <c r="AN28" s="194">
        <f t="shared" si="7"/>
        <v>10.565111880568795</v>
      </c>
      <c r="AO28" s="194">
        <f t="shared" si="7"/>
        <v>12.853743364933074</v>
      </c>
      <c r="AP28" s="194">
        <f t="shared" si="7"/>
        <v>15.20018574860517</v>
      </c>
    </row>
    <row r="29" spans="1:42">
      <c r="A29" s="59" t="str">
        <f t="shared" ref="A29:A38" si="8">IF(D13,"*","")</f>
        <v>*</v>
      </c>
      <c r="B29" s="22" t="s">
        <v>288</v>
      </c>
      <c r="C29" s="23" t="s">
        <v>137</v>
      </c>
      <c r="D29" s="59">
        <f t="shared" si="6"/>
        <v>0</v>
      </c>
      <c r="E29" s="23" t="s">
        <v>137</v>
      </c>
      <c r="F29" s="23" t="s">
        <v>137</v>
      </c>
      <c r="G29" s="23" t="s">
        <v>137</v>
      </c>
      <c r="H29" s="23" t="s">
        <v>137</v>
      </c>
      <c r="I29" s="22">
        <v>0</v>
      </c>
      <c r="J29" s="116">
        <v>0</v>
      </c>
      <c r="K29" s="194">
        <f t="shared" si="7"/>
        <v>0</v>
      </c>
      <c r="L29" s="194">
        <f t="shared" si="7"/>
        <v>0</v>
      </c>
      <c r="M29" s="194">
        <f t="shared" si="7"/>
        <v>0</v>
      </c>
      <c r="N29" s="194">
        <f t="shared" si="7"/>
        <v>0</v>
      </c>
      <c r="O29" s="194">
        <f t="shared" si="7"/>
        <v>0</v>
      </c>
      <c r="P29" s="194">
        <f t="shared" si="7"/>
        <v>0</v>
      </c>
      <c r="Q29" s="194">
        <f t="shared" si="7"/>
        <v>0</v>
      </c>
      <c r="R29" s="194">
        <f t="shared" si="7"/>
        <v>0</v>
      </c>
      <c r="S29" s="194">
        <f t="shared" si="7"/>
        <v>0</v>
      </c>
      <c r="T29" s="194">
        <f t="shared" si="7"/>
        <v>0</v>
      </c>
      <c r="U29" s="194">
        <f t="shared" si="7"/>
        <v>0</v>
      </c>
      <c r="V29" s="194">
        <f t="shared" si="7"/>
        <v>0</v>
      </c>
      <c r="W29" s="194">
        <f t="shared" si="7"/>
        <v>0</v>
      </c>
      <c r="X29" s="194">
        <f t="shared" si="7"/>
        <v>0</v>
      </c>
      <c r="Y29" s="194">
        <f t="shared" si="7"/>
        <v>0</v>
      </c>
      <c r="Z29" s="194">
        <f t="shared" si="7"/>
        <v>0</v>
      </c>
      <c r="AA29" s="194">
        <f t="shared" si="7"/>
        <v>0</v>
      </c>
      <c r="AB29" s="194">
        <f t="shared" si="7"/>
        <v>0</v>
      </c>
      <c r="AC29" s="194">
        <f t="shared" si="7"/>
        <v>0</v>
      </c>
      <c r="AD29" s="194">
        <f t="shared" si="7"/>
        <v>0</v>
      </c>
      <c r="AE29" s="194">
        <f t="shared" si="7"/>
        <v>0</v>
      </c>
      <c r="AF29" s="194">
        <f t="shared" si="7"/>
        <v>0</v>
      </c>
      <c r="AG29" s="194">
        <f t="shared" si="7"/>
        <v>0</v>
      </c>
      <c r="AH29" s="194">
        <f t="shared" si="7"/>
        <v>0</v>
      </c>
      <c r="AI29" s="194">
        <f t="shared" si="7"/>
        <v>0</v>
      </c>
      <c r="AJ29" s="194">
        <f t="shared" si="7"/>
        <v>0</v>
      </c>
      <c r="AK29" s="194">
        <f t="shared" si="7"/>
        <v>0</v>
      </c>
      <c r="AL29" s="194">
        <f t="shared" si="7"/>
        <v>0</v>
      </c>
      <c r="AM29" s="194">
        <f t="shared" si="7"/>
        <v>0</v>
      </c>
      <c r="AN29" s="194">
        <f t="shared" si="7"/>
        <v>0</v>
      </c>
      <c r="AO29" s="194">
        <f t="shared" si="7"/>
        <v>0</v>
      </c>
      <c r="AP29" s="194">
        <f t="shared" si="7"/>
        <v>0</v>
      </c>
    </row>
    <row r="30" spans="1:42">
      <c r="A30" s="59" t="str">
        <f t="shared" si="8"/>
        <v>*</v>
      </c>
      <c r="B30" s="22" t="s">
        <v>288</v>
      </c>
      <c r="C30" s="23" t="s">
        <v>137</v>
      </c>
      <c r="D30" s="59">
        <f t="shared" si="6"/>
        <v>0</v>
      </c>
      <c r="E30" s="23" t="s">
        <v>137</v>
      </c>
      <c r="F30" s="23" t="s">
        <v>137</v>
      </c>
      <c r="G30" s="23" t="s">
        <v>137</v>
      </c>
      <c r="H30" s="23" t="s">
        <v>137</v>
      </c>
      <c r="I30" s="22">
        <v>0</v>
      </c>
      <c r="J30" s="116">
        <v>0</v>
      </c>
      <c r="K30" s="194">
        <f t="shared" si="7"/>
        <v>0</v>
      </c>
      <c r="L30" s="194">
        <f t="shared" si="7"/>
        <v>0</v>
      </c>
      <c r="M30" s="194">
        <f t="shared" si="7"/>
        <v>0</v>
      </c>
      <c r="N30" s="194">
        <f t="shared" si="7"/>
        <v>0</v>
      </c>
      <c r="O30" s="194">
        <f t="shared" si="7"/>
        <v>0</v>
      </c>
      <c r="P30" s="194">
        <f t="shared" si="7"/>
        <v>0</v>
      </c>
      <c r="Q30" s="194">
        <f t="shared" si="7"/>
        <v>0</v>
      </c>
      <c r="R30" s="194">
        <f t="shared" si="7"/>
        <v>0</v>
      </c>
      <c r="S30" s="194">
        <f t="shared" si="7"/>
        <v>0</v>
      </c>
      <c r="T30" s="194">
        <f t="shared" si="7"/>
        <v>0</v>
      </c>
      <c r="U30" s="194">
        <f t="shared" si="7"/>
        <v>0</v>
      </c>
      <c r="V30" s="194">
        <f t="shared" si="7"/>
        <v>0</v>
      </c>
      <c r="W30" s="194">
        <f t="shared" si="7"/>
        <v>0</v>
      </c>
      <c r="X30" s="194">
        <f t="shared" si="7"/>
        <v>0</v>
      </c>
      <c r="Y30" s="194">
        <f t="shared" si="7"/>
        <v>0</v>
      </c>
      <c r="Z30" s="194">
        <f t="shared" si="7"/>
        <v>0</v>
      </c>
      <c r="AA30" s="194">
        <f t="shared" si="7"/>
        <v>0</v>
      </c>
      <c r="AB30" s="194">
        <f t="shared" si="7"/>
        <v>0</v>
      </c>
      <c r="AC30" s="194">
        <f t="shared" si="7"/>
        <v>0</v>
      </c>
      <c r="AD30" s="194">
        <f t="shared" si="7"/>
        <v>0</v>
      </c>
      <c r="AE30" s="194">
        <f t="shared" si="7"/>
        <v>0</v>
      </c>
      <c r="AF30" s="194">
        <f t="shared" si="7"/>
        <v>0</v>
      </c>
      <c r="AG30" s="194">
        <f t="shared" si="7"/>
        <v>0</v>
      </c>
      <c r="AH30" s="194">
        <f t="shared" si="7"/>
        <v>0</v>
      </c>
      <c r="AI30" s="194">
        <f t="shared" si="7"/>
        <v>0</v>
      </c>
      <c r="AJ30" s="194">
        <f t="shared" si="7"/>
        <v>0</v>
      </c>
      <c r="AK30" s="194">
        <f t="shared" si="7"/>
        <v>0</v>
      </c>
      <c r="AL30" s="194">
        <f t="shared" si="7"/>
        <v>0</v>
      </c>
      <c r="AM30" s="194">
        <f t="shared" si="7"/>
        <v>0</v>
      </c>
      <c r="AN30" s="194">
        <f t="shared" si="7"/>
        <v>0</v>
      </c>
      <c r="AO30" s="194">
        <f t="shared" si="7"/>
        <v>0</v>
      </c>
      <c r="AP30" s="194">
        <f t="shared" si="7"/>
        <v>0</v>
      </c>
    </row>
    <row r="31" spans="1:42">
      <c r="A31" s="59" t="str">
        <f t="shared" si="8"/>
        <v/>
      </c>
      <c r="B31" s="22" t="s">
        <v>288</v>
      </c>
      <c r="C31" s="23" t="s">
        <v>137</v>
      </c>
      <c r="D31" s="59" t="str">
        <f t="shared" si="6"/>
        <v>INMCEM</v>
      </c>
      <c r="E31" s="23" t="s">
        <v>137</v>
      </c>
      <c r="F31" s="23" t="s">
        <v>137</v>
      </c>
      <c r="G31" s="23" t="s">
        <v>137</v>
      </c>
      <c r="H31" s="23" t="s">
        <v>137</v>
      </c>
      <c r="I31" s="22">
        <v>0</v>
      </c>
      <c r="J31" s="116">
        <f>'[4]NMM-TSData'!J14</f>
        <v>14.27</v>
      </c>
      <c r="K31" s="116">
        <f>'[4]NMM-TSData'!K14</f>
        <v>14.368</v>
      </c>
      <c r="L31" s="116">
        <f>'[4]NMM-TSData'!L14</f>
        <v>14.465999999999999</v>
      </c>
      <c r="M31" s="116">
        <f>'[4]NMM-TSData'!M14</f>
        <v>14.564</v>
      </c>
      <c r="N31" s="116">
        <f>'[4]NMM-TSData'!N14</f>
        <v>14.662000000000001</v>
      </c>
      <c r="O31" s="116">
        <f>'[4]NMM-TSData'!O14</f>
        <v>14.759960880300349</v>
      </c>
      <c r="P31" s="194">
        <f t="shared" si="7"/>
        <v>14.913810635404458</v>
      </c>
      <c r="Q31" s="194">
        <f t="shared" si="7"/>
        <v>14.942657464486476</v>
      </c>
      <c r="R31" s="194">
        <f t="shared" si="7"/>
        <v>13.663781375183582</v>
      </c>
      <c r="S31" s="194">
        <f t="shared" si="7"/>
        <v>14.038790153249844</v>
      </c>
      <c r="T31" s="194">
        <f t="shared" si="7"/>
        <v>14.375336492540081</v>
      </c>
      <c r="U31" s="194">
        <f t="shared" si="7"/>
        <v>14.711882831830319</v>
      </c>
      <c r="V31" s="194">
        <f t="shared" si="7"/>
        <v>15.038813561426549</v>
      </c>
      <c r="W31" s="194">
        <f t="shared" si="7"/>
        <v>15.384975510410792</v>
      </c>
      <c r="X31" s="194">
        <f t="shared" si="7"/>
        <v>15.80806233694709</v>
      </c>
      <c r="Y31" s="194">
        <f t="shared" si="7"/>
        <v>16.231149163483384</v>
      </c>
      <c r="Z31" s="194">
        <f t="shared" si="7"/>
        <v>16.673467209407693</v>
      </c>
      <c r="AA31" s="194">
        <f t="shared" si="7"/>
        <v>17.115785255332003</v>
      </c>
      <c r="AB31" s="194">
        <f t="shared" si="7"/>
        <v>17.567718910950319</v>
      </c>
      <c r="AC31" s="194">
        <f t="shared" si="7"/>
        <v>18.086961834426681</v>
      </c>
      <c r="AD31" s="194">
        <f t="shared" si="7"/>
        <v>18.577357928821026</v>
      </c>
      <c r="AE31" s="194">
        <f t="shared" si="7"/>
        <v>19.115832071685404</v>
      </c>
      <c r="AF31" s="194">
        <f t="shared" si="7"/>
        <v>19.702384263019812</v>
      </c>
      <c r="AG31" s="194">
        <f t="shared" si="7"/>
        <v>20.327398893130255</v>
      </c>
      <c r="AH31" s="194">
        <f t="shared" si="7"/>
        <v>20.971644742628705</v>
      </c>
      <c r="AI31" s="194">
        <f t="shared" si="7"/>
        <v>21.635121811515173</v>
      </c>
      <c r="AJ31" s="194">
        <f t="shared" si="7"/>
        <v>22.298598880401638</v>
      </c>
      <c r="AK31" s="194">
        <f t="shared" si="7"/>
        <v>23.000538388064129</v>
      </c>
      <c r="AL31" s="194">
        <f t="shared" si="7"/>
        <v>23.731324724808641</v>
      </c>
      <c r="AM31" s="194">
        <f t="shared" si="7"/>
        <v>27.875652502925547</v>
      </c>
      <c r="AN31" s="194">
        <f t="shared" si="7"/>
        <v>33.116159786159223</v>
      </c>
      <c r="AO31" s="194">
        <f t="shared" si="7"/>
        <v>42.318298263323669</v>
      </c>
      <c r="AP31" s="194">
        <f t="shared" si="7"/>
        <v>51.703133324674248</v>
      </c>
    </row>
    <row r="32" spans="1:42">
      <c r="A32" s="59" t="str">
        <f t="shared" si="8"/>
        <v/>
      </c>
      <c r="B32" s="22" t="s">
        <v>288</v>
      </c>
      <c r="C32" s="23" t="s">
        <v>137</v>
      </c>
      <c r="D32" s="59" t="str">
        <f t="shared" si="6"/>
        <v>INMLIM</v>
      </c>
      <c r="E32" s="23" t="s">
        <v>137</v>
      </c>
      <c r="F32" s="23" t="s">
        <v>137</v>
      </c>
      <c r="G32" s="23" t="s">
        <v>137</v>
      </c>
      <c r="H32" s="23" t="s">
        <v>137</v>
      </c>
      <c r="I32" s="22">
        <v>0</v>
      </c>
      <c r="J32" s="146">
        <f>'[4]NMM-TSData'!J16</f>
        <v>1.2</v>
      </c>
      <c r="K32" s="146">
        <f>'[4]NMM-TSData'!K16</f>
        <v>1.1733333333333333</v>
      </c>
      <c r="L32" s="146">
        <f>'[4]NMM-TSData'!L16</f>
        <v>1.1466666666666667</v>
      </c>
      <c r="M32" s="146">
        <f>'[4]NMM-TSData'!M16</f>
        <v>1.1200000000000001</v>
      </c>
      <c r="N32" s="146">
        <f>'[4]NMM-TSData'!N16</f>
        <v>1.1200000000000001</v>
      </c>
      <c r="O32" s="146">
        <f>'[4]NMM-TSData'!O16</f>
        <v>1.3591716472036741</v>
      </c>
      <c r="P32" s="194">
        <f t="shared" si="7"/>
        <v>1.373338908672898</v>
      </c>
      <c r="Q32" s="194">
        <f t="shared" si="7"/>
        <v>1.3759952701983773</v>
      </c>
      <c r="R32" s="194">
        <f t="shared" si="7"/>
        <v>1.2582299092354532</v>
      </c>
      <c r="S32" s="194">
        <f t="shared" si="7"/>
        <v>1.2927626090666866</v>
      </c>
      <c r="T32" s="194">
        <f t="shared" si="7"/>
        <v>1.3237534935306141</v>
      </c>
      <c r="U32" s="194">
        <f t="shared" si="7"/>
        <v>1.3547443779945416</v>
      </c>
      <c r="V32" s="194">
        <f t="shared" si="7"/>
        <v>1.3848498086166425</v>
      </c>
      <c r="W32" s="194">
        <f t="shared" si="7"/>
        <v>1.4167261469223964</v>
      </c>
      <c r="X32" s="194">
        <f t="shared" si="7"/>
        <v>1.4556861159627623</v>
      </c>
      <c r="Y32" s="194">
        <f t="shared" si="7"/>
        <v>1.494646085003128</v>
      </c>
      <c r="Z32" s="194">
        <f t="shared" si="7"/>
        <v>1.5353769617271469</v>
      </c>
      <c r="AA32" s="194">
        <f t="shared" si="7"/>
        <v>1.576107838451166</v>
      </c>
      <c r="AB32" s="194">
        <f t="shared" si="7"/>
        <v>1.6177241690170112</v>
      </c>
      <c r="AC32" s="194">
        <f t="shared" si="7"/>
        <v>1.6655386764756421</v>
      </c>
      <c r="AD32" s="194">
        <f t="shared" si="7"/>
        <v>1.7106968224087935</v>
      </c>
      <c r="AE32" s="194">
        <f t="shared" si="7"/>
        <v>1.7602822375510772</v>
      </c>
      <c r="AF32" s="194">
        <f t="shared" si="7"/>
        <v>1.8142949219024935</v>
      </c>
      <c r="AG32" s="194">
        <f t="shared" si="7"/>
        <v>1.871849421621216</v>
      </c>
      <c r="AH32" s="194">
        <f t="shared" si="7"/>
        <v>1.9311748290235913</v>
      </c>
      <c r="AI32" s="194">
        <f t="shared" si="7"/>
        <v>1.9922711441096197</v>
      </c>
      <c r="AJ32" s="194">
        <f t="shared" si="7"/>
        <v>2.0533674591956483</v>
      </c>
      <c r="AK32" s="194">
        <f t="shared" si="7"/>
        <v>2.1180055896489827</v>
      </c>
      <c r="AL32" s="194">
        <f t="shared" si="7"/>
        <v>2.1853000816277963</v>
      </c>
      <c r="AM32" s="194">
        <f t="shared" si="7"/>
        <v>2.5669306874550166</v>
      </c>
      <c r="AN32" s="194">
        <f t="shared" si="7"/>
        <v>3.0495030312504579</v>
      </c>
      <c r="AO32" s="194">
        <f t="shared" si="7"/>
        <v>3.896882357878416</v>
      </c>
      <c r="AP32" s="194">
        <f t="shared" si="7"/>
        <v>4.7610853075010766</v>
      </c>
    </row>
    <row r="33" spans="1:42">
      <c r="A33" s="59" t="str">
        <f t="shared" si="8"/>
        <v/>
      </c>
      <c r="B33" s="22" t="s">
        <v>288</v>
      </c>
      <c r="C33" s="23" t="s">
        <v>137</v>
      </c>
      <c r="D33" s="59" t="str">
        <f t="shared" si="6"/>
        <v>INMGLA</v>
      </c>
      <c r="E33" s="23" t="s">
        <v>137</v>
      </c>
      <c r="F33" s="23" t="s">
        <v>137</v>
      </c>
      <c r="G33" s="23" t="s">
        <v>137</v>
      </c>
      <c r="H33" s="23" t="s">
        <v>137</v>
      </c>
      <c r="I33" s="22">
        <v>0</v>
      </c>
      <c r="J33" s="116">
        <f>'[4]NMM-TSData'!J15</f>
        <v>1.27</v>
      </c>
      <c r="K33" s="116">
        <f>'[4]NMM-TSData'!K15</f>
        <v>1.2484871200000001</v>
      </c>
      <c r="L33" s="116">
        <f>'[4]NMM-TSData'!L15</f>
        <v>1.2269742400000001</v>
      </c>
      <c r="M33" s="116">
        <f>'[4]NMM-TSData'!M15</f>
        <v>1.2054613600000001</v>
      </c>
      <c r="N33" s="116">
        <f>'[4]NMM-TSData'!N15</f>
        <v>1.1839484800000002</v>
      </c>
      <c r="O33" s="116">
        <f>'[4]NMM-TSData'!O15</f>
        <v>1.1624356</v>
      </c>
      <c r="P33" s="194">
        <f t="shared" si="7"/>
        <v>1.17455219257329</v>
      </c>
      <c r="Q33" s="194">
        <f t="shared" si="7"/>
        <v>1.1768240536807819</v>
      </c>
      <c r="R33" s="194">
        <f t="shared" si="7"/>
        <v>1.0761048779153095</v>
      </c>
      <c r="S33" s="194">
        <f t="shared" si="7"/>
        <v>1.1056390723127036</v>
      </c>
      <c r="T33" s="194">
        <f t="shared" si="7"/>
        <v>1.1321441185667753</v>
      </c>
      <c r="U33" s="194">
        <f t="shared" si="7"/>
        <v>1.1586491648208472</v>
      </c>
      <c r="V33" s="194">
        <f t="shared" si="7"/>
        <v>1.1843969240390881</v>
      </c>
      <c r="W33" s="194">
        <f t="shared" si="7"/>
        <v>1.2116592573289904</v>
      </c>
      <c r="X33" s="194">
        <f t="shared" si="7"/>
        <v>1.2449798869055377</v>
      </c>
      <c r="Y33" s="194">
        <f t="shared" si="7"/>
        <v>1.2783005164820846</v>
      </c>
      <c r="Z33" s="194">
        <f t="shared" si="7"/>
        <v>1.3131357201302931</v>
      </c>
      <c r="AA33" s="194">
        <f t="shared" si="7"/>
        <v>1.3479709237785016</v>
      </c>
      <c r="AB33" s="194">
        <f t="shared" si="7"/>
        <v>1.3835634144625406</v>
      </c>
      <c r="AC33" s="194">
        <f t="shared" si="7"/>
        <v>1.424456914397394</v>
      </c>
      <c r="AD33" s="194">
        <f t="shared" si="7"/>
        <v>1.4630785532247557</v>
      </c>
      <c r="AE33" s="194">
        <f t="shared" si="7"/>
        <v>1.5054866272312701</v>
      </c>
      <c r="AF33" s="194">
        <f t="shared" si="7"/>
        <v>1.5516811364169378</v>
      </c>
      <c r="AG33" s="194">
        <f t="shared" si="7"/>
        <v>1.6009047937459284</v>
      </c>
      <c r="AH33" s="194">
        <f t="shared" si="7"/>
        <v>1.6516430251465799</v>
      </c>
      <c r="AI33" s="194">
        <f t="shared" si="7"/>
        <v>1.7038958306188927</v>
      </c>
      <c r="AJ33" s="194">
        <f t="shared" si="7"/>
        <v>1.7561486360912055</v>
      </c>
      <c r="AK33" s="194">
        <f t="shared" si="7"/>
        <v>1.8114305897068408</v>
      </c>
      <c r="AL33" s="194">
        <f t="shared" si="7"/>
        <v>1.8689844044299675</v>
      </c>
      <c r="AM33" s="194">
        <f t="shared" si="7"/>
        <v>2.1953751168729645</v>
      </c>
      <c r="AN33" s="194">
        <f t="shared" si="7"/>
        <v>2.6080965514006516</v>
      </c>
      <c r="AO33" s="194">
        <f t="shared" si="7"/>
        <v>3.3328202446905535</v>
      </c>
      <c r="AP33" s="194">
        <f t="shared" si="7"/>
        <v>4.0719323916612371</v>
      </c>
    </row>
    <row r="34" spans="1:42">
      <c r="A34" s="59" t="str">
        <f t="shared" si="8"/>
        <v/>
      </c>
      <c r="B34" s="22" t="s">
        <v>288</v>
      </c>
      <c r="C34" s="23" t="s">
        <v>137</v>
      </c>
      <c r="D34" s="59" t="str">
        <f t="shared" si="6"/>
        <v>INMBRI</v>
      </c>
      <c r="E34" s="23" t="s">
        <v>137</v>
      </c>
      <c r="F34" s="23" t="s">
        <v>137</v>
      </c>
      <c r="G34" s="23" t="s">
        <v>137</v>
      </c>
      <c r="H34" s="23" t="s">
        <v>137</v>
      </c>
      <c r="I34" s="22">
        <v>0</v>
      </c>
      <c r="J34" s="147">
        <f>'[4]NMM-TSData'!J13</f>
        <v>3.2959999999999998</v>
      </c>
      <c r="K34" s="147">
        <f>'[4]NMM-TSData'!K13</f>
        <v>4.5590000000000002</v>
      </c>
      <c r="L34" s="147">
        <f>'[4]NMM-TSData'!L13</f>
        <v>5.8220999999999998</v>
      </c>
      <c r="M34" s="147">
        <f>'[4]NMM-TSData'!M13</f>
        <v>7.0850999999999997</v>
      </c>
      <c r="N34" s="147">
        <f>'[4]NMM-TSData'!N13</f>
        <v>8.3482000000000003</v>
      </c>
      <c r="O34" s="147">
        <f>'[4]NMM-TSData'!O13</f>
        <v>9.6111784370000013</v>
      </c>
      <c r="P34" s="194">
        <f t="shared" si="7"/>
        <v>9.7113601014899036</v>
      </c>
      <c r="Q34" s="194">
        <f t="shared" si="7"/>
        <v>9.7301441635817607</v>
      </c>
      <c r="R34" s="194">
        <f t="shared" si="7"/>
        <v>8.8973840775094484</v>
      </c>
      <c r="S34" s="194">
        <f t="shared" si="7"/>
        <v>9.1415768847035856</v>
      </c>
      <c r="T34" s="194">
        <f t="shared" si="7"/>
        <v>9.3607242757752456</v>
      </c>
      <c r="U34" s="194">
        <f t="shared" si="7"/>
        <v>9.5798716668469073</v>
      </c>
      <c r="V34" s="194">
        <f t="shared" si="7"/>
        <v>9.7927577038879505</v>
      </c>
      <c r="W34" s="194">
        <f t="shared" si="7"/>
        <v>10.018166448990231</v>
      </c>
      <c r="X34" s="194">
        <f t="shared" si="7"/>
        <v>10.293666026337462</v>
      </c>
      <c r="Y34" s="194">
        <f t="shared" si="7"/>
        <v>10.569165603684693</v>
      </c>
      <c r="Z34" s="194">
        <f t="shared" si="7"/>
        <v>10.857187889093163</v>
      </c>
      <c r="AA34" s="194">
        <f t="shared" si="7"/>
        <v>11.145210174501633</v>
      </c>
      <c r="AB34" s="194">
        <f t="shared" si="7"/>
        <v>11.439493813940722</v>
      </c>
      <c r="AC34" s="194">
        <f t="shared" si="7"/>
        <v>11.777606931594143</v>
      </c>
      <c r="AD34" s="194">
        <f t="shared" si="7"/>
        <v>12.096935987155709</v>
      </c>
      <c r="AE34" s="194">
        <f t="shared" si="7"/>
        <v>12.447571812870367</v>
      </c>
      <c r="AF34" s="194">
        <f t="shared" si="7"/>
        <v>12.829514408738119</v>
      </c>
      <c r="AG34" s="194">
        <f t="shared" si="7"/>
        <v>13.236502420728348</v>
      </c>
      <c r="AH34" s="194">
        <f t="shared" si="7"/>
        <v>13.656013140779812</v>
      </c>
      <c r="AI34" s="194">
        <f t="shared" si="7"/>
        <v>14.088046568892517</v>
      </c>
      <c r="AJ34" s="194">
        <f t="shared" si="7"/>
        <v>14.520079997005222</v>
      </c>
      <c r="AK34" s="194">
        <f t="shared" si="7"/>
        <v>14.977158841240401</v>
      </c>
      <c r="AL34" s="194">
        <f t="shared" si="7"/>
        <v>15.453021747567437</v>
      </c>
      <c r="AM34" s="194">
        <f t="shared" si="7"/>
        <v>18.151665334764182</v>
      </c>
      <c r="AN34" s="194">
        <f t="shared" si="7"/>
        <v>21.56410328145148</v>
      </c>
      <c r="AO34" s="194">
        <f t="shared" si="7"/>
        <v>27.55621908875376</v>
      </c>
      <c r="AP34" s="194">
        <f t="shared" ref="AP34" si="9">AO34*AP18/AO18</f>
        <v>33.667300622637796</v>
      </c>
    </row>
    <row r="35" spans="1:42">
      <c r="A35" s="59" t="str">
        <f t="shared" si="8"/>
        <v>*</v>
      </c>
      <c r="B35" s="22" t="s">
        <v>288</v>
      </c>
      <c r="C35" s="23" t="s">
        <v>137</v>
      </c>
      <c r="D35" s="59">
        <f t="shared" si="6"/>
        <v>0</v>
      </c>
      <c r="E35" s="23" t="s">
        <v>137</v>
      </c>
      <c r="F35" s="23" t="s">
        <v>137</v>
      </c>
      <c r="G35" s="23" t="s">
        <v>137</v>
      </c>
      <c r="H35" s="23" t="s">
        <v>137</v>
      </c>
      <c r="I35" s="22">
        <v>0</v>
      </c>
      <c r="J35" s="116">
        <v>0</v>
      </c>
      <c r="K35" s="194">
        <f t="shared" ref="K35:AP37" si="10">J35*K19/J19</f>
        <v>0</v>
      </c>
      <c r="L35" s="194">
        <f t="shared" si="10"/>
        <v>0</v>
      </c>
      <c r="M35" s="194">
        <f t="shared" si="10"/>
        <v>0</v>
      </c>
      <c r="N35" s="194">
        <f t="shared" si="10"/>
        <v>0</v>
      </c>
      <c r="O35" s="194">
        <f t="shared" si="10"/>
        <v>0</v>
      </c>
      <c r="P35" s="194">
        <f t="shared" si="10"/>
        <v>0</v>
      </c>
      <c r="Q35" s="194">
        <f t="shared" si="10"/>
        <v>0</v>
      </c>
      <c r="R35" s="194">
        <f t="shared" si="10"/>
        <v>0</v>
      </c>
      <c r="S35" s="194">
        <f t="shared" si="10"/>
        <v>0</v>
      </c>
      <c r="T35" s="194">
        <f t="shared" si="10"/>
        <v>0</v>
      </c>
      <c r="U35" s="194">
        <f t="shared" si="10"/>
        <v>0</v>
      </c>
      <c r="V35" s="194">
        <f t="shared" si="10"/>
        <v>0</v>
      </c>
      <c r="W35" s="194">
        <f t="shared" si="10"/>
        <v>0</v>
      </c>
      <c r="X35" s="194">
        <f t="shared" si="10"/>
        <v>0</v>
      </c>
      <c r="Y35" s="194">
        <f t="shared" si="10"/>
        <v>0</v>
      </c>
      <c r="Z35" s="194">
        <f t="shared" si="10"/>
        <v>0</v>
      </c>
      <c r="AA35" s="194">
        <f t="shared" si="10"/>
        <v>0</v>
      </c>
      <c r="AB35" s="194">
        <f t="shared" si="10"/>
        <v>0</v>
      </c>
      <c r="AC35" s="194">
        <f t="shared" si="10"/>
        <v>0</v>
      </c>
      <c r="AD35" s="194">
        <f t="shared" si="10"/>
        <v>0</v>
      </c>
      <c r="AE35" s="194">
        <f t="shared" si="10"/>
        <v>0</v>
      </c>
      <c r="AF35" s="194">
        <f t="shared" si="10"/>
        <v>0</v>
      </c>
      <c r="AG35" s="194">
        <f t="shared" si="10"/>
        <v>0</v>
      </c>
      <c r="AH35" s="194">
        <f t="shared" si="10"/>
        <v>0</v>
      </c>
      <c r="AI35" s="194">
        <f t="shared" si="10"/>
        <v>0</v>
      </c>
      <c r="AJ35" s="194">
        <f t="shared" si="10"/>
        <v>0</v>
      </c>
      <c r="AK35" s="194">
        <f t="shared" si="10"/>
        <v>0</v>
      </c>
      <c r="AL35" s="194">
        <f t="shared" si="10"/>
        <v>0</v>
      </c>
      <c r="AM35" s="194">
        <f t="shared" si="10"/>
        <v>0</v>
      </c>
      <c r="AN35" s="194">
        <f t="shared" si="10"/>
        <v>0</v>
      </c>
      <c r="AO35" s="194">
        <f t="shared" si="10"/>
        <v>0</v>
      </c>
      <c r="AP35" s="194">
        <f t="shared" si="10"/>
        <v>0</v>
      </c>
    </row>
    <row r="36" spans="1:42">
      <c r="A36" s="59" t="str">
        <f t="shared" si="8"/>
        <v/>
      </c>
      <c r="B36" s="22" t="s">
        <v>288</v>
      </c>
      <c r="C36" s="23" t="s">
        <v>137</v>
      </c>
      <c r="D36" s="59" t="str">
        <f t="shared" si="6"/>
        <v>IPPPAP</v>
      </c>
      <c r="E36" s="23" t="s">
        <v>137</v>
      </c>
      <c r="F36" s="23" t="s">
        <v>137</v>
      </c>
      <c r="G36" s="23" t="s">
        <v>137</v>
      </c>
      <c r="H36" s="23" t="s">
        <v>137</v>
      </c>
      <c r="I36" s="22">
        <v>0</v>
      </c>
      <c r="J36" s="146">
        <f>'[4]PP-TSData'!J29</f>
        <v>2.0533000000000001</v>
      </c>
      <c r="K36" s="146">
        <f>'[4]PP-TSData'!K29</f>
        <v>2.0786519999999999</v>
      </c>
      <c r="L36" s="146">
        <f>'[4]PP-TSData'!L29</f>
        <v>2.1040039999999998</v>
      </c>
      <c r="M36" s="146">
        <f>'[4]PP-TSData'!M29</f>
        <v>2.1293559999999996</v>
      </c>
      <c r="N36" s="146">
        <f>'[4]PP-TSData'!N29</f>
        <v>2.1547079999999994</v>
      </c>
      <c r="O36" s="146">
        <f>'[4]PP-TSData'!O29</f>
        <v>2.1800600000000001</v>
      </c>
      <c r="P36" s="194">
        <f t="shared" si="10"/>
        <v>2.2106692667706707</v>
      </c>
      <c r="Q36" s="194">
        <f t="shared" si="10"/>
        <v>2.2129366198647946</v>
      </c>
      <c r="R36" s="194">
        <f t="shared" si="10"/>
        <v>2.0587566094643788</v>
      </c>
      <c r="S36" s="194">
        <f t="shared" si="10"/>
        <v>2.1177077899115964</v>
      </c>
      <c r="T36" s="194">
        <f t="shared" si="10"/>
        <v>2.1709905876235047</v>
      </c>
      <c r="U36" s="194">
        <f t="shared" si="10"/>
        <v>2.2231397087883518</v>
      </c>
      <c r="V36" s="194">
        <f t="shared" si="10"/>
        <v>2.2718878003120127</v>
      </c>
      <c r="W36" s="194">
        <f t="shared" si="10"/>
        <v>2.3251705980239215</v>
      </c>
      <c r="X36" s="194">
        <f t="shared" si="10"/>
        <v>2.393191190847634</v>
      </c>
      <c r="Y36" s="194">
        <f t="shared" si="10"/>
        <v>2.4589444305772235</v>
      </c>
      <c r="Z36" s="194">
        <f t="shared" si="10"/>
        <v>2.5258313468538747</v>
      </c>
      <c r="AA36" s="194">
        <f t="shared" si="10"/>
        <v>2.588183556942278</v>
      </c>
      <c r="AB36" s="194">
        <f t="shared" si="10"/>
        <v>2.6550704732189296</v>
      </c>
      <c r="AC36" s="194">
        <f t="shared" si="10"/>
        <v>2.7230910660426426</v>
      </c>
      <c r="AD36" s="194">
        <f t="shared" si="10"/>
        <v>2.7899779823192938</v>
      </c>
      <c r="AE36" s="194">
        <f t="shared" si="10"/>
        <v>2.8636669578783165</v>
      </c>
      <c r="AF36" s="194">
        <f t="shared" si="10"/>
        <v>2.9407569630785244</v>
      </c>
      <c r="AG36" s="194">
        <f t="shared" si="10"/>
        <v>3.021247997919918</v>
      </c>
      <c r="AH36" s="194">
        <f t="shared" si="10"/>
        <v>3.1085410920436836</v>
      </c>
      <c r="AI36" s="194">
        <f t="shared" si="10"/>
        <v>3.1992352158086339</v>
      </c>
      <c r="AJ36" s="194">
        <f t="shared" si="10"/>
        <v>3.2910630161206464</v>
      </c>
      <c r="AK36" s="194">
        <f t="shared" si="10"/>
        <v>3.3874255226209065</v>
      </c>
      <c r="AL36" s="194">
        <f t="shared" si="10"/>
        <v>3.4894564118564761</v>
      </c>
      <c r="AM36" s="194">
        <f t="shared" si="10"/>
        <v>4.0381558606344274</v>
      </c>
      <c r="AN36" s="194">
        <f t="shared" si="10"/>
        <v>4.727431201248053</v>
      </c>
      <c r="AO36" s="194">
        <f t="shared" si="10"/>
        <v>5.9419766753336409</v>
      </c>
      <c r="AP36" s="194">
        <f t="shared" si="10"/>
        <v>7.1799514647252263</v>
      </c>
    </row>
    <row r="37" spans="1:42">
      <c r="A37" s="59" t="str">
        <f t="shared" si="8"/>
        <v/>
      </c>
      <c r="B37" s="22" t="s">
        <v>288</v>
      </c>
      <c r="C37" s="23" t="s">
        <v>137</v>
      </c>
      <c r="D37" s="59" t="str">
        <f t="shared" si="6"/>
        <v>IPPPULPD</v>
      </c>
      <c r="E37" s="23" t="s">
        <v>137</v>
      </c>
      <c r="F37" s="23" t="s">
        <v>137</v>
      </c>
      <c r="G37" s="23" t="s">
        <v>137</v>
      </c>
      <c r="H37" s="23" t="s">
        <v>137</v>
      </c>
      <c r="I37" s="22">
        <v>0</v>
      </c>
      <c r="J37" s="146">
        <f>'[4]PP-TSData'!J28</f>
        <v>0.73711514499999997</v>
      </c>
      <c r="K37" s="146">
        <f>'[4]PP-TSData'!K28</f>
        <v>0.73711514499999997</v>
      </c>
      <c r="L37" s="146">
        <f>'[4]PP-TSData'!L28</f>
        <v>0.73711514499999997</v>
      </c>
      <c r="M37" s="146">
        <f>'[4]PP-TSData'!M28</f>
        <v>0.73711514499999997</v>
      </c>
      <c r="N37" s="146">
        <f>'[4]PP-TSData'!N28</f>
        <v>0.7</v>
      </c>
      <c r="O37" s="146">
        <f>'[4]PP-TSData'!O28</f>
        <v>0.65910719806663931</v>
      </c>
      <c r="P37" s="194">
        <f t="shared" si="10"/>
        <v>0.66836143329690412</v>
      </c>
      <c r="Q37" s="194">
        <f t="shared" si="10"/>
        <v>0.66904693220284961</v>
      </c>
      <c r="R37" s="194">
        <f t="shared" si="10"/>
        <v>0.62243300659855272</v>
      </c>
      <c r="S37" s="194">
        <f t="shared" si="10"/>
        <v>0.64025597815313684</v>
      </c>
      <c r="T37" s="194">
        <f t="shared" si="10"/>
        <v>0.65636520244285701</v>
      </c>
      <c r="U37" s="194">
        <f t="shared" si="10"/>
        <v>0.67213167727960454</v>
      </c>
      <c r="V37" s="194">
        <f t="shared" si="10"/>
        <v>0.68686990375743373</v>
      </c>
      <c r="W37" s="194">
        <f t="shared" si="10"/>
        <v>0.70297912804715412</v>
      </c>
      <c r="X37" s="194">
        <f t="shared" si="10"/>
        <v>0.72354409522552032</v>
      </c>
      <c r="Y37" s="194">
        <f t="shared" si="10"/>
        <v>0.74342356349794114</v>
      </c>
      <c r="Z37" s="194">
        <f t="shared" si="10"/>
        <v>0.76364578122333471</v>
      </c>
      <c r="AA37" s="194">
        <f t="shared" si="10"/>
        <v>0.78249700113683707</v>
      </c>
      <c r="AB37" s="194">
        <f t="shared" si="10"/>
        <v>0.80271921886223074</v>
      </c>
      <c r="AC37" s="194">
        <f t="shared" si="10"/>
        <v>0.82328418604059694</v>
      </c>
      <c r="AD37" s="194">
        <f t="shared" si="10"/>
        <v>0.84350640376599051</v>
      </c>
      <c r="AE37" s="194">
        <f t="shared" si="10"/>
        <v>0.86578511820922066</v>
      </c>
      <c r="AF37" s="194">
        <f t="shared" si="10"/>
        <v>0.88909208101136905</v>
      </c>
      <c r="AG37" s="194">
        <f t="shared" si="10"/>
        <v>0.91342729217243568</v>
      </c>
      <c r="AH37" s="194">
        <f t="shared" si="10"/>
        <v>0.93981900005133923</v>
      </c>
      <c r="AI37" s="194">
        <f t="shared" si="10"/>
        <v>0.96723895628916079</v>
      </c>
      <c r="AJ37" s="194">
        <f t="shared" si="10"/>
        <v>0.99500166197995532</v>
      </c>
      <c r="AK37" s="194">
        <f t="shared" si="10"/>
        <v>1.0241353654826408</v>
      </c>
      <c r="AL37" s="194">
        <f t="shared" si="10"/>
        <v>1.0549828162501904</v>
      </c>
      <c r="AM37" s="194">
        <f t="shared" si="10"/>
        <v>1.2208735514890117</v>
      </c>
      <c r="AN37" s="194">
        <f t="shared" si="10"/>
        <v>1.429265218896457</v>
      </c>
      <c r="AO37" s="194">
        <f t="shared" si="10"/>
        <v>1.7964641328479398</v>
      </c>
      <c r="AP37" s="194">
        <f t="shared" si="10"/>
        <v>2.1707465354942088</v>
      </c>
    </row>
    <row r="38" spans="1:42">
      <c r="A38" s="59" t="str">
        <f t="shared" si="8"/>
        <v>*</v>
      </c>
      <c r="B38" s="22" t="s">
        <v>288</v>
      </c>
      <c r="C38" s="23" t="s">
        <v>137</v>
      </c>
      <c r="D38" s="59">
        <f t="shared" si="6"/>
        <v>0</v>
      </c>
      <c r="E38" s="23" t="s">
        <v>137</v>
      </c>
      <c r="F38" s="23" t="s">
        <v>137</v>
      </c>
      <c r="G38" s="23" t="s">
        <v>137</v>
      </c>
      <c r="H38" s="23" t="s">
        <v>137</v>
      </c>
      <c r="I38" s="22">
        <v>0</v>
      </c>
      <c r="J38" s="116">
        <v>0</v>
      </c>
      <c r="K38" s="194">
        <f t="shared" ref="K38:AP38" si="11">J38*K22/J22</f>
        <v>0</v>
      </c>
      <c r="L38" s="194">
        <f t="shared" si="11"/>
        <v>0</v>
      </c>
      <c r="M38" s="194">
        <f t="shared" si="11"/>
        <v>0</v>
      </c>
      <c r="N38" s="194">
        <f t="shared" si="11"/>
        <v>0</v>
      </c>
      <c r="O38" s="194">
        <f t="shared" si="11"/>
        <v>0</v>
      </c>
      <c r="P38" s="194">
        <f t="shared" si="11"/>
        <v>0</v>
      </c>
      <c r="Q38" s="194">
        <f t="shared" si="11"/>
        <v>0</v>
      </c>
      <c r="R38" s="194">
        <f t="shared" si="11"/>
        <v>0</v>
      </c>
      <c r="S38" s="194">
        <f t="shared" si="11"/>
        <v>0</v>
      </c>
      <c r="T38" s="194">
        <f t="shared" si="11"/>
        <v>0</v>
      </c>
      <c r="U38" s="194">
        <f t="shared" si="11"/>
        <v>0</v>
      </c>
      <c r="V38" s="194">
        <f t="shared" si="11"/>
        <v>0</v>
      </c>
      <c r="W38" s="194">
        <f t="shared" si="11"/>
        <v>0</v>
      </c>
      <c r="X38" s="194">
        <f t="shared" si="11"/>
        <v>0</v>
      </c>
      <c r="Y38" s="194">
        <f t="shared" si="11"/>
        <v>0</v>
      </c>
      <c r="Z38" s="194">
        <f t="shared" si="11"/>
        <v>0</v>
      </c>
      <c r="AA38" s="194">
        <f t="shared" si="11"/>
        <v>0</v>
      </c>
      <c r="AB38" s="194">
        <f t="shared" si="11"/>
        <v>0</v>
      </c>
      <c r="AC38" s="194">
        <f t="shared" si="11"/>
        <v>0</v>
      </c>
      <c r="AD38" s="194">
        <f t="shared" si="11"/>
        <v>0</v>
      </c>
      <c r="AE38" s="194">
        <f t="shared" si="11"/>
        <v>0</v>
      </c>
      <c r="AF38" s="194">
        <f t="shared" si="11"/>
        <v>0</v>
      </c>
      <c r="AG38" s="194">
        <f t="shared" si="11"/>
        <v>0</v>
      </c>
      <c r="AH38" s="194">
        <f t="shared" si="11"/>
        <v>0</v>
      </c>
      <c r="AI38" s="194">
        <f t="shared" si="11"/>
        <v>0</v>
      </c>
      <c r="AJ38" s="194">
        <f t="shared" si="11"/>
        <v>0</v>
      </c>
      <c r="AK38" s="194">
        <f t="shared" si="11"/>
        <v>0</v>
      </c>
      <c r="AL38" s="194">
        <f t="shared" si="11"/>
        <v>0</v>
      </c>
      <c r="AM38" s="194">
        <f t="shared" si="11"/>
        <v>0</v>
      </c>
      <c r="AN38" s="194">
        <f t="shared" si="11"/>
        <v>0</v>
      </c>
      <c r="AO38" s="194">
        <f t="shared" si="11"/>
        <v>0</v>
      </c>
      <c r="AP38" s="194">
        <f t="shared" si="11"/>
        <v>0</v>
      </c>
    </row>
    <row r="39" spans="1:42">
      <c r="A39" s="194" t="s">
        <v>16</v>
      </c>
      <c r="B39" s="195"/>
    </row>
    <row r="40" spans="1:42" ht="15.75" thickBot="1">
      <c r="A40" s="194" t="s">
        <v>16</v>
      </c>
      <c r="B40" s="14" t="s">
        <v>290</v>
      </c>
      <c r="C40" s="14"/>
      <c r="D40" s="194">
        <v>2010</v>
      </c>
      <c r="E40" s="194">
        <v>2020</v>
      </c>
      <c r="F40" s="194">
        <v>2030</v>
      </c>
      <c r="G40" s="194">
        <v>2050</v>
      </c>
    </row>
    <row r="41" spans="1:42">
      <c r="A41" s="194" t="s">
        <v>16</v>
      </c>
      <c r="B41" s="195" t="str">
        <f t="shared" ref="B41:C52" si="12">B10</f>
        <v>MI</v>
      </c>
      <c r="C41" s="195" t="str">
        <f t="shared" si="12"/>
        <v>Mining</v>
      </c>
      <c r="D41" s="194">
        <v>1</v>
      </c>
      <c r="E41" s="194">
        <v>1.0220604419830652</v>
      </c>
      <c r="F41" s="194">
        <v>1.0684529596700734</v>
      </c>
      <c r="G41" s="194">
        <f>F41</f>
        <v>1.0684529596700734</v>
      </c>
      <c r="J41" s="194">
        <f>IF(J$7=-1,K41,IF(J$7=99,I41,IF(J$7=0,INDEX($D41:$G41,0,J$5),(INDEX($D41:$G41,0,J$7+1)-INDEX($D41:$G41,0,J$7))/(INDEX($D$4:$G$4,0,J$7+1)-INDEX($D$4:$G$4,0,J$7))+I41)))</f>
        <v>1</v>
      </c>
      <c r="K41" s="194">
        <f t="shared" ref="K41:Z42" si="13">IF(K$7=-1,L41,IF(K$7=99,J41,IF(K$7=0,INDEX($D41:$G41,0,K$5),(INDEX($D41:$G41,0,K$7+1)-INDEX($D41:$G41,0,K$7))/(INDEX($D$4:$G$4,0,K$7+1)-INDEX($D$4:$G$4,0,K$7))+J41)))</f>
        <v>1.0027575552478831</v>
      </c>
      <c r="L41" s="194">
        <f t="shared" si="13"/>
        <v>1.0055151104957663</v>
      </c>
      <c r="M41" s="194">
        <f t="shared" si="13"/>
        <v>1.0082726657436494</v>
      </c>
      <c r="N41" s="194">
        <f t="shared" si="13"/>
        <v>1.0110302209915325</v>
      </c>
      <c r="O41" s="194">
        <f t="shared" si="13"/>
        <v>1.0137877762394156</v>
      </c>
      <c r="P41" s="194">
        <f t="shared" si="13"/>
        <v>1.0165453314872988</v>
      </c>
      <c r="Q41" s="194">
        <f t="shared" si="13"/>
        <v>1.0193028867351819</v>
      </c>
      <c r="R41" s="194">
        <f t="shared" si="13"/>
        <v>1.0220604419830652</v>
      </c>
      <c r="S41" s="194">
        <f t="shared" si="13"/>
        <v>1.0266996937517661</v>
      </c>
      <c r="T41" s="194">
        <f t="shared" si="13"/>
        <v>1.0313389455204669</v>
      </c>
      <c r="U41" s="194">
        <f t="shared" si="13"/>
        <v>1.0359781972891677</v>
      </c>
      <c r="V41" s="194">
        <f t="shared" si="13"/>
        <v>1.0406174490578686</v>
      </c>
      <c r="W41" s="194">
        <f t="shared" si="13"/>
        <v>1.0452567008265694</v>
      </c>
      <c r="X41" s="194">
        <f t="shared" si="13"/>
        <v>1.0498959525952702</v>
      </c>
      <c r="Y41" s="194">
        <f t="shared" si="13"/>
        <v>1.0545352043639711</v>
      </c>
      <c r="Z41" s="194">
        <f t="shared" si="13"/>
        <v>1.0591744561326719</v>
      </c>
      <c r="AA41" s="194">
        <f t="shared" ref="AA41:AP42" si="14">IF(AA$7=-1,AB41,IF(AA$7=99,Z41,IF(AA$7=0,INDEX($D41:$G41,0,AA$5),(INDEX($D41:$G41,0,AA$7+1)-INDEX($D41:$G41,0,AA$7))/(INDEX($D$4:$G$4,0,AA$7+1)-INDEX($D$4:$G$4,0,AA$7))+Z41)))</f>
        <v>1.0638137079013728</v>
      </c>
      <c r="AB41" s="194">
        <f t="shared" si="14"/>
        <v>1.0684529596700734</v>
      </c>
      <c r="AC41" s="194">
        <f t="shared" si="14"/>
        <v>1.0684529596700734</v>
      </c>
      <c r="AD41" s="194">
        <f t="shared" si="14"/>
        <v>1.0684529596700734</v>
      </c>
      <c r="AE41" s="194">
        <f t="shared" si="14"/>
        <v>1.0684529596700734</v>
      </c>
      <c r="AF41" s="194">
        <f t="shared" si="14"/>
        <v>1.0684529596700734</v>
      </c>
      <c r="AG41" s="194">
        <f t="shared" si="14"/>
        <v>1.0684529596700734</v>
      </c>
      <c r="AH41" s="194">
        <f t="shared" si="14"/>
        <v>1.0684529596700734</v>
      </c>
      <c r="AI41" s="194">
        <f t="shared" si="14"/>
        <v>1.0684529596700734</v>
      </c>
      <c r="AJ41" s="194">
        <f t="shared" si="14"/>
        <v>1.0684529596700734</v>
      </c>
      <c r="AK41" s="194">
        <f t="shared" si="14"/>
        <v>1.0684529596700734</v>
      </c>
      <c r="AL41" s="194">
        <f t="shared" si="14"/>
        <v>1.0684529596700734</v>
      </c>
      <c r="AM41" s="194">
        <f t="shared" si="14"/>
        <v>1.0684529596700734</v>
      </c>
      <c r="AN41" s="194">
        <f t="shared" si="14"/>
        <v>1.0684529596700734</v>
      </c>
      <c r="AO41" s="194">
        <f t="shared" si="14"/>
        <v>1.0684529596700734</v>
      </c>
      <c r="AP41" s="194">
        <f t="shared" si="14"/>
        <v>1.0684529596700734</v>
      </c>
    </row>
    <row r="42" spans="1:42">
      <c r="A42" s="194" t="s">
        <v>16</v>
      </c>
      <c r="B42" s="195" t="str">
        <f t="shared" si="12"/>
        <v>FA</v>
      </c>
      <c r="C42" s="195" t="str">
        <f t="shared" si="12"/>
        <v>Ferro Alloys</v>
      </c>
      <c r="D42" s="194">
        <v>1</v>
      </c>
      <c r="E42" s="194">
        <v>1</v>
      </c>
      <c r="F42" s="194">
        <v>1</v>
      </c>
      <c r="G42" s="194">
        <v>1</v>
      </c>
      <c r="J42" s="194">
        <f>IF(J$7=-1,K42,IF(J$7=99,I42,IF(J$7=0,INDEX($D42:$G42,0,J$5),(INDEX($D42:$G42,0,J$7+1)-INDEX($D42:$G42,0,J$7))/(INDEX($D$4:$G$4,0,J$7+1)-INDEX($D$4:$G$4,0,J$7))+I42)))</f>
        <v>1</v>
      </c>
      <c r="K42" s="194">
        <f t="shared" si="13"/>
        <v>1</v>
      </c>
      <c r="L42" s="194">
        <f t="shared" si="13"/>
        <v>1</v>
      </c>
      <c r="M42" s="194">
        <f t="shared" si="13"/>
        <v>1</v>
      </c>
      <c r="N42" s="194">
        <f t="shared" si="13"/>
        <v>1</v>
      </c>
      <c r="O42" s="194">
        <f t="shared" si="13"/>
        <v>1</v>
      </c>
      <c r="P42" s="194">
        <f t="shared" si="13"/>
        <v>1</v>
      </c>
      <c r="Q42" s="194">
        <f t="shared" si="13"/>
        <v>1</v>
      </c>
      <c r="R42" s="194">
        <f t="shared" si="13"/>
        <v>1</v>
      </c>
      <c r="S42" s="194">
        <f t="shared" si="13"/>
        <v>1</v>
      </c>
      <c r="T42" s="194">
        <f t="shared" si="13"/>
        <v>1</v>
      </c>
      <c r="U42" s="194">
        <f t="shared" si="13"/>
        <v>1</v>
      </c>
      <c r="V42" s="194">
        <f t="shared" si="13"/>
        <v>1</v>
      </c>
      <c r="W42" s="194">
        <f t="shared" si="13"/>
        <v>1</v>
      </c>
      <c r="X42" s="194">
        <f t="shared" si="13"/>
        <v>1</v>
      </c>
      <c r="Y42" s="194">
        <f t="shared" si="13"/>
        <v>1</v>
      </c>
      <c r="Z42" s="194">
        <f t="shared" si="13"/>
        <v>1</v>
      </c>
      <c r="AA42" s="194">
        <f t="shared" si="14"/>
        <v>1</v>
      </c>
      <c r="AB42" s="194">
        <f t="shared" si="14"/>
        <v>1</v>
      </c>
      <c r="AC42" s="194">
        <f t="shared" si="14"/>
        <v>1</v>
      </c>
      <c r="AD42" s="194">
        <f t="shared" si="14"/>
        <v>1</v>
      </c>
      <c r="AE42" s="194">
        <f t="shared" si="14"/>
        <v>1</v>
      </c>
      <c r="AF42" s="194">
        <f t="shared" si="14"/>
        <v>1</v>
      </c>
      <c r="AG42" s="194">
        <f t="shared" si="14"/>
        <v>1</v>
      </c>
      <c r="AH42" s="194">
        <f t="shared" si="14"/>
        <v>1</v>
      </c>
      <c r="AI42" s="194">
        <f t="shared" si="14"/>
        <v>1</v>
      </c>
      <c r="AJ42" s="194">
        <f t="shared" si="14"/>
        <v>1</v>
      </c>
      <c r="AK42" s="194">
        <f t="shared" si="14"/>
        <v>1</v>
      </c>
      <c r="AL42" s="194">
        <f t="shared" si="14"/>
        <v>1</v>
      </c>
      <c r="AM42" s="194">
        <f t="shared" si="14"/>
        <v>1</v>
      </c>
      <c r="AN42" s="194">
        <f t="shared" si="14"/>
        <v>1</v>
      </c>
      <c r="AO42" s="194">
        <f t="shared" si="14"/>
        <v>1</v>
      </c>
      <c r="AP42" s="194">
        <f t="shared" si="14"/>
        <v>1</v>
      </c>
    </row>
    <row r="43" spans="1:42">
      <c r="A43" s="194" t="s">
        <v>16</v>
      </c>
      <c r="B43" s="195" t="str">
        <f t="shared" si="12"/>
        <v>IS</v>
      </c>
      <c r="C43" s="195" t="str">
        <f t="shared" si="12"/>
        <v>Iron &amp; Steel</v>
      </c>
      <c r="D43" s="194">
        <v>1</v>
      </c>
      <c r="E43" s="194">
        <v>1</v>
      </c>
      <c r="F43" s="194">
        <v>1</v>
      </c>
      <c r="G43" s="194">
        <v>1</v>
      </c>
      <c r="J43" s="194">
        <f t="shared" ref="J43:AP48" si="15">IF(J$7=-1,K43,IF(J$7=99,I43,IF(J$7=0,INDEX($D43:$G43,0,J$5),(INDEX($D43:$G43,0,J$7+1)-INDEX($D43:$G43,0,J$7))/(INDEX($D$4:$G$4,0,J$7+1)-INDEX($D$4:$G$4,0,J$7))+I43)))</f>
        <v>1</v>
      </c>
      <c r="K43" s="194">
        <f t="shared" si="15"/>
        <v>1</v>
      </c>
      <c r="L43" s="194">
        <f t="shared" si="15"/>
        <v>1</v>
      </c>
      <c r="M43" s="194">
        <f t="shared" si="15"/>
        <v>1</v>
      </c>
      <c r="N43" s="194">
        <f t="shared" si="15"/>
        <v>1</v>
      </c>
      <c r="O43" s="194">
        <f t="shared" si="15"/>
        <v>1</v>
      </c>
      <c r="P43" s="194">
        <f t="shared" si="15"/>
        <v>1</v>
      </c>
      <c r="Q43" s="194">
        <f t="shared" si="15"/>
        <v>1</v>
      </c>
      <c r="R43" s="194">
        <f t="shared" si="15"/>
        <v>1</v>
      </c>
      <c r="S43" s="194">
        <f t="shared" si="15"/>
        <v>1</v>
      </c>
      <c r="T43" s="194">
        <f t="shared" si="15"/>
        <v>1</v>
      </c>
      <c r="U43" s="194">
        <f t="shared" si="15"/>
        <v>1</v>
      </c>
      <c r="V43" s="194">
        <f t="shared" si="15"/>
        <v>1</v>
      </c>
      <c r="W43" s="194">
        <f t="shared" si="15"/>
        <v>1</v>
      </c>
      <c r="X43" s="194">
        <f t="shared" si="15"/>
        <v>1</v>
      </c>
      <c r="Y43" s="194">
        <f t="shared" si="15"/>
        <v>1</v>
      </c>
      <c r="Z43" s="194">
        <f t="shared" si="15"/>
        <v>1</v>
      </c>
      <c r="AA43" s="194">
        <f t="shared" si="15"/>
        <v>1</v>
      </c>
      <c r="AB43" s="194">
        <f t="shared" si="15"/>
        <v>1</v>
      </c>
      <c r="AC43" s="194">
        <f t="shared" si="15"/>
        <v>1</v>
      </c>
      <c r="AD43" s="194">
        <f t="shared" si="15"/>
        <v>1</v>
      </c>
      <c r="AE43" s="194">
        <f t="shared" si="15"/>
        <v>1</v>
      </c>
      <c r="AF43" s="194">
        <f t="shared" si="15"/>
        <v>1</v>
      </c>
      <c r="AG43" s="194">
        <f t="shared" si="15"/>
        <v>1</v>
      </c>
      <c r="AH43" s="194">
        <f t="shared" si="15"/>
        <v>1</v>
      </c>
      <c r="AI43" s="194">
        <f t="shared" si="15"/>
        <v>1</v>
      </c>
      <c r="AJ43" s="194">
        <f t="shared" si="15"/>
        <v>1</v>
      </c>
      <c r="AK43" s="194">
        <f t="shared" si="15"/>
        <v>1</v>
      </c>
      <c r="AL43" s="194">
        <f t="shared" si="15"/>
        <v>1</v>
      </c>
      <c r="AM43" s="194">
        <f t="shared" si="15"/>
        <v>1</v>
      </c>
      <c r="AN43" s="194">
        <f t="shared" si="15"/>
        <v>1</v>
      </c>
      <c r="AO43" s="194">
        <f t="shared" si="15"/>
        <v>1</v>
      </c>
      <c r="AP43" s="194">
        <f t="shared" si="15"/>
        <v>1</v>
      </c>
    </row>
    <row r="44" spans="1:42">
      <c r="A44" s="194" t="s">
        <v>16</v>
      </c>
      <c r="B44" s="195" t="str">
        <f t="shared" si="12"/>
        <v>CP</v>
      </c>
      <c r="C44" s="195" t="str">
        <f t="shared" si="12"/>
        <v>Chemicals</v>
      </c>
      <c r="D44" s="194">
        <v>1</v>
      </c>
      <c r="E44" s="194">
        <v>1</v>
      </c>
      <c r="F44" s="194">
        <v>1</v>
      </c>
      <c r="G44" s="194">
        <v>1</v>
      </c>
      <c r="J44" s="194">
        <f t="shared" si="15"/>
        <v>1</v>
      </c>
      <c r="K44" s="194">
        <f t="shared" si="15"/>
        <v>1</v>
      </c>
      <c r="L44" s="194">
        <f t="shared" si="15"/>
        <v>1</v>
      </c>
      <c r="M44" s="194">
        <f t="shared" si="15"/>
        <v>1</v>
      </c>
      <c r="N44" s="194">
        <f t="shared" si="15"/>
        <v>1</v>
      </c>
      <c r="O44" s="194">
        <f t="shared" si="15"/>
        <v>1</v>
      </c>
      <c r="P44" s="194">
        <f t="shared" si="15"/>
        <v>1</v>
      </c>
      <c r="Q44" s="194">
        <f t="shared" si="15"/>
        <v>1</v>
      </c>
      <c r="R44" s="194">
        <f t="shared" si="15"/>
        <v>1</v>
      </c>
      <c r="S44" s="194">
        <f t="shared" si="15"/>
        <v>1</v>
      </c>
      <c r="T44" s="194">
        <f t="shared" si="15"/>
        <v>1</v>
      </c>
      <c r="U44" s="194">
        <f t="shared" si="15"/>
        <v>1</v>
      </c>
      <c r="V44" s="194">
        <f t="shared" si="15"/>
        <v>1</v>
      </c>
      <c r="W44" s="194">
        <f t="shared" si="15"/>
        <v>1</v>
      </c>
      <c r="X44" s="194">
        <f t="shared" si="15"/>
        <v>1</v>
      </c>
      <c r="Y44" s="194">
        <f t="shared" si="15"/>
        <v>1</v>
      </c>
      <c r="Z44" s="194">
        <f t="shared" si="15"/>
        <v>1</v>
      </c>
      <c r="AA44" s="194">
        <f t="shared" si="15"/>
        <v>1</v>
      </c>
      <c r="AB44" s="194">
        <f t="shared" si="15"/>
        <v>1</v>
      </c>
      <c r="AC44" s="194">
        <f t="shared" si="15"/>
        <v>1</v>
      </c>
      <c r="AD44" s="194">
        <f t="shared" si="15"/>
        <v>1</v>
      </c>
      <c r="AE44" s="194">
        <f t="shared" si="15"/>
        <v>1</v>
      </c>
      <c r="AF44" s="194">
        <f t="shared" si="15"/>
        <v>1</v>
      </c>
      <c r="AG44" s="194">
        <f t="shared" si="15"/>
        <v>1</v>
      </c>
      <c r="AH44" s="194">
        <f t="shared" si="15"/>
        <v>1</v>
      </c>
      <c r="AI44" s="194">
        <f t="shared" si="15"/>
        <v>1</v>
      </c>
      <c r="AJ44" s="194">
        <f t="shared" si="15"/>
        <v>1</v>
      </c>
      <c r="AK44" s="194">
        <f t="shared" si="15"/>
        <v>1</v>
      </c>
      <c r="AL44" s="194">
        <f t="shared" si="15"/>
        <v>1</v>
      </c>
      <c r="AM44" s="194">
        <f t="shared" si="15"/>
        <v>1</v>
      </c>
      <c r="AN44" s="194">
        <f t="shared" si="15"/>
        <v>1</v>
      </c>
      <c r="AO44" s="194">
        <f t="shared" si="15"/>
        <v>1</v>
      </c>
      <c r="AP44" s="194">
        <f t="shared" si="15"/>
        <v>1</v>
      </c>
    </row>
    <row r="45" spans="1:42">
      <c r="A45" s="194" t="s">
        <v>16</v>
      </c>
      <c r="B45" s="195" t="str">
        <f t="shared" si="12"/>
        <v>NF</v>
      </c>
      <c r="C45" s="195" t="str">
        <f t="shared" si="12"/>
        <v>Precious &amp; Non-Ferrous metals</v>
      </c>
      <c r="D45" s="194">
        <v>1</v>
      </c>
      <c r="E45" s="194">
        <v>1</v>
      </c>
      <c r="F45" s="194">
        <v>1</v>
      </c>
      <c r="G45" s="194">
        <v>1</v>
      </c>
      <c r="J45" s="194">
        <f t="shared" si="15"/>
        <v>1</v>
      </c>
      <c r="K45" s="194">
        <f t="shared" si="15"/>
        <v>1</v>
      </c>
      <c r="L45" s="194">
        <f t="shared" si="15"/>
        <v>1</v>
      </c>
      <c r="M45" s="194">
        <f t="shared" si="15"/>
        <v>1</v>
      </c>
      <c r="N45" s="194">
        <f t="shared" si="15"/>
        <v>1</v>
      </c>
      <c r="O45" s="194">
        <f t="shared" si="15"/>
        <v>1</v>
      </c>
      <c r="P45" s="194">
        <f t="shared" si="15"/>
        <v>1</v>
      </c>
      <c r="Q45" s="194">
        <f t="shared" si="15"/>
        <v>1</v>
      </c>
      <c r="R45" s="194">
        <f t="shared" si="15"/>
        <v>1</v>
      </c>
      <c r="S45" s="194">
        <f t="shared" si="15"/>
        <v>1</v>
      </c>
      <c r="T45" s="194">
        <f t="shared" si="15"/>
        <v>1</v>
      </c>
      <c r="U45" s="194">
        <f t="shared" si="15"/>
        <v>1</v>
      </c>
      <c r="V45" s="194">
        <f t="shared" si="15"/>
        <v>1</v>
      </c>
      <c r="W45" s="194">
        <f t="shared" si="15"/>
        <v>1</v>
      </c>
      <c r="X45" s="194">
        <f t="shared" si="15"/>
        <v>1</v>
      </c>
      <c r="Y45" s="194">
        <f t="shared" si="15"/>
        <v>1</v>
      </c>
      <c r="Z45" s="194">
        <f t="shared" si="15"/>
        <v>1</v>
      </c>
      <c r="AA45" s="194">
        <f t="shared" si="15"/>
        <v>1</v>
      </c>
      <c r="AB45" s="194">
        <f t="shared" si="15"/>
        <v>1</v>
      </c>
      <c r="AC45" s="194">
        <f t="shared" si="15"/>
        <v>1</v>
      </c>
      <c r="AD45" s="194">
        <f t="shared" si="15"/>
        <v>1</v>
      </c>
      <c r="AE45" s="194">
        <f t="shared" si="15"/>
        <v>1</v>
      </c>
      <c r="AF45" s="194">
        <f t="shared" si="15"/>
        <v>1</v>
      </c>
      <c r="AG45" s="194">
        <f t="shared" si="15"/>
        <v>1</v>
      </c>
      <c r="AH45" s="194">
        <f t="shared" si="15"/>
        <v>1</v>
      </c>
      <c r="AI45" s="194">
        <f t="shared" si="15"/>
        <v>1</v>
      </c>
      <c r="AJ45" s="194">
        <f t="shared" si="15"/>
        <v>1</v>
      </c>
      <c r="AK45" s="194">
        <f t="shared" si="15"/>
        <v>1</v>
      </c>
      <c r="AL45" s="194">
        <f t="shared" si="15"/>
        <v>1</v>
      </c>
      <c r="AM45" s="194">
        <f t="shared" si="15"/>
        <v>1</v>
      </c>
      <c r="AN45" s="194">
        <f t="shared" si="15"/>
        <v>1</v>
      </c>
      <c r="AO45" s="194">
        <f t="shared" si="15"/>
        <v>1</v>
      </c>
      <c r="AP45" s="194">
        <f t="shared" si="15"/>
        <v>1</v>
      </c>
    </row>
    <row r="46" spans="1:42">
      <c r="A46" s="194" t="s">
        <v>16</v>
      </c>
      <c r="B46" s="195" t="str">
        <f t="shared" si="12"/>
        <v>NM</v>
      </c>
      <c r="C46" s="195" t="str">
        <f t="shared" si="12"/>
        <v>N.M.M Products</v>
      </c>
      <c r="D46" s="194">
        <v>1</v>
      </c>
      <c r="E46" s="194">
        <v>1</v>
      </c>
      <c r="F46" s="194">
        <v>1</v>
      </c>
      <c r="G46" s="194">
        <v>1</v>
      </c>
      <c r="J46" s="194">
        <f t="shared" si="15"/>
        <v>1</v>
      </c>
      <c r="K46" s="194">
        <f t="shared" si="15"/>
        <v>1</v>
      </c>
      <c r="L46" s="194">
        <f t="shared" si="15"/>
        <v>1</v>
      </c>
      <c r="M46" s="194">
        <f t="shared" si="15"/>
        <v>1</v>
      </c>
      <c r="N46" s="194">
        <f t="shared" si="15"/>
        <v>1</v>
      </c>
      <c r="O46" s="194">
        <f t="shared" si="15"/>
        <v>1</v>
      </c>
      <c r="P46" s="194">
        <f t="shared" si="15"/>
        <v>1</v>
      </c>
      <c r="Q46" s="194">
        <f t="shared" si="15"/>
        <v>1</v>
      </c>
      <c r="R46" s="194">
        <f t="shared" si="15"/>
        <v>1</v>
      </c>
      <c r="S46" s="194">
        <f t="shared" si="15"/>
        <v>1</v>
      </c>
      <c r="T46" s="194">
        <f t="shared" si="15"/>
        <v>1</v>
      </c>
      <c r="U46" s="194">
        <f t="shared" si="15"/>
        <v>1</v>
      </c>
      <c r="V46" s="194">
        <f t="shared" si="15"/>
        <v>1</v>
      </c>
      <c r="W46" s="194">
        <f t="shared" si="15"/>
        <v>1</v>
      </c>
      <c r="X46" s="194">
        <f t="shared" si="15"/>
        <v>1</v>
      </c>
      <c r="Y46" s="194">
        <f t="shared" si="15"/>
        <v>1</v>
      </c>
      <c r="Z46" s="194">
        <f t="shared" si="15"/>
        <v>1</v>
      </c>
      <c r="AA46" s="194">
        <f t="shared" si="15"/>
        <v>1</v>
      </c>
      <c r="AB46" s="194">
        <f t="shared" si="15"/>
        <v>1</v>
      </c>
      <c r="AC46" s="194">
        <f t="shared" si="15"/>
        <v>1</v>
      </c>
      <c r="AD46" s="194">
        <f t="shared" si="15"/>
        <v>1</v>
      </c>
      <c r="AE46" s="194">
        <f t="shared" si="15"/>
        <v>1</v>
      </c>
      <c r="AF46" s="194">
        <f t="shared" si="15"/>
        <v>1</v>
      </c>
      <c r="AG46" s="194">
        <f t="shared" si="15"/>
        <v>1</v>
      </c>
      <c r="AH46" s="194">
        <f t="shared" si="15"/>
        <v>1</v>
      </c>
      <c r="AI46" s="194">
        <f t="shared" si="15"/>
        <v>1</v>
      </c>
      <c r="AJ46" s="194">
        <f t="shared" si="15"/>
        <v>1</v>
      </c>
      <c r="AK46" s="194">
        <f t="shared" si="15"/>
        <v>1</v>
      </c>
      <c r="AL46" s="194">
        <f t="shared" si="15"/>
        <v>1</v>
      </c>
      <c r="AM46" s="194">
        <f t="shared" si="15"/>
        <v>1</v>
      </c>
      <c r="AN46" s="194">
        <f t="shared" si="15"/>
        <v>1</v>
      </c>
      <c r="AO46" s="194">
        <f t="shared" si="15"/>
        <v>1</v>
      </c>
      <c r="AP46" s="194">
        <f t="shared" si="15"/>
        <v>1</v>
      </c>
    </row>
    <row r="47" spans="1:42">
      <c r="A47" s="194" t="s">
        <v>16</v>
      </c>
      <c r="B47" s="195" t="str">
        <f t="shared" si="12"/>
        <v>NM</v>
      </c>
      <c r="C47" s="195" t="str">
        <f t="shared" si="12"/>
        <v>N.M.M Products</v>
      </c>
      <c r="D47" s="194">
        <v>1</v>
      </c>
      <c r="E47" s="194">
        <v>1</v>
      </c>
      <c r="F47" s="194">
        <v>1</v>
      </c>
      <c r="G47" s="194">
        <v>1</v>
      </c>
      <c r="J47" s="194">
        <f t="shared" si="15"/>
        <v>1</v>
      </c>
      <c r="K47" s="194">
        <f t="shared" si="15"/>
        <v>1</v>
      </c>
      <c r="L47" s="194">
        <f t="shared" si="15"/>
        <v>1</v>
      </c>
      <c r="M47" s="194">
        <f t="shared" si="15"/>
        <v>1</v>
      </c>
      <c r="N47" s="194">
        <f t="shared" si="15"/>
        <v>1</v>
      </c>
      <c r="O47" s="194">
        <f t="shared" si="15"/>
        <v>1</v>
      </c>
      <c r="P47" s="194">
        <f t="shared" si="15"/>
        <v>1</v>
      </c>
      <c r="Q47" s="194">
        <f t="shared" si="15"/>
        <v>1</v>
      </c>
      <c r="R47" s="194">
        <f t="shared" si="15"/>
        <v>1</v>
      </c>
      <c r="S47" s="194">
        <f t="shared" si="15"/>
        <v>1</v>
      </c>
      <c r="T47" s="194">
        <f t="shared" si="15"/>
        <v>1</v>
      </c>
      <c r="U47" s="194">
        <f t="shared" si="15"/>
        <v>1</v>
      </c>
      <c r="V47" s="194">
        <f t="shared" si="15"/>
        <v>1</v>
      </c>
      <c r="W47" s="194">
        <f t="shared" si="15"/>
        <v>1</v>
      </c>
      <c r="X47" s="194">
        <f t="shared" si="15"/>
        <v>1</v>
      </c>
      <c r="Y47" s="194">
        <f t="shared" si="15"/>
        <v>1</v>
      </c>
      <c r="Z47" s="194">
        <f t="shared" si="15"/>
        <v>1</v>
      </c>
      <c r="AA47" s="194">
        <f t="shared" si="15"/>
        <v>1</v>
      </c>
      <c r="AB47" s="194">
        <f t="shared" si="15"/>
        <v>1</v>
      </c>
      <c r="AC47" s="194">
        <f t="shared" si="15"/>
        <v>1</v>
      </c>
      <c r="AD47" s="194">
        <f t="shared" si="15"/>
        <v>1</v>
      </c>
      <c r="AE47" s="194">
        <f t="shared" si="15"/>
        <v>1</v>
      </c>
      <c r="AF47" s="194">
        <f t="shared" si="15"/>
        <v>1</v>
      </c>
      <c r="AG47" s="194">
        <f t="shared" si="15"/>
        <v>1</v>
      </c>
      <c r="AH47" s="194">
        <f t="shared" si="15"/>
        <v>1</v>
      </c>
      <c r="AI47" s="194">
        <f t="shared" si="15"/>
        <v>1</v>
      </c>
      <c r="AJ47" s="194">
        <f t="shared" si="15"/>
        <v>1</v>
      </c>
      <c r="AK47" s="194">
        <f t="shared" si="15"/>
        <v>1</v>
      </c>
      <c r="AL47" s="194">
        <f t="shared" si="15"/>
        <v>1</v>
      </c>
      <c r="AM47" s="194">
        <f t="shared" si="15"/>
        <v>1</v>
      </c>
      <c r="AN47" s="194">
        <f t="shared" si="15"/>
        <v>1</v>
      </c>
      <c r="AO47" s="194">
        <f t="shared" si="15"/>
        <v>1</v>
      </c>
      <c r="AP47" s="194">
        <f t="shared" si="15"/>
        <v>1</v>
      </c>
    </row>
    <row r="48" spans="1:42">
      <c r="A48" s="194" t="s">
        <v>16</v>
      </c>
      <c r="B48" s="195" t="str">
        <f t="shared" si="12"/>
        <v>NM</v>
      </c>
      <c r="C48" s="195" t="str">
        <f t="shared" si="12"/>
        <v>N.M.M Products</v>
      </c>
      <c r="D48" s="194">
        <v>1</v>
      </c>
      <c r="E48" s="194">
        <v>1</v>
      </c>
      <c r="F48" s="194">
        <v>1</v>
      </c>
      <c r="G48" s="194">
        <v>1</v>
      </c>
      <c r="J48" s="194">
        <f>IF(J$7=-1,K48,IF(J$7=99,I48,IF(J$7=0,INDEX($D48:$G48,0,J$5),(INDEX($D48:$G48,0,J$7+1)-INDEX($D48:$G48,0,J$7))/(INDEX($D$4:$G$4,0,J$7+1)-INDEX($D$4:$G$4,0,J$7))+I48)))</f>
        <v>1</v>
      </c>
      <c r="K48" s="194">
        <f t="shared" si="15"/>
        <v>1</v>
      </c>
      <c r="L48" s="194">
        <f t="shared" si="15"/>
        <v>1</v>
      </c>
      <c r="M48" s="194">
        <f t="shared" si="15"/>
        <v>1</v>
      </c>
      <c r="N48" s="194">
        <f t="shared" si="15"/>
        <v>1</v>
      </c>
      <c r="O48" s="194">
        <f t="shared" si="15"/>
        <v>1</v>
      </c>
      <c r="P48" s="194">
        <f t="shared" si="15"/>
        <v>1</v>
      </c>
      <c r="Q48" s="194">
        <f t="shared" si="15"/>
        <v>1</v>
      </c>
      <c r="R48" s="194">
        <f t="shared" si="15"/>
        <v>1</v>
      </c>
      <c r="S48" s="194">
        <f t="shared" si="15"/>
        <v>1</v>
      </c>
      <c r="T48" s="194">
        <f t="shared" si="15"/>
        <v>1</v>
      </c>
      <c r="U48" s="194">
        <f t="shared" si="15"/>
        <v>1</v>
      </c>
      <c r="V48" s="194">
        <f t="shared" si="15"/>
        <v>1</v>
      </c>
      <c r="W48" s="194">
        <f t="shared" si="15"/>
        <v>1</v>
      </c>
      <c r="X48" s="194">
        <f t="shared" si="15"/>
        <v>1</v>
      </c>
      <c r="Y48" s="194">
        <f t="shared" si="15"/>
        <v>1</v>
      </c>
      <c r="Z48" s="194">
        <f t="shared" si="15"/>
        <v>1</v>
      </c>
      <c r="AA48" s="194">
        <f t="shared" si="15"/>
        <v>1</v>
      </c>
      <c r="AB48" s="194">
        <f t="shared" si="15"/>
        <v>1</v>
      </c>
      <c r="AC48" s="194">
        <f t="shared" si="15"/>
        <v>1</v>
      </c>
      <c r="AD48" s="194">
        <f t="shared" si="15"/>
        <v>1</v>
      </c>
      <c r="AE48" s="194">
        <f t="shared" si="15"/>
        <v>1</v>
      </c>
      <c r="AF48" s="194">
        <f t="shared" si="15"/>
        <v>1</v>
      </c>
      <c r="AG48" s="194">
        <f t="shared" si="15"/>
        <v>1</v>
      </c>
      <c r="AH48" s="194">
        <f t="shared" si="15"/>
        <v>1</v>
      </c>
      <c r="AI48" s="194">
        <f t="shared" si="15"/>
        <v>1</v>
      </c>
      <c r="AJ48" s="194">
        <f t="shared" si="15"/>
        <v>1</v>
      </c>
      <c r="AK48" s="194">
        <f t="shared" si="15"/>
        <v>1</v>
      </c>
      <c r="AL48" s="194">
        <f t="shared" si="15"/>
        <v>1</v>
      </c>
      <c r="AM48" s="194">
        <f t="shared" si="15"/>
        <v>1</v>
      </c>
      <c r="AN48" s="194">
        <f t="shared" si="15"/>
        <v>1</v>
      </c>
      <c r="AO48" s="194">
        <f t="shared" si="15"/>
        <v>1</v>
      </c>
      <c r="AP48" s="194">
        <f t="shared" si="15"/>
        <v>1</v>
      </c>
    </row>
    <row r="49" spans="1:42">
      <c r="A49" s="194" t="s">
        <v>16</v>
      </c>
      <c r="B49" s="195" t="str">
        <f t="shared" si="12"/>
        <v>NM</v>
      </c>
      <c r="C49" s="195" t="str">
        <f t="shared" si="12"/>
        <v>N.M.M Products</v>
      </c>
      <c r="D49" s="194">
        <v>1</v>
      </c>
      <c r="E49" s="194">
        <v>1</v>
      </c>
      <c r="F49" s="194">
        <v>1</v>
      </c>
      <c r="G49" s="194">
        <v>1</v>
      </c>
      <c r="J49" s="194">
        <f t="shared" ref="J49:AP53" si="16">IF(J$7=-1,K49,IF(J$7=99,I49,IF(J$7=0,INDEX($D49:$G49,0,J$5),(INDEX($D49:$G49,0,J$7+1)-INDEX($D49:$G49,0,J$7))/(INDEX($D$4:$G$4,0,J$7+1)-INDEX($D$4:$G$4,0,J$7))+I49)))</f>
        <v>1</v>
      </c>
      <c r="K49" s="194">
        <f t="shared" si="16"/>
        <v>1</v>
      </c>
      <c r="L49" s="194">
        <f t="shared" si="16"/>
        <v>1</v>
      </c>
      <c r="M49" s="194">
        <f t="shared" si="16"/>
        <v>1</v>
      </c>
      <c r="N49" s="194">
        <f t="shared" si="16"/>
        <v>1</v>
      </c>
      <c r="O49" s="194">
        <f t="shared" si="16"/>
        <v>1</v>
      </c>
      <c r="P49" s="194">
        <f t="shared" si="16"/>
        <v>1</v>
      </c>
      <c r="Q49" s="194">
        <f t="shared" si="16"/>
        <v>1</v>
      </c>
      <c r="R49" s="194">
        <f t="shared" si="16"/>
        <v>1</v>
      </c>
      <c r="S49" s="194">
        <f t="shared" si="16"/>
        <v>1</v>
      </c>
      <c r="T49" s="194">
        <f t="shared" si="16"/>
        <v>1</v>
      </c>
      <c r="U49" s="194">
        <f t="shared" si="16"/>
        <v>1</v>
      </c>
      <c r="V49" s="194">
        <f t="shared" si="16"/>
        <v>1</v>
      </c>
      <c r="W49" s="194">
        <f t="shared" si="16"/>
        <v>1</v>
      </c>
      <c r="X49" s="194">
        <f t="shared" si="16"/>
        <v>1</v>
      </c>
      <c r="Y49" s="194">
        <f t="shared" si="16"/>
        <v>1</v>
      </c>
      <c r="Z49" s="194">
        <f t="shared" si="16"/>
        <v>1</v>
      </c>
      <c r="AA49" s="194">
        <f t="shared" si="16"/>
        <v>1</v>
      </c>
      <c r="AB49" s="194">
        <f t="shared" si="16"/>
        <v>1</v>
      </c>
      <c r="AC49" s="194">
        <f t="shared" si="16"/>
        <v>1</v>
      </c>
      <c r="AD49" s="194">
        <f t="shared" si="16"/>
        <v>1</v>
      </c>
      <c r="AE49" s="194">
        <f t="shared" si="16"/>
        <v>1</v>
      </c>
      <c r="AF49" s="194">
        <f t="shared" si="16"/>
        <v>1</v>
      </c>
      <c r="AG49" s="194">
        <f t="shared" si="16"/>
        <v>1</v>
      </c>
      <c r="AH49" s="194">
        <f t="shared" si="16"/>
        <v>1</v>
      </c>
      <c r="AI49" s="194">
        <f t="shared" si="16"/>
        <v>1</v>
      </c>
      <c r="AJ49" s="194">
        <f t="shared" si="16"/>
        <v>1</v>
      </c>
      <c r="AK49" s="194">
        <f t="shared" si="16"/>
        <v>1</v>
      </c>
      <c r="AL49" s="194">
        <f t="shared" si="16"/>
        <v>1</v>
      </c>
      <c r="AM49" s="194">
        <f t="shared" si="16"/>
        <v>1</v>
      </c>
      <c r="AN49" s="194">
        <f t="shared" si="16"/>
        <v>1</v>
      </c>
      <c r="AO49" s="194">
        <f t="shared" si="16"/>
        <v>1</v>
      </c>
      <c r="AP49" s="194">
        <f t="shared" si="16"/>
        <v>1</v>
      </c>
    </row>
    <row r="50" spans="1:42">
      <c r="A50" s="194" t="s">
        <v>16</v>
      </c>
      <c r="B50" s="195" t="str">
        <f t="shared" si="12"/>
        <v>FB</v>
      </c>
      <c r="C50" s="195" t="str">
        <f t="shared" si="12"/>
        <v>Food, Beverage &amp; Tabacco</v>
      </c>
      <c r="D50" s="194">
        <v>1</v>
      </c>
      <c r="E50" s="194">
        <v>1</v>
      </c>
      <c r="F50" s="194">
        <v>1</v>
      </c>
      <c r="G50" s="194">
        <v>1</v>
      </c>
      <c r="J50" s="194">
        <f t="shared" si="16"/>
        <v>1</v>
      </c>
      <c r="K50" s="194">
        <f t="shared" si="16"/>
        <v>1</v>
      </c>
      <c r="L50" s="194">
        <f t="shared" si="16"/>
        <v>1</v>
      </c>
      <c r="M50" s="194">
        <f t="shared" si="16"/>
        <v>1</v>
      </c>
      <c r="N50" s="194">
        <f t="shared" si="16"/>
        <v>1</v>
      </c>
      <c r="O50" s="194">
        <f t="shared" si="16"/>
        <v>1</v>
      </c>
      <c r="P50" s="194">
        <f t="shared" si="16"/>
        <v>1</v>
      </c>
      <c r="Q50" s="194">
        <f t="shared" si="16"/>
        <v>1</v>
      </c>
      <c r="R50" s="194">
        <f t="shared" si="16"/>
        <v>1</v>
      </c>
      <c r="S50" s="194">
        <f t="shared" si="16"/>
        <v>1</v>
      </c>
      <c r="T50" s="194">
        <f t="shared" si="16"/>
        <v>1</v>
      </c>
      <c r="U50" s="194">
        <f t="shared" si="16"/>
        <v>1</v>
      </c>
      <c r="V50" s="194">
        <f t="shared" si="16"/>
        <v>1</v>
      </c>
      <c r="W50" s="194">
        <f t="shared" si="16"/>
        <v>1</v>
      </c>
      <c r="X50" s="194">
        <f t="shared" si="16"/>
        <v>1</v>
      </c>
      <c r="Y50" s="194">
        <f t="shared" si="16"/>
        <v>1</v>
      </c>
      <c r="Z50" s="194">
        <f t="shared" si="16"/>
        <v>1</v>
      </c>
      <c r="AA50" s="194">
        <f t="shared" si="16"/>
        <v>1</v>
      </c>
      <c r="AB50" s="194">
        <f t="shared" si="16"/>
        <v>1</v>
      </c>
      <c r="AC50" s="194">
        <f t="shared" si="16"/>
        <v>1</v>
      </c>
      <c r="AD50" s="194">
        <f t="shared" si="16"/>
        <v>1</v>
      </c>
      <c r="AE50" s="194">
        <f t="shared" si="16"/>
        <v>1</v>
      </c>
      <c r="AF50" s="194">
        <f t="shared" si="16"/>
        <v>1</v>
      </c>
      <c r="AG50" s="194">
        <f t="shared" si="16"/>
        <v>1</v>
      </c>
      <c r="AH50" s="194">
        <f t="shared" si="16"/>
        <v>1</v>
      </c>
      <c r="AI50" s="194">
        <f t="shared" si="16"/>
        <v>1</v>
      </c>
      <c r="AJ50" s="194">
        <f t="shared" si="16"/>
        <v>1</v>
      </c>
      <c r="AK50" s="194">
        <f t="shared" si="16"/>
        <v>1</v>
      </c>
      <c r="AL50" s="194">
        <f t="shared" si="16"/>
        <v>1</v>
      </c>
      <c r="AM50" s="194">
        <f t="shared" si="16"/>
        <v>1</v>
      </c>
      <c r="AN50" s="194">
        <f t="shared" si="16"/>
        <v>1</v>
      </c>
      <c r="AO50" s="194">
        <f t="shared" si="16"/>
        <v>1</v>
      </c>
      <c r="AP50" s="194">
        <f t="shared" si="16"/>
        <v>1</v>
      </c>
    </row>
    <row r="51" spans="1:42">
      <c r="A51" s="194" t="s">
        <v>16</v>
      </c>
      <c r="B51" s="195" t="str">
        <f t="shared" si="12"/>
        <v>PP</v>
      </c>
      <c r="C51" s="195" t="str">
        <f t="shared" si="12"/>
        <v>Pulp &amp; Paper Products</v>
      </c>
      <c r="D51" s="194">
        <v>1</v>
      </c>
      <c r="E51" s="194">
        <v>1</v>
      </c>
      <c r="F51" s="194">
        <v>1</v>
      </c>
      <c r="G51" s="194">
        <v>1</v>
      </c>
      <c r="J51" s="194">
        <f t="shared" si="16"/>
        <v>1</v>
      </c>
      <c r="K51" s="194">
        <f t="shared" si="16"/>
        <v>1</v>
      </c>
      <c r="L51" s="194">
        <f t="shared" si="16"/>
        <v>1</v>
      </c>
      <c r="M51" s="194">
        <f t="shared" si="16"/>
        <v>1</v>
      </c>
      <c r="N51" s="194">
        <f t="shared" si="16"/>
        <v>1</v>
      </c>
      <c r="O51" s="194">
        <f t="shared" si="16"/>
        <v>1</v>
      </c>
      <c r="P51" s="194">
        <f t="shared" si="16"/>
        <v>1</v>
      </c>
      <c r="Q51" s="194">
        <f t="shared" si="16"/>
        <v>1</v>
      </c>
      <c r="R51" s="194">
        <f t="shared" si="16"/>
        <v>1</v>
      </c>
      <c r="S51" s="194">
        <f t="shared" si="16"/>
        <v>1</v>
      </c>
      <c r="T51" s="194">
        <f t="shared" si="16"/>
        <v>1</v>
      </c>
      <c r="U51" s="194">
        <f t="shared" si="16"/>
        <v>1</v>
      </c>
      <c r="V51" s="194">
        <f t="shared" si="16"/>
        <v>1</v>
      </c>
      <c r="W51" s="194">
        <f t="shared" si="16"/>
        <v>1</v>
      </c>
      <c r="X51" s="194">
        <f t="shared" si="16"/>
        <v>1</v>
      </c>
      <c r="Y51" s="194">
        <f t="shared" si="16"/>
        <v>1</v>
      </c>
      <c r="Z51" s="194">
        <f t="shared" si="16"/>
        <v>1</v>
      </c>
      <c r="AA51" s="194">
        <f t="shared" si="16"/>
        <v>1</v>
      </c>
      <c r="AB51" s="194">
        <f t="shared" si="16"/>
        <v>1</v>
      </c>
      <c r="AC51" s="194">
        <f t="shared" si="16"/>
        <v>1</v>
      </c>
      <c r="AD51" s="194">
        <f t="shared" si="16"/>
        <v>1</v>
      </c>
      <c r="AE51" s="194">
        <f t="shared" si="16"/>
        <v>1</v>
      </c>
      <c r="AF51" s="194">
        <f t="shared" si="16"/>
        <v>1</v>
      </c>
      <c r="AG51" s="194">
        <f t="shared" si="16"/>
        <v>1</v>
      </c>
      <c r="AH51" s="194">
        <f t="shared" si="16"/>
        <v>1</v>
      </c>
      <c r="AI51" s="194">
        <f t="shared" si="16"/>
        <v>1</v>
      </c>
      <c r="AJ51" s="194">
        <f t="shared" si="16"/>
        <v>1</v>
      </c>
      <c r="AK51" s="194">
        <f t="shared" si="16"/>
        <v>1</v>
      </c>
      <c r="AL51" s="194">
        <f t="shared" si="16"/>
        <v>1</v>
      </c>
      <c r="AM51" s="194">
        <f t="shared" si="16"/>
        <v>1</v>
      </c>
      <c r="AN51" s="194">
        <f t="shared" si="16"/>
        <v>1</v>
      </c>
      <c r="AO51" s="194">
        <f t="shared" si="16"/>
        <v>1</v>
      </c>
      <c r="AP51" s="194">
        <f t="shared" si="16"/>
        <v>1</v>
      </c>
    </row>
    <row r="52" spans="1:42">
      <c r="A52" s="194" t="s">
        <v>16</v>
      </c>
      <c r="B52" s="195" t="str">
        <f t="shared" si="12"/>
        <v>PP</v>
      </c>
      <c r="C52" s="195" t="str">
        <f t="shared" si="12"/>
        <v>Pulp &amp; Paper Products</v>
      </c>
      <c r="D52" s="194">
        <v>1</v>
      </c>
      <c r="E52" s="194">
        <v>1</v>
      </c>
      <c r="F52" s="194">
        <v>1</v>
      </c>
      <c r="G52" s="194">
        <v>1</v>
      </c>
      <c r="J52" s="194">
        <f t="shared" si="16"/>
        <v>1</v>
      </c>
      <c r="K52" s="194">
        <f t="shared" si="16"/>
        <v>1</v>
      </c>
      <c r="L52" s="194">
        <f t="shared" si="16"/>
        <v>1</v>
      </c>
      <c r="M52" s="194">
        <f t="shared" si="16"/>
        <v>1</v>
      </c>
      <c r="N52" s="194">
        <f t="shared" si="16"/>
        <v>1</v>
      </c>
      <c r="O52" s="194">
        <f t="shared" si="16"/>
        <v>1</v>
      </c>
      <c r="P52" s="194">
        <f t="shared" si="16"/>
        <v>1</v>
      </c>
      <c r="Q52" s="194">
        <f t="shared" si="16"/>
        <v>1</v>
      </c>
      <c r="R52" s="194">
        <f t="shared" si="16"/>
        <v>1</v>
      </c>
      <c r="S52" s="194">
        <f t="shared" si="16"/>
        <v>1</v>
      </c>
      <c r="T52" s="194">
        <f t="shared" si="16"/>
        <v>1</v>
      </c>
      <c r="U52" s="194">
        <f t="shared" si="16"/>
        <v>1</v>
      </c>
      <c r="V52" s="194">
        <f t="shared" si="16"/>
        <v>1</v>
      </c>
      <c r="W52" s="194">
        <f t="shared" si="16"/>
        <v>1</v>
      </c>
      <c r="X52" s="194">
        <f t="shared" si="16"/>
        <v>1</v>
      </c>
      <c r="Y52" s="194">
        <f t="shared" si="16"/>
        <v>1</v>
      </c>
      <c r="Z52" s="194">
        <f t="shared" si="16"/>
        <v>1</v>
      </c>
      <c r="AA52" s="194">
        <f t="shared" si="16"/>
        <v>1</v>
      </c>
      <c r="AB52" s="194">
        <f t="shared" si="16"/>
        <v>1</v>
      </c>
      <c r="AC52" s="194">
        <f t="shared" si="16"/>
        <v>1</v>
      </c>
      <c r="AD52" s="194">
        <f t="shared" si="16"/>
        <v>1</v>
      </c>
      <c r="AE52" s="194">
        <f t="shared" si="16"/>
        <v>1</v>
      </c>
      <c r="AF52" s="194">
        <f t="shared" si="16"/>
        <v>1</v>
      </c>
      <c r="AG52" s="194">
        <f t="shared" si="16"/>
        <v>1</v>
      </c>
      <c r="AH52" s="194">
        <f t="shared" si="16"/>
        <v>1</v>
      </c>
      <c r="AI52" s="194">
        <f t="shared" si="16"/>
        <v>1</v>
      </c>
      <c r="AJ52" s="194">
        <f t="shared" si="16"/>
        <v>1</v>
      </c>
      <c r="AK52" s="194">
        <f t="shared" si="16"/>
        <v>1</v>
      </c>
      <c r="AL52" s="194">
        <f t="shared" si="16"/>
        <v>1</v>
      </c>
      <c r="AM52" s="194">
        <f t="shared" si="16"/>
        <v>1</v>
      </c>
      <c r="AN52" s="194">
        <f t="shared" si="16"/>
        <v>1</v>
      </c>
      <c r="AO52" s="194">
        <f t="shared" si="16"/>
        <v>1</v>
      </c>
      <c r="AP52" s="194">
        <f t="shared" si="16"/>
        <v>1</v>
      </c>
    </row>
    <row r="53" spans="1:42">
      <c r="A53" s="194" t="s">
        <v>16</v>
      </c>
      <c r="B53" s="195" t="str">
        <f>B22</f>
        <v>OT</v>
      </c>
      <c r="C53" s="195" t="str">
        <f>C22</f>
        <v>Other</v>
      </c>
      <c r="D53" s="194">
        <v>1</v>
      </c>
      <c r="E53" s="194">
        <v>1</v>
      </c>
      <c r="F53" s="194">
        <v>1</v>
      </c>
      <c r="G53" s="194">
        <v>1</v>
      </c>
      <c r="J53" s="194">
        <f t="shared" si="16"/>
        <v>1</v>
      </c>
      <c r="K53" s="194">
        <f t="shared" si="16"/>
        <v>1</v>
      </c>
      <c r="L53" s="194">
        <f t="shared" si="16"/>
        <v>1</v>
      </c>
      <c r="M53" s="194">
        <f t="shared" si="16"/>
        <v>1</v>
      </c>
      <c r="N53" s="194">
        <f t="shared" si="16"/>
        <v>1</v>
      </c>
      <c r="O53" s="194">
        <f t="shared" si="16"/>
        <v>1</v>
      </c>
      <c r="P53" s="194">
        <f t="shared" si="16"/>
        <v>1</v>
      </c>
      <c r="Q53" s="194">
        <f t="shared" si="16"/>
        <v>1</v>
      </c>
      <c r="R53" s="194">
        <f t="shared" si="16"/>
        <v>1</v>
      </c>
      <c r="S53" s="194">
        <f t="shared" si="16"/>
        <v>1</v>
      </c>
      <c r="T53" s="194">
        <f t="shared" si="16"/>
        <v>1</v>
      </c>
      <c r="U53" s="194">
        <f t="shared" si="16"/>
        <v>1</v>
      </c>
      <c r="V53" s="194">
        <f t="shared" si="16"/>
        <v>1</v>
      </c>
      <c r="W53" s="194">
        <f t="shared" si="16"/>
        <v>1</v>
      </c>
      <c r="X53" s="194">
        <f t="shared" si="16"/>
        <v>1</v>
      </c>
      <c r="Y53" s="194">
        <f t="shared" si="16"/>
        <v>1</v>
      </c>
      <c r="Z53" s="194">
        <f t="shared" si="16"/>
        <v>1</v>
      </c>
      <c r="AA53" s="194">
        <f t="shared" si="16"/>
        <v>1</v>
      </c>
      <c r="AB53" s="194">
        <f t="shared" si="16"/>
        <v>1</v>
      </c>
      <c r="AC53" s="194">
        <f t="shared" si="16"/>
        <v>1</v>
      </c>
      <c r="AD53" s="194">
        <f t="shared" si="16"/>
        <v>1</v>
      </c>
      <c r="AE53" s="194">
        <f t="shared" si="16"/>
        <v>1</v>
      </c>
      <c r="AF53" s="194">
        <f t="shared" si="16"/>
        <v>1</v>
      </c>
      <c r="AG53" s="194">
        <f t="shared" si="16"/>
        <v>1</v>
      </c>
      <c r="AH53" s="194">
        <f t="shared" si="16"/>
        <v>1</v>
      </c>
      <c r="AI53" s="194">
        <f t="shared" si="16"/>
        <v>1</v>
      </c>
      <c r="AJ53" s="194">
        <f t="shared" si="16"/>
        <v>1</v>
      </c>
      <c r="AK53" s="194">
        <f t="shared" si="16"/>
        <v>1</v>
      </c>
      <c r="AL53" s="194">
        <f t="shared" si="16"/>
        <v>1</v>
      </c>
      <c r="AM53" s="194">
        <f t="shared" si="16"/>
        <v>1</v>
      </c>
      <c r="AN53" s="194">
        <f t="shared" si="16"/>
        <v>1</v>
      </c>
      <c r="AO53" s="194">
        <f t="shared" si="16"/>
        <v>1</v>
      </c>
      <c r="AP53" s="194">
        <f t="shared" si="16"/>
        <v>1</v>
      </c>
    </row>
    <row r="54" spans="1:42">
      <c r="A54" s="194" t="s">
        <v>16</v>
      </c>
      <c r="B54" s="195"/>
    </row>
    <row r="55" spans="1:42" ht="15.75" thickBot="1">
      <c r="A55" s="194" t="s">
        <v>16</v>
      </c>
      <c r="B55" s="14" t="s">
        <v>289</v>
      </c>
      <c r="C55" s="14"/>
    </row>
    <row r="56" spans="1:42">
      <c r="A56" s="194" t="s">
        <v>16</v>
      </c>
      <c r="B56" s="195" t="s">
        <v>107</v>
      </c>
      <c r="C56" s="195" t="s">
        <v>108</v>
      </c>
    </row>
    <row r="57" spans="1:42">
      <c r="A57" s="194" t="s">
        <v>16</v>
      </c>
      <c r="B57" s="195" t="s">
        <v>109</v>
      </c>
      <c r="C57" s="195" t="s">
        <v>110</v>
      </c>
    </row>
    <row r="58" spans="1:42">
      <c r="A58" s="194" t="s">
        <v>16</v>
      </c>
      <c r="B58" s="195" t="s">
        <v>111</v>
      </c>
      <c r="C58" s="195" t="s">
        <v>73</v>
      </c>
    </row>
    <row r="59" spans="1:42">
      <c r="A59" s="194" t="s">
        <v>16</v>
      </c>
      <c r="B59" s="195" t="s">
        <v>112</v>
      </c>
      <c r="C59" s="195" t="s">
        <v>72</v>
      </c>
    </row>
    <row r="60" spans="1:42">
      <c r="A60" s="194" t="s">
        <v>16</v>
      </c>
      <c r="B60" s="195" t="s">
        <v>113</v>
      </c>
      <c r="C60" s="195" t="s">
        <v>114</v>
      </c>
    </row>
    <row r="61" spans="1:42">
      <c r="A61" s="194" t="s">
        <v>16</v>
      </c>
      <c r="B61" s="195" t="s">
        <v>115</v>
      </c>
      <c r="C61" s="195" t="s">
        <v>116</v>
      </c>
    </row>
    <row r="62" spans="1:42">
      <c r="A62" s="194" t="s">
        <v>16</v>
      </c>
      <c r="B62" s="195" t="s">
        <v>117</v>
      </c>
      <c r="C62" s="195" t="s">
        <v>118</v>
      </c>
    </row>
    <row r="63" spans="1:42">
      <c r="A63" s="194" t="s">
        <v>16</v>
      </c>
      <c r="B63" s="195" t="s">
        <v>119</v>
      </c>
      <c r="C63" s="195" t="s">
        <v>120</v>
      </c>
    </row>
    <row r="64" spans="1:42">
      <c r="A64" s="194" t="s">
        <v>16</v>
      </c>
      <c r="B64" s="195" t="s">
        <v>37</v>
      </c>
      <c r="C64" s="195" t="s">
        <v>121</v>
      </c>
    </row>
    <row r="65" spans="1:48">
      <c r="A65" s="194" t="s">
        <v>16</v>
      </c>
      <c r="B65" s="195" t="s">
        <v>122</v>
      </c>
      <c r="C65" s="195" t="s">
        <v>123</v>
      </c>
    </row>
    <row r="66" spans="1:48">
      <c r="A66" s="194" t="s">
        <v>16</v>
      </c>
      <c r="B66" s="195" t="s">
        <v>221</v>
      </c>
      <c r="C66" s="195" t="s">
        <v>220</v>
      </c>
    </row>
    <row r="67" spans="1:48">
      <c r="A67" s="194" t="s">
        <v>16</v>
      </c>
      <c r="B67" s="195" t="s">
        <v>124</v>
      </c>
      <c r="C67" s="195" t="s">
        <v>2</v>
      </c>
      <c r="P67" s="194" t="str">
        <f>ADDRESS(ROW(),1)</f>
        <v>$A$67</v>
      </c>
    </row>
    <row r="68" spans="1:48">
      <c r="A68" s="194" t="s">
        <v>16</v>
      </c>
      <c r="B68" s="195"/>
      <c r="C68" s="195"/>
      <c r="P68" s="194" t="str">
        <f ca="1">INDIRECT(P67)</f>
        <v>*</v>
      </c>
    </row>
    <row r="69" spans="1:48" ht="23.25">
      <c r="A69" s="194"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59" t="str">
        <f>'[4]TS BYDem'!A10</f>
        <v/>
      </c>
      <c r="B71" s="194" t="s">
        <v>288</v>
      </c>
      <c r="C71" s="194" t="s">
        <v>137</v>
      </c>
      <c r="D71" s="194" t="str">
        <f>'[4]TS BYDem'!D10</f>
        <v>IMIK</v>
      </c>
      <c r="E71" s="194" t="s">
        <v>137</v>
      </c>
      <c r="F71" s="194" t="s">
        <v>137</v>
      </c>
      <c r="G71" s="194" t="s">
        <v>137</v>
      </c>
      <c r="H71" s="194" t="s">
        <v>137</v>
      </c>
      <c r="I71" s="194">
        <v>0</v>
      </c>
      <c r="J71" s="194">
        <f>INDEX('[4]TS BYDem'!$J$10:$J$203,MATCH(D71,'[4]TS BYDem'!$D$10:$D$203,0))</f>
        <v>2.1376388478991801</v>
      </c>
      <c r="K71" s="194">
        <f t="shared" ref="K71:Z86" ca="1" si="19">K$70/J$70*J71</f>
        <v>2.1940309602928449</v>
      </c>
      <c r="L71" s="194">
        <f t="shared" ca="1" si="19"/>
        <v>2.1979720741160493</v>
      </c>
      <c r="M71" s="201">
        <f>O71</f>
        <v>2.2014400000000003</v>
      </c>
      <c r="N71" s="201">
        <f>O71</f>
        <v>2.2014400000000003</v>
      </c>
      <c r="O71" s="201">
        <f>INDEX('[4]TS BYDem'!$O$10:$O$203,MATCH(D71,'[4]TS BYDem'!$D$10:$D$203,0))</f>
        <v>2.2014400000000003</v>
      </c>
      <c r="P71" s="194">
        <f t="shared" ca="1" si="19"/>
        <v>2.1849293434310924</v>
      </c>
      <c r="Q71" s="194">
        <f t="shared" ca="1" si="19"/>
        <v>2.1541455272582901</v>
      </c>
      <c r="R71" s="194">
        <f t="shared" ca="1" si="19"/>
        <v>1.9851765027447228</v>
      </c>
      <c r="S71" s="194">
        <f t="shared" ca="1" si="19"/>
        <v>2.0283758823100992</v>
      </c>
      <c r="T71" s="194">
        <f t="shared" ca="1" si="19"/>
        <v>2.0652439079681733</v>
      </c>
      <c r="U71" s="194">
        <f t="shared" ca="1" si="19"/>
        <v>2.1004851701746681</v>
      </c>
      <c r="V71" s="194">
        <f t="shared" ca="1" si="19"/>
        <v>2.1347025969128732</v>
      </c>
      <c r="W71" s="194">
        <f t="shared" ca="1" si="19"/>
        <v>2.1781845948595406</v>
      </c>
      <c r="X71" s="194">
        <f t="shared" ca="1" si="19"/>
        <v>2.241191280810753</v>
      </c>
      <c r="Y71" s="194">
        <f t="shared" ca="1" si="19"/>
        <v>2.3090189869257927</v>
      </c>
      <c r="Z71" s="194">
        <f t="shared" ca="1" si="19"/>
        <v>2.381725119669504</v>
      </c>
      <c r="AA71" s="194">
        <f t="shared" ref="AA71:AP86" ca="1" si="20">AA$70/Z$70*Z71</f>
        <v>2.4474876361380966</v>
      </c>
      <c r="AB71" s="194">
        <f t="shared" ca="1" si="20"/>
        <v>2.5223318431356025</v>
      </c>
      <c r="AC71" s="194">
        <f t="shared" ca="1" si="20"/>
        <v>2.5829555182199155</v>
      </c>
      <c r="AD71" s="194">
        <f t="shared" ca="1" si="20"/>
        <v>2.6391721530941981</v>
      </c>
      <c r="AE71" s="194">
        <f t="shared" ca="1" si="20"/>
        <v>2.699043406679237</v>
      </c>
      <c r="AF71" s="194">
        <f t="shared" ca="1" si="20"/>
        <v>2.7614943911189282</v>
      </c>
      <c r="AG71" s="194">
        <f t="shared" ca="1" si="20"/>
        <v>2.8251277522003346</v>
      </c>
      <c r="AH71" s="194">
        <f t="shared" ca="1" si="20"/>
        <v>2.8954254179895909</v>
      </c>
      <c r="AI71" s="194">
        <f t="shared" ca="1" si="20"/>
        <v>2.9685177922047199</v>
      </c>
      <c r="AJ71" s="194">
        <f t="shared" ca="1" si="20"/>
        <v>3.041717655205459</v>
      </c>
      <c r="AK71" s="194">
        <f t="shared" ca="1" si="20"/>
        <v>3.1177122266320714</v>
      </c>
      <c r="AL71" s="194">
        <f t="shared" ca="1" si="20"/>
        <v>3.1990812373392075</v>
      </c>
      <c r="AM71" s="194">
        <f t="shared" ca="1" si="20"/>
        <v>3.5934575917440705</v>
      </c>
      <c r="AN71" s="194">
        <f t="shared" ca="1" si="20"/>
        <v>4.0845738531983695</v>
      </c>
      <c r="AO71" s="194">
        <f t="shared" ca="1" si="20"/>
        <v>4.9539431512159702</v>
      </c>
      <c r="AP71" s="194">
        <f t="shared" ca="1" si="20"/>
        <v>5.8394357670751429</v>
      </c>
    </row>
    <row r="72" spans="1:48">
      <c r="A72" s="59" t="str">
        <f>'[4]TS BYDem'!A11</f>
        <v/>
      </c>
      <c r="B72" s="194" t="s">
        <v>288</v>
      </c>
      <c r="C72" s="194" t="s">
        <v>137</v>
      </c>
      <c r="D72" s="194" t="str">
        <f>'[4]TS BYDem'!D11</f>
        <v>IMIA</v>
      </c>
      <c r="E72" s="194" t="s">
        <v>137</v>
      </c>
      <c r="F72" s="194" t="s">
        <v>137</v>
      </c>
      <c r="G72" s="194" t="s">
        <v>137</v>
      </c>
      <c r="H72" s="194" t="s">
        <v>137</v>
      </c>
      <c r="I72" s="194">
        <v>0</v>
      </c>
      <c r="J72" s="194">
        <f>INDEX('[4]TS BYDem'!$J$10:$J$203,MATCH(D72,'[4]TS BYDem'!$D$10:$D$203,0))</f>
        <v>0.99318058118269725</v>
      </c>
      <c r="K72" s="194">
        <f t="shared" ca="1" si="19"/>
        <v>1.0193812422608317</v>
      </c>
      <c r="L72" s="194">
        <f t="shared" ca="1" si="19"/>
        <v>1.0212123456398166</v>
      </c>
      <c r="M72" s="201">
        <f t="shared" ref="M72:M79" si="21">O72</f>
        <v>1.0228235984706235</v>
      </c>
      <c r="N72" s="201">
        <f t="shared" ref="N72:N81" si="22">O72</f>
        <v>1.0228235984706235</v>
      </c>
      <c r="O72" s="201">
        <f>INDEX('[4]TS BYDem'!$O$10:$O$203,MATCH(D72,'[4]TS BYDem'!$D$10:$D$203,0))</f>
        <v>1.0228235984706235</v>
      </c>
      <c r="P72" s="194">
        <f t="shared" ca="1" si="19"/>
        <v>1.0151524881224319</v>
      </c>
      <c r="Q72" s="194">
        <f t="shared" ca="1" si="19"/>
        <v>1.000849843656753</v>
      </c>
      <c r="R72" s="194">
        <f t="shared" ca="1" si="19"/>
        <v>0.92234418114356254</v>
      </c>
      <c r="S72" s="194">
        <f t="shared" ca="1" si="19"/>
        <v>0.94241529135267876</v>
      </c>
      <c r="T72" s="194">
        <f t="shared" ca="1" si="19"/>
        <v>0.95954475510008885</v>
      </c>
      <c r="U72" s="194">
        <f t="shared" ca="1" si="19"/>
        <v>0.97591839899894306</v>
      </c>
      <c r="V72" s="194">
        <f t="shared" ca="1" si="19"/>
        <v>0.9918163528594961</v>
      </c>
      <c r="W72" s="194">
        <f t="shared" ca="1" si="19"/>
        <v>1.0120187720071914</v>
      </c>
      <c r="X72" s="194">
        <f t="shared" ca="1" si="19"/>
        <v>1.0412926678446102</v>
      </c>
      <c r="Y72" s="194">
        <f t="shared" ca="1" si="19"/>
        <v>1.0728064853661383</v>
      </c>
      <c r="Z72" s="194">
        <f t="shared" ca="1" si="19"/>
        <v>1.106586896516933</v>
      </c>
      <c r="AA72" s="194">
        <f t="shared" ca="1" si="20"/>
        <v>1.1371411944941159</v>
      </c>
      <c r="AB72" s="194">
        <f t="shared" ca="1" si="20"/>
        <v>1.1719149885225106</v>
      </c>
      <c r="AC72" s="194">
        <f t="shared" ca="1" si="20"/>
        <v>1.2000817000850563</v>
      </c>
      <c r="AD72" s="194">
        <f t="shared" ca="1" si="20"/>
        <v>1.226200831551743</v>
      </c>
      <c r="AE72" s="194">
        <f t="shared" ca="1" si="20"/>
        <v>1.2540179562686542</v>
      </c>
      <c r="AF72" s="194">
        <f t="shared" ca="1" si="20"/>
        <v>1.2830336644563121</v>
      </c>
      <c r="AG72" s="194">
        <f t="shared" ca="1" si="20"/>
        <v>1.3125987234013954</v>
      </c>
      <c r="AH72" s="194">
        <f t="shared" ca="1" si="20"/>
        <v>1.3452601229792409</v>
      </c>
      <c r="AI72" s="194">
        <f t="shared" ca="1" si="20"/>
        <v>1.3792199879837288</v>
      </c>
      <c r="AJ72" s="194">
        <f t="shared" ca="1" si="20"/>
        <v>1.4132297939661642</v>
      </c>
      <c r="AK72" s="194">
        <f t="shared" ca="1" si="20"/>
        <v>1.448538065375242</v>
      </c>
      <c r="AL72" s="194">
        <f t="shared" ca="1" si="20"/>
        <v>1.4863433856817083</v>
      </c>
      <c r="AM72" s="194">
        <f t="shared" ca="1" si="20"/>
        <v>1.669576833772098</v>
      </c>
      <c r="AN72" s="194">
        <f t="shared" ca="1" si="20"/>
        <v>1.8977571620154867</v>
      </c>
      <c r="AO72" s="194">
        <f t="shared" ca="1" si="20"/>
        <v>2.3016797916571039</v>
      </c>
      <c r="AP72" s="194">
        <f t="shared" ca="1" si="20"/>
        <v>2.7130935679908874</v>
      </c>
    </row>
    <row r="73" spans="1:48">
      <c r="A73" s="59" t="str">
        <f>'[4]TS BYDem'!A12</f>
        <v/>
      </c>
      <c r="B73" s="194" t="s">
        <v>288</v>
      </c>
      <c r="C73" s="194" t="s">
        <v>137</v>
      </c>
      <c r="D73" s="194" t="str">
        <f>'[4]TS BYDem'!D12</f>
        <v>IMIL</v>
      </c>
      <c r="E73" s="194" t="s">
        <v>137</v>
      </c>
      <c r="F73" s="194" t="s">
        <v>137</v>
      </c>
      <c r="G73" s="194" t="s">
        <v>137</v>
      </c>
      <c r="H73" s="194" t="s">
        <v>137</v>
      </c>
      <c r="I73" s="194">
        <v>0</v>
      </c>
      <c r="J73" s="194">
        <f>INDEX('[4]TS BYDem'!$J$10:$J$203,MATCH(D73,'[4]TS BYDem'!$D$10:$D$203,0))</f>
        <v>1.4429062223319464</v>
      </c>
      <c r="K73" s="194">
        <f t="shared" ca="1" si="19"/>
        <v>1.4809708981976701</v>
      </c>
      <c r="L73" s="194">
        <f t="shared" ca="1" si="19"/>
        <v>1.483631150028333</v>
      </c>
      <c r="M73" s="201">
        <f t="shared" si="21"/>
        <v>1.4859720000000001</v>
      </c>
      <c r="N73" s="201">
        <f t="shared" si="22"/>
        <v>1.4859720000000001</v>
      </c>
      <c r="O73" s="201">
        <f>INDEX('[4]TS BYDem'!$O$10:$O$203,MATCH(D73,'[4]TS BYDem'!$D$10:$D$203,0))</f>
        <v>1.4859720000000001</v>
      </c>
      <c r="P73" s="194">
        <f t="shared" ca="1" si="19"/>
        <v>1.4748273068159872</v>
      </c>
      <c r="Q73" s="194">
        <f t="shared" ca="1" si="19"/>
        <v>1.4540482308993454</v>
      </c>
      <c r="R73" s="194">
        <f t="shared" ca="1" si="19"/>
        <v>1.3399941393526875</v>
      </c>
      <c r="S73" s="194">
        <f t="shared" ca="1" si="19"/>
        <v>1.3691537205593167</v>
      </c>
      <c r="T73" s="194">
        <f t="shared" ca="1" si="19"/>
        <v>1.3940396378785167</v>
      </c>
      <c r="U73" s="194">
        <f t="shared" ca="1" si="19"/>
        <v>1.4178274898679006</v>
      </c>
      <c r="V73" s="194">
        <f t="shared" ca="1" si="19"/>
        <v>1.440924252916189</v>
      </c>
      <c r="W73" s="194">
        <f t="shared" ca="1" si="19"/>
        <v>1.4702746015301893</v>
      </c>
      <c r="X73" s="194">
        <f t="shared" ca="1" si="19"/>
        <v>1.5128041145472575</v>
      </c>
      <c r="Y73" s="194">
        <f t="shared" ca="1" si="19"/>
        <v>1.5585878161749094</v>
      </c>
      <c r="Z73" s="194">
        <f t="shared" ca="1" si="19"/>
        <v>1.6076644557769144</v>
      </c>
      <c r="AA73" s="194">
        <f t="shared" ca="1" si="20"/>
        <v>1.6520541543932143</v>
      </c>
      <c r="AB73" s="194">
        <f t="shared" ca="1" si="20"/>
        <v>1.7025739941165308</v>
      </c>
      <c r="AC73" s="194">
        <f t="shared" ca="1" si="20"/>
        <v>1.7434949747984421</v>
      </c>
      <c r="AD73" s="194">
        <f t="shared" ca="1" si="20"/>
        <v>1.7814412033385827</v>
      </c>
      <c r="AE73" s="194">
        <f t="shared" ca="1" si="20"/>
        <v>1.8218542995084841</v>
      </c>
      <c r="AF73" s="194">
        <f t="shared" ca="1" si="20"/>
        <v>1.8640087140052755</v>
      </c>
      <c r="AG73" s="194">
        <f t="shared" ca="1" si="20"/>
        <v>1.9069612327352246</v>
      </c>
      <c r="AH73" s="194">
        <f t="shared" ca="1" si="20"/>
        <v>1.9544121571429725</v>
      </c>
      <c r="AI73" s="194">
        <f t="shared" ca="1" si="20"/>
        <v>2.0037495097381846</v>
      </c>
      <c r="AJ73" s="194">
        <f t="shared" ca="1" si="20"/>
        <v>2.0531594172636836</v>
      </c>
      <c r="AK73" s="194">
        <f t="shared" ca="1" si="20"/>
        <v>2.1044557529766466</v>
      </c>
      <c r="AL73" s="194">
        <f t="shared" ca="1" si="20"/>
        <v>2.1593798352039633</v>
      </c>
      <c r="AM73" s="194">
        <f t="shared" ca="1" si="20"/>
        <v>2.4255838744272453</v>
      </c>
      <c r="AN73" s="194">
        <f t="shared" ca="1" si="20"/>
        <v>2.7570873509088969</v>
      </c>
      <c r="AO73" s="194">
        <f t="shared" ca="1" si="20"/>
        <v>3.3439116270707769</v>
      </c>
      <c r="AP73" s="194">
        <f t="shared" ca="1" si="20"/>
        <v>3.9416191427757181</v>
      </c>
    </row>
    <row r="74" spans="1:48">
      <c r="A74" s="59" t="str">
        <f>'[4]TS BYDem'!A13</f>
        <v/>
      </c>
      <c r="B74" s="194" t="s">
        <v>288</v>
      </c>
      <c r="C74" s="194" t="s">
        <v>137</v>
      </c>
      <c r="D74" s="194" t="str">
        <f>'[4]TS BYDem'!D13</f>
        <v>IMIC</v>
      </c>
      <c r="E74" s="194" t="s">
        <v>137</v>
      </c>
      <c r="F74" s="194" t="s">
        <v>137</v>
      </c>
      <c r="G74" s="194" t="s">
        <v>137</v>
      </c>
      <c r="H74" s="194" t="s">
        <v>137</v>
      </c>
      <c r="I74" s="194">
        <v>0</v>
      </c>
      <c r="J74" s="194">
        <f>INDEX('[4]TS BYDem'!$J$10:$J$203,MATCH(D74,'[4]TS BYDem'!$D$10:$D$203,0))</f>
        <v>17.35324025908308</v>
      </c>
      <c r="K74" s="194">
        <f t="shared" ca="1" si="19"/>
        <v>17.811028475294727</v>
      </c>
      <c r="L74" s="194">
        <f t="shared" ca="1" si="19"/>
        <v>17.843022230989085</v>
      </c>
      <c r="M74" s="201">
        <f t="shared" si="21"/>
        <v>17.871174671764589</v>
      </c>
      <c r="N74" s="201">
        <f t="shared" si="22"/>
        <v>17.871174671764589</v>
      </c>
      <c r="O74" s="201">
        <f>INDEX('[4]TS BYDem'!$O$10:$O$203,MATCH(D74,'[4]TS BYDem'!$D$10:$D$203,0))</f>
        <v>17.871174671764589</v>
      </c>
      <c r="P74" s="194">
        <f t="shared" ca="1" si="19"/>
        <v>17.737142026092449</v>
      </c>
      <c r="Q74" s="194">
        <f t="shared" ca="1" si="19"/>
        <v>17.48724061797429</v>
      </c>
      <c r="R74" s="194">
        <f t="shared" ca="1" si="19"/>
        <v>16.115558922720439</v>
      </c>
      <c r="S74" s="194">
        <f t="shared" ca="1" si="19"/>
        <v>16.466249224488692</v>
      </c>
      <c r="T74" s="194">
        <f t="shared" ca="1" si="19"/>
        <v>16.765541926692041</v>
      </c>
      <c r="U74" s="194">
        <f t="shared" ca="1" si="19"/>
        <v>17.051628648358641</v>
      </c>
      <c r="V74" s="194">
        <f t="shared" ca="1" si="19"/>
        <v>17.32940392729278</v>
      </c>
      <c r="W74" s="194">
        <f t="shared" ca="1" si="19"/>
        <v>17.682388510284913</v>
      </c>
      <c r="X74" s="194">
        <f t="shared" ca="1" si="19"/>
        <v>18.193873488355234</v>
      </c>
      <c r="Y74" s="194">
        <f t="shared" ca="1" si="19"/>
        <v>18.744495255728857</v>
      </c>
      <c r="Z74" s="194">
        <f t="shared" ca="1" si="19"/>
        <v>19.334719835082083</v>
      </c>
      <c r="AA74" s="194">
        <f t="shared" ca="1" si="20"/>
        <v>19.868576501021202</v>
      </c>
      <c r="AB74" s="194">
        <f t="shared" ca="1" si="20"/>
        <v>20.476157855235776</v>
      </c>
      <c r="AC74" s="194">
        <f t="shared" ca="1" si="20"/>
        <v>20.968297675842315</v>
      </c>
      <c r="AD74" s="194">
        <f t="shared" ca="1" si="20"/>
        <v>21.42466137473809</v>
      </c>
      <c r="AE74" s="194">
        <f t="shared" ca="1" si="20"/>
        <v>21.910693077003764</v>
      </c>
      <c r="AF74" s="194">
        <f t="shared" ca="1" si="20"/>
        <v>22.417666899295252</v>
      </c>
      <c r="AG74" s="194">
        <f t="shared" ca="1" si="20"/>
        <v>22.934239193265235</v>
      </c>
      <c r="AH74" s="194">
        <f t="shared" ca="1" si="20"/>
        <v>23.50491196396856</v>
      </c>
      <c r="AI74" s="194">
        <f t="shared" ca="1" si="20"/>
        <v>24.098272031366513</v>
      </c>
      <c r="AJ74" s="194">
        <f t="shared" ca="1" si="20"/>
        <v>24.692504687098872</v>
      </c>
      <c r="AK74" s="194">
        <f t="shared" ca="1" si="20"/>
        <v>25.309424639525862</v>
      </c>
      <c r="AL74" s="194">
        <f t="shared" ca="1" si="20"/>
        <v>25.969974008673287</v>
      </c>
      <c r="AM74" s="194">
        <f t="shared" ca="1" si="20"/>
        <v>29.171500607618992</v>
      </c>
      <c r="AN74" s="194">
        <f t="shared" ca="1" si="20"/>
        <v>33.158356707532583</v>
      </c>
      <c r="AO74" s="194">
        <f t="shared" ca="1" si="20"/>
        <v>40.215851156230663</v>
      </c>
      <c r="AP74" s="194">
        <f t="shared" ca="1" si="20"/>
        <v>47.404233855090048</v>
      </c>
    </row>
    <row r="75" spans="1:48">
      <c r="A75" s="59" t="str">
        <f>'[4]TS BYDem'!A14</f>
        <v/>
      </c>
      <c r="B75" s="194" t="s">
        <v>288</v>
      </c>
      <c r="C75" s="194" t="s">
        <v>137</v>
      </c>
      <c r="D75" s="194" t="str">
        <f>'[4]TS BYDem'!D14</f>
        <v>IMIH</v>
      </c>
      <c r="E75" s="194" t="s">
        <v>137</v>
      </c>
      <c r="F75" s="194" t="s">
        <v>137</v>
      </c>
      <c r="G75" s="194" t="s">
        <v>137</v>
      </c>
      <c r="H75" s="194" t="s">
        <v>137</v>
      </c>
      <c r="I75" s="194">
        <v>0</v>
      </c>
      <c r="J75" s="194">
        <f>INDEX('[4]TS BYDem'!$J$10:$J$203,MATCH(D75,'[4]TS BYDem'!$D$10:$D$203,0))</f>
        <v>7.6954998524370488</v>
      </c>
      <c r="K75" s="194">
        <f t="shared" ca="1" si="19"/>
        <v>7.8985114570542425</v>
      </c>
      <c r="L75" s="194">
        <f t="shared" ca="1" si="19"/>
        <v>7.9126994668177781</v>
      </c>
      <c r="M75" s="201">
        <f t="shared" si="21"/>
        <v>7.9251840000000016</v>
      </c>
      <c r="N75" s="201">
        <f t="shared" si="22"/>
        <v>7.9251840000000016</v>
      </c>
      <c r="O75" s="201">
        <f>INDEX('[4]TS BYDem'!$O$10:$O$203,MATCH(D75,'[4]TS BYDem'!$D$10:$D$203,0))</f>
        <v>7.9251840000000016</v>
      </c>
      <c r="P75" s="194">
        <f t="shared" ca="1" si="19"/>
        <v>7.8657456363519334</v>
      </c>
      <c r="Q75" s="194">
        <f t="shared" ca="1" si="19"/>
        <v>7.754923898129845</v>
      </c>
      <c r="R75" s="194">
        <f t="shared" ca="1" si="19"/>
        <v>7.1466354098810019</v>
      </c>
      <c r="S75" s="194">
        <f t="shared" ca="1" si="19"/>
        <v>7.3021531763163576</v>
      </c>
      <c r="T75" s="194">
        <f t="shared" ca="1" si="19"/>
        <v>7.4348780686854239</v>
      </c>
      <c r="U75" s="194">
        <f t="shared" ca="1" si="19"/>
        <v>7.5617466126288049</v>
      </c>
      <c r="V75" s="194">
        <f t="shared" ca="1" si="19"/>
        <v>7.6849293488863433</v>
      </c>
      <c r="W75" s="194">
        <f t="shared" ca="1" si="19"/>
        <v>7.8414645414943456</v>
      </c>
      <c r="X75" s="194">
        <f t="shared" ca="1" si="19"/>
        <v>8.0682886109187102</v>
      </c>
      <c r="Y75" s="194">
        <f t="shared" ca="1" si="19"/>
        <v>8.3124683529328536</v>
      </c>
      <c r="Z75" s="194">
        <f t="shared" ca="1" si="19"/>
        <v>8.5742104308102149</v>
      </c>
      <c r="AA75" s="194">
        <f t="shared" ca="1" si="20"/>
        <v>8.8109554900971485</v>
      </c>
      <c r="AB75" s="194">
        <f t="shared" ca="1" si="20"/>
        <v>9.0803946352881706</v>
      </c>
      <c r="AC75" s="194">
        <f t="shared" ca="1" si="20"/>
        <v>9.2986398655916975</v>
      </c>
      <c r="AD75" s="194">
        <f t="shared" ca="1" si="20"/>
        <v>9.5010197511391148</v>
      </c>
      <c r="AE75" s="194">
        <f t="shared" ca="1" si="20"/>
        <v>9.7165562640452556</v>
      </c>
      <c r="AF75" s="194">
        <f t="shared" ca="1" si="20"/>
        <v>9.9413798080281435</v>
      </c>
      <c r="AG75" s="194">
        <f t="shared" ca="1" si="20"/>
        <v>10.170459907921206</v>
      </c>
      <c r="AH75" s="194">
        <f t="shared" ca="1" si="20"/>
        <v>10.423531504762527</v>
      </c>
      <c r="AI75" s="194">
        <f t="shared" ca="1" si="20"/>
        <v>10.686664051936992</v>
      </c>
      <c r="AJ75" s="194">
        <f t="shared" ca="1" si="20"/>
        <v>10.950183558739653</v>
      </c>
      <c r="AK75" s="194">
        <f t="shared" ca="1" si="20"/>
        <v>11.223764015875457</v>
      </c>
      <c r="AL75" s="194">
        <f t="shared" ca="1" si="20"/>
        <v>11.516692454421145</v>
      </c>
      <c r="AM75" s="194">
        <f t="shared" ca="1" si="20"/>
        <v>12.936447330278652</v>
      </c>
      <c r="AN75" s="194">
        <f t="shared" ca="1" si="20"/>
        <v>14.704465871514129</v>
      </c>
      <c r="AO75" s="194">
        <f t="shared" ca="1" si="20"/>
        <v>17.834195344377491</v>
      </c>
      <c r="AP75" s="194">
        <f t="shared" ca="1" si="20"/>
        <v>21.021968761470514</v>
      </c>
    </row>
    <row r="76" spans="1:48">
      <c r="A76" s="59" t="str">
        <f>'[4]TS BYDem'!A15</f>
        <v/>
      </c>
      <c r="B76" s="194" t="s">
        <v>288</v>
      </c>
      <c r="C76" s="194" t="s">
        <v>137</v>
      </c>
      <c r="D76" s="194" t="str">
        <f>'[4]TS BYDem'!D15</f>
        <v>IMIP</v>
      </c>
      <c r="E76" s="194" t="s">
        <v>137</v>
      </c>
      <c r="F76" s="194" t="s">
        <v>137</v>
      </c>
      <c r="G76" s="194" t="s">
        <v>137</v>
      </c>
      <c r="H76" s="194" t="s">
        <v>137</v>
      </c>
      <c r="I76" s="194">
        <v>0</v>
      </c>
      <c r="J76" s="194">
        <f>INDEX('[4]TS BYDem'!$J$10:$J$203,MATCH(D76,'[4]TS BYDem'!$D$10:$D$203,0))</f>
        <v>15.294517272248457</v>
      </c>
      <c r="K76" s="194">
        <f t="shared" ca="1" si="19"/>
        <v>15.697995220766805</v>
      </c>
      <c r="L76" s="194">
        <f t="shared" ca="1" si="19"/>
        <v>15.726193357931152</v>
      </c>
      <c r="M76" s="201">
        <f t="shared" si="21"/>
        <v>15.751005899293361</v>
      </c>
      <c r="N76" s="201">
        <f t="shared" si="22"/>
        <v>15.751005899293361</v>
      </c>
      <c r="O76" s="201">
        <f>INDEX('[4]TS BYDem'!$O$10:$O$203,MATCH(D76,'[4]TS BYDem'!$D$10:$D$203,0))</f>
        <v>15.751005899293361</v>
      </c>
      <c r="P76" s="194">
        <f t="shared" ca="1" si="19"/>
        <v>15.632874381278754</v>
      </c>
      <c r="Q76" s="194">
        <f t="shared" ca="1" si="19"/>
        <v>15.412620333864073</v>
      </c>
      <c r="R76" s="194">
        <f t="shared" ca="1" si="19"/>
        <v>14.203669782447253</v>
      </c>
      <c r="S76" s="194">
        <f t="shared" ca="1" si="19"/>
        <v>14.512755509235202</v>
      </c>
      <c r="T76" s="194">
        <f t="shared" ca="1" si="19"/>
        <v>14.776541253854916</v>
      </c>
      <c r="U76" s="194">
        <f t="shared" ca="1" si="19"/>
        <v>15.028687725670201</v>
      </c>
      <c r="V76" s="194">
        <f t="shared" ca="1" si="19"/>
        <v>15.273508792977102</v>
      </c>
      <c r="W76" s="194">
        <f t="shared" ca="1" si="19"/>
        <v>15.584616616116055</v>
      </c>
      <c r="X76" s="194">
        <f t="shared" ca="1" si="19"/>
        <v>16.035420945151806</v>
      </c>
      <c r="Y76" s="194">
        <f t="shared" ca="1" si="19"/>
        <v>16.520719022389219</v>
      </c>
      <c r="Z76" s="194">
        <f t="shared" ca="1" si="19"/>
        <v>17.040921583331603</v>
      </c>
      <c r="AA76" s="194">
        <f t="shared" ca="1" si="20"/>
        <v>17.511443507549014</v>
      </c>
      <c r="AB76" s="194">
        <f t="shared" ca="1" si="20"/>
        <v>18.046943701034028</v>
      </c>
      <c r="AC76" s="194">
        <f t="shared" ca="1" si="20"/>
        <v>18.480697909138659</v>
      </c>
      <c r="AD76" s="194">
        <f t="shared" ca="1" si="20"/>
        <v>18.882920339703762</v>
      </c>
      <c r="AE76" s="194">
        <f t="shared" ca="1" si="20"/>
        <v>19.311291073594326</v>
      </c>
      <c r="AF76" s="194">
        <f t="shared" ca="1" si="20"/>
        <v>19.758119433361685</v>
      </c>
      <c r="AG76" s="194">
        <f t="shared" ca="1" si="20"/>
        <v>20.213407538322571</v>
      </c>
      <c r="AH76" s="194">
        <f t="shared" ca="1" si="20"/>
        <v>20.716377843465171</v>
      </c>
      <c r="AI76" s="194">
        <f t="shared" ca="1" si="20"/>
        <v>21.239343909974298</v>
      </c>
      <c r="AJ76" s="194">
        <f t="shared" ca="1" si="20"/>
        <v>21.763079044228292</v>
      </c>
      <c r="AK76" s="194">
        <f t="shared" ca="1" si="20"/>
        <v>22.306809939848812</v>
      </c>
      <c r="AL76" s="194">
        <f t="shared" ca="1" si="20"/>
        <v>22.888994222712647</v>
      </c>
      <c r="AM76" s="194">
        <f t="shared" ca="1" si="20"/>
        <v>25.710703778627323</v>
      </c>
      <c r="AN76" s="194">
        <f t="shared" ca="1" si="20"/>
        <v>29.224574304921731</v>
      </c>
      <c r="AO76" s="194">
        <f t="shared" ca="1" si="20"/>
        <v>35.44479422540094</v>
      </c>
      <c r="AP76" s="194">
        <f t="shared" ca="1" si="20"/>
        <v>41.780374307610103</v>
      </c>
    </row>
    <row r="77" spans="1:48">
      <c r="A77" s="59" t="str">
        <f>'[4]TS BYDem'!A16</f>
        <v/>
      </c>
      <c r="B77" s="194" t="s">
        <v>288</v>
      </c>
      <c r="C77" s="194" t="s">
        <v>137</v>
      </c>
      <c r="D77" s="194" t="str">
        <f>'[4]TS BYDem'!D16</f>
        <v>IMIF</v>
      </c>
      <c r="E77" s="194" t="s">
        <v>137</v>
      </c>
      <c r="F77" s="194" t="s">
        <v>137</v>
      </c>
      <c r="G77" s="194" t="s">
        <v>137</v>
      </c>
      <c r="H77" s="194" t="s">
        <v>137</v>
      </c>
      <c r="I77" s="194">
        <v>0</v>
      </c>
      <c r="J77" s="194">
        <f>INDEX('[4]TS BYDem'!$J$10:$J$203,MATCH(D77,'[4]TS BYDem'!$D$10:$D$203,0))</f>
        <v>5.8889063414920679</v>
      </c>
      <c r="K77" s="194">
        <f t="shared" ca="1" si="19"/>
        <v>6.0442589954782893</v>
      </c>
      <c r="L77" s="194">
        <f t="shared" ca="1" si="19"/>
        <v>6.055116231820536</v>
      </c>
      <c r="M77" s="201">
        <f t="shared" si="21"/>
        <v>6.0646698992933636</v>
      </c>
      <c r="N77" s="201">
        <f t="shared" si="22"/>
        <v>6.0646698992933636</v>
      </c>
      <c r="O77" s="201">
        <f>INDEX('[4]TS BYDem'!$O$10:$O$203,MATCH(D77,'[4]TS BYDem'!$D$10:$D$203,0))</f>
        <v>6.0646698992933636</v>
      </c>
      <c r="P77" s="194">
        <f t="shared" ca="1" si="19"/>
        <v>6.0191852701819517</v>
      </c>
      <c r="Q77" s="194">
        <f t="shared" ca="1" si="19"/>
        <v>5.9343800139276022</v>
      </c>
      <c r="R77" s="194">
        <f t="shared" ca="1" si="19"/>
        <v>5.4688931703704782</v>
      </c>
      <c r="S77" s="194">
        <f t="shared" ca="1" si="19"/>
        <v>5.5879016270707691</v>
      </c>
      <c r="T77" s="194">
        <f t="shared" ca="1" si="19"/>
        <v>5.6894680587949571</v>
      </c>
      <c r="U77" s="194">
        <f t="shared" ca="1" si="19"/>
        <v>5.7865529769016657</v>
      </c>
      <c r="V77" s="194">
        <f t="shared" ca="1" si="19"/>
        <v>5.8808173665604651</v>
      </c>
      <c r="W77" s="194">
        <f t="shared" ca="1" si="19"/>
        <v>6.0006043987340822</v>
      </c>
      <c r="X77" s="194">
        <f t="shared" ca="1" si="19"/>
        <v>6.1741793095845008</v>
      </c>
      <c r="Y77" s="194">
        <f t="shared" ca="1" si="19"/>
        <v>6.3610354799157376</v>
      </c>
      <c r="Z77" s="194">
        <f t="shared" ca="1" si="19"/>
        <v>6.5613310567857921</v>
      </c>
      <c r="AA77" s="194">
        <f t="shared" ca="1" si="20"/>
        <v>6.7424979085413961</v>
      </c>
      <c r="AB77" s="194">
        <f t="shared" ca="1" si="20"/>
        <v>6.9486835912373843</v>
      </c>
      <c r="AC77" s="194">
        <f t="shared" ca="1" si="20"/>
        <v>7.1156936289710373</v>
      </c>
      <c r="AD77" s="194">
        <f t="shared" ca="1" si="20"/>
        <v>7.2705628660892989</v>
      </c>
      <c r="AE77" s="194">
        <f t="shared" ca="1" si="20"/>
        <v>7.4355000842056889</v>
      </c>
      <c r="AF77" s="194">
        <f t="shared" ca="1" si="20"/>
        <v>7.607544112438406</v>
      </c>
      <c r="AG77" s="194">
        <f t="shared" ca="1" si="20"/>
        <v>7.7828454286411048</v>
      </c>
      <c r="AH77" s="194">
        <f t="shared" ca="1" si="20"/>
        <v>7.9765060043109779</v>
      </c>
      <c r="AI77" s="194">
        <f t="shared" ca="1" si="20"/>
        <v>8.1778656242735384</v>
      </c>
      <c r="AJ77" s="194">
        <f t="shared" ca="1" si="20"/>
        <v>8.3795213613242776</v>
      </c>
      <c r="AK77" s="194">
        <f t="shared" ca="1" si="20"/>
        <v>8.5888761426677043</v>
      </c>
      <c r="AL77" s="194">
        <f t="shared" ca="1" si="20"/>
        <v>8.8130367784201411</v>
      </c>
      <c r="AM77" s="194">
        <f t="shared" ca="1" si="20"/>
        <v>9.8994903749534195</v>
      </c>
      <c r="AN77" s="194">
        <f t="shared" ca="1" si="20"/>
        <v>11.252449350848913</v>
      </c>
      <c r="AO77" s="194">
        <f t="shared" ca="1" si="20"/>
        <v>13.647444360050681</v>
      </c>
      <c r="AP77" s="194">
        <f t="shared" ca="1" si="20"/>
        <v>16.086856932479481</v>
      </c>
    </row>
    <row r="78" spans="1:48">
      <c r="A78" s="59" t="str">
        <f>'[4]TS BYDem'!A17</f>
        <v/>
      </c>
      <c r="B78" s="194" t="s">
        <v>288</v>
      </c>
      <c r="C78" s="194" t="s">
        <v>137</v>
      </c>
      <c r="D78" s="194" t="str">
        <f>'[4]TS BYDem'!D17</f>
        <v>IMIO</v>
      </c>
      <c r="E78" s="194" t="s">
        <v>137</v>
      </c>
      <c r="F78" s="194" t="s">
        <v>137</v>
      </c>
      <c r="G78" s="194" t="s">
        <v>137</v>
      </c>
      <c r="H78" s="194" t="s">
        <v>137</v>
      </c>
      <c r="I78" s="194">
        <v>0</v>
      </c>
      <c r="J78" s="194">
        <f>INDEX('[4]TS BYDem'!$J$10:$J$203,MATCH(D78,'[4]TS BYDem'!$D$10:$D$203,0))</f>
        <v>28.894976807848312</v>
      </c>
      <c r="K78" s="194">
        <f t="shared" ca="1" si="19"/>
        <v>29.657242511132058</v>
      </c>
      <c r="L78" s="194">
        <f t="shared" ca="1" si="19"/>
        <v>29.710515491565818</v>
      </c>
      <c r="M78" s="201">
        <f t="shared" si="21"/>
        <v>29.757392277177463</v>
      </c>
      <c r="N78" s="201">
        <f t="shared" si="22"/>
        <v>29.757392277177463</v>
      </c>
      <c r="O78" s="201">
        <f>INDEX('[4]TS BYDem'!$O$10:$O$203,MATCH(D78,'[4]TS BYDem'!$D$10:$D$203,0))</f>
        <v>29.757392277177463</v>
      </c>
      <c r="P78" s="194">
        <f t="shared" ca="1" si="19"/>
        <v>29.534213773891089</v>
      </c>
      <c r="Q78" s="194">
        <f t="shared" ca="1" si="19"/>
        <v>29.1181015502363</v>
      </c>
      <c r="R78" s="194">
        <f t="shared" ca="1" si="19"/>
        <v>26.834106735414075</v>
      </c>
      <c r="S78" s="194">
        <f t="shared" ca="1" si="19"/>
        <v>27.41804310608854</v>
      </c>
      <c r="T78" s="194">
        <f t="shared" ca="1" si="19"/>
        <v>27.916397048050325</v>
      </c>
      <c r="U78" s="194">
        <f t="shared" ca="1" si="19"/>
        <v>28.392761638419142</v>
      </c>
      <c r="V78" s="194">
        <f t="shared" ca="1" si="19"/>
        <v>28.855286799297634</v>
      </c>
      <c r="W78" s="194">
        <f t="shared" ca="1" si="19"/>
        <v>29.44304339039001</v>
      </c>
      <c r="X78" s="194">
        <f t="shared" ca="1" si="19"/>
        <v>30.294719870300952</v>
      </c>
      <c r="Y78" s="194">
        <f t="shared" ca="1" si="19"/>
        <v>31.211563235610178</v>
      </c>
      <c r="Z78" s="194">
        <f t="shared" ca="1" si="19"/>
        <v>32.194349463266235</v>
      </c>
      <c r="AA78" s="194">
        <f t="shared" ca="1" si="20"/>
        <v>33.083277164993405</v>
      </c>
      <c r="AB78" s="194">
        <f t="shared" ca="1" si="20"/>
        <v>34.094964254943193</v>
      </c>
      <c r="AC78" s="194">
        <f t="shared" ca="1" si="20"/>
        <v>34.914429005637309</v>
      </c>
      <c r="AD78" s="194">
        <f t="shared" ca="1" si="20"/>
        <v>35.67432273722067</v>
      </c>
      <c r="AE78" s="194">
        <f t="shared" ca="1" si="20"/>
        <v>36.48361682611538</v>
      </c>
      <c r="AF78" s="194">
        <f t="shared" ca="1" si="20"/>
        <v>37.327781755465168</v>
      </c>
      <c r="AG78" s="194">
        <f t="shared" ca="1" si="20"/>
        <v>38.187929153356855</v>
      </c>
      <c r="AH78" s="194">
        <f t="shared" ca="1" si="20"/>
        <v>39.138159555757468</v>
      </c>
      <c r="AI78" s="194">
        <f t="shared" ca="1" si="20"/>
        <v>40.12616670198441</v>
      </c>
      <c r="AJ78" s="194">
        <f t="shared" ca="1" si="20"/>
        <v>41.11562679989698</v>
      </c>
      <c r="AK78" s="194">
        <f t="shared" ca="1" si="20"/>
        <v>42.142863641635877</v>
      </c>
      <c r="AL78" s="194">
        <f t="shared" ca="1" si="20"/>
        <v>43.242748067656159</v>
      </c>
      <c r="AM78" s="194">
        <f t="shared" ca="1" si="20"/>
        <v>48.573627802224742</v>
      </c>
      <c r="AN78" s="194">
        <f t="shared" ca="1" si="20"/>
        <v>55.212164053858409</v>
      </c>
      <c r="AO78" s="194">
        <f t="shared" ca="1" si="20"/>
        <v>66.963637287216628</v>
      </c>
      <c r="AP78" s="194">
        <f t="shared" ca="1" si="20"/>
        <v>78.93305327341902</v>
      </c>
    </row>
    <row r="79" spans="1:48">
      <c r="A79" s="59" t="str">
        <f>'[4]TS BYDem'!A18</f>
        <v/>
      </c>
      <c r="B79" s="194" t="s">
        <v>288</v>
      </c>
      <c r="C79" s="194" t="s">
        <v>137</v>
      </c>
      <c r="D79" s="194" t="str">
        <f>'[4]TS BYDem'!D18</f>
        <v>IMIE</v>
      </c>
      <c r="E79" s="194" t="s">
        <v>137</v>
      </c>
      <c r="F79" s="194" t="s">
        <v>137</v>
      </c>
      <c r="G79" s="194" t="s">
        <v>137</v>
      </c>
      <c r="H79" s="194" t="s">
        <v>137</v>
      </c>
      <c r="I79" s="194">
        <v>0</v>
      </c>
      <c r="J79" s="194">
        <f>INDEX('[4]TS BYDem'!$J$10:$J$203,MATCH(D79,'[4]TS BYDem'!$D$10:$D$203,0))</f>
        <v>0.18682963530638833</v>
      </c>
      <c r="K79" s="194">
        <f t="shared" ca="1" si="19"/>
        <v>0.19175830592959464</v>
      </c>
      <c r="L79" s="194">
        <f t="shared" ca="1" si="19"/>
        <v>0.1921027592777427</v>
      </c>
      <c r="M79" s="201">
        <f t="shared" si="21"/>
        <v>0.19240585599999999</v>
      </c>
      <c r="N79" s="201">
        <f t="shared" si="22"/>
        <v>0.19240585599999999</v>
      </c>
      <c r="O79" s="201">
        <f>INDEX('[4]TS BYDem'!$O$10:$O$203,MATCH(D79,'[4]TS BYDem'!$D$10:$D$203,0))</f>
        <v>0.19240585599999999</v>
      </c>
      <c r="P79" s="194">
        <f t="shared" ca="1" si="19"/>
        <v>0.19096282461587744</v>
      </c>
      <c r="Q79" s="194">
        <f t="shared" ca="1" si="19"/>
        <v>0.18827231908237452</v>
      </c>
      <c r="R79" s="194">
        <f t="shared" ca="1" si="19"/>
        <v>0.17350442633988872</v>
      </c>
      <c r="S79" s="194">
        <f t="shared" ca="1" si="19"/>
        <v>0.17728005211390263</v>
      </c>
      <c r="T79" s="194">
        <f t="shared" ca="1" si="19"/>
        <v>0.1805023175564183</v>
      </c>
      <c r="U79" s="194">
        <f t="shared" ca="1" si="19"/>
        <v>0.18358240387326594</v>
      </c>
      <c r="V79" s="194">
        <f t="shared" ca="1" si="19"/>
        <v>0.18657300697018506</v>
      </c>
      <c r="W79" s="194">
        <f t="shared" ca="1" si="19"/>
        <v>0.19037333359072378</v>
      </c>
      <c r="X79" s="194">
        <f t="shared" ca="1" si="19"/>
        <v>0.19588011794285973</v>
      </c>
      <c r="Y79" s="194">
        <f t="shared" ca="1" si="19"/>
        <v>0.2018082594573142</v>
      </c>
      <c r="Z79" s="194">
        <f t="shared" ca="1" si="19"/>
        <v>0.20816277545911457</v>
      </c>
      <c r="AA79" s="194">
        <f t="shared" ca="1" si="20"/>
        <v>0.21391041939846955</v>
      </c>
      <c r="AB79" s="194">
        <f t="shared" ca="1" si="20"/>
        <v>0.22045180309005158</v>
      </c>
      <c r="AC79" s="194">
        <f t="shared" ca="1" si="20"/>
        <v>0.22575031229242054</v>
      </c>
      <c r="AD79" s="194">
        <f t="shared" ca="1" si="20"/>
        <v>0.23066364618043281</v>
      </c>
      <c r="AE79" s="194">
        <f t="shared" ca="1" si="20"/>
        <v>0.23589639374376523</v>
      </c>
      <c r="AF79" s="194">
        <f t="shared" ca="1" si="20"/>
        <v>0.24135460978379422</v>
      </c>
      <c r="AG79" s="194">
        <f t="shared" ca="1" si="20"/>
        <v>0.24691616554230914</v>
      </c>
      <c r="AH79" s="194">
        <f t="shared" ca="1" si="20"/>
        <v>0.2530601815322901</v>
      </c>
      <c r="AI79" s="194">
        <f t="shared" ca="1" si="20"/>
        <v>0.25944845503869235</v>
      </c>
      <c r="AJ79" s="194">
        <f t="shared" ca="1" si="20"/>
        <v>0.26584612306495697</v>
      </c>
      <c r="AK79" s="194">
        <f t="shared" ca="1" si="20"/>
        <v>0.27248804860764286</v>
      </c>
      <c r="AL79" s="194">
        <f t="shared" ca="1" si="20"/>
        <v>0.27959970014344654</v>
      </c>
      <c r="AM79" s="194">
        <f t="shared" ca="1" si="20"/>
        <v>0.31406819351843152</v>
      </c>
      <c r="AN79" s="194">
        <f t="shared" ca="1" si="20"/>
        <v>0.35699175476953726</v>
      </c>
      <c r="AO79" s="194">
        <f t="shared" ca="1" si="20"/>
        <v>0.43297463141627551</v>
      </c>
      <c r="AP79" s="194">
        <f t="shared" ca="1" si="20"/>
        <v>0.51036668604236712</v>
      </c>
    </row>
    <row r="80" spans="1:48">
      <c r="A80" s="59" t="str">
        <f>'[4]TS BYDem'!A19</f>
        <v>*</v>
      </c>
      <c r="B80" s="194" t="s">
        <v>288</v>
      </c>
      <c r="C80" s="194" t="s">
        <v>137</v>
      </c>
      <c r="D80" s="194">
        <f>'[4]TS BYDem'!D19</f>
        <v>0</v>
      </c>
      <c r="E80" s="194" t="s">
        <v>137</v>
      </c>
      <c r="F80" s="194" t="s">
        <v>137</v>
      </c>
      <c r="G80" s="194" t="s">
        <v>137</v>
      </c>
      <c r="H80" s="194" t="s">
        <v>137</v>
      </c>
      <c r="I80" s="194">
        <v>0</v>
      </c>
      <c r="J80" s="194" t="str">
        <f>INDEX('[4]TS BYDem'!$J$10:$J$203,MATCH(D80,'[4]TS BYDem'!$D$10:$D$203,0))</f>
        <v/>
      </c>
      <c r="K80" s="194" t="e">
        <f t="shared" ca="1" si="19"/>
        <v>#VALUE!</v>
      </c>
      <c r="L80" s="194" t="e">
        <f t="shared" ca="1" si="19"/>
        <v>#VALUE!</v>
      </c>
      <c r="M80" s="194" t="e">
        <f t="shared" ca="1" si="19"/>
        <v>#VALUE!</v>
      </c>
      <c r="N80" s="194" t="e">
        <f t="shared" ca="1" si="19"/>
        <v>#VALUE!</v>
      </c>
      <c r="O80" s="194" t="e">
        <f t="shared" ca="1" si="19"/>
        <v>#VALUE!</v>
      </c>
      <c r="P80" s="194" t="e">
        <f t="shared" ca="1" si="19"/>
        <v>#VALUE!</v>
      </c>
      <c r="Q80" s="194" t="e">
        <f t="shared" ca="1" si="19"/>
        <v>#VALUE!</v>
      </c>
      <c r="R80" s="194" t="e">
        <f t="shared" ca="1" si="19"/>
        <v>#VALUE!</v>
      </c>
      <c r="S80" s="194" t="e">
        <f t="shared" ca="1" si="19"/>
        <v>#VALUE!</v>
      </c>
      <c r="T80" s="194" t="e">
        <f t="shared" ca="1" si="19"/>
        <v>#VALUE!</v>
      </c>
      <c r="U80" s="194" t="e">
        <f t="shared" ca="1" si="19"/>
        <v>#VALUE!</v>
      </c>
      <c r="V80" s="194" t="e">
        <f t="shared" ca="1" si="19"/>
        <v>#VALUE!</v>
      </c>
      <c r="W80" s="194" t="e">
        <f t="shared" ca="1" si="19"/>
        <v>#VALUE!</v>
      </c>
      <c r="X80" s="194" t="e">
        <f t="shared" ca="1" si="19"/>
        <v>#VALUE!</v>
      </c>
      <c r="Y80" s="194" t="e">
        <f t="shared" ca="1" si="19"/>
        <v>#VALUE!</v>
      </c>
      <c r="Z80" s="194" t="e">
        <f t="shared" ca="1" si="19"/>
        <v>#VALUE!</v>
      </c>
      <c r="AA80" s="194" t="e">
        <f t="shared" ca="1" si="20"/>
        <v>#VALUE!</v>
      </c>
      <c r="AB80" s="194" t="e">
        <f t="shared" ca="1" si="20"/>
        <v>#VALUE!</v>
      </c>
      <c r="AC80" s="194" t="e">
        <f t="shared" ca="1" si="20"/>
        <v>#VALUE!</v>
      </c>
      <c r="AD80" s="194" t="e">
        <f t="shared" ca="1" si="20"/>
        <v>#VALUE!</v>
      </c>
      <c r="AE80" s="194" t="e">
        <f t="shared" ca="1" si="20"/>
        <v>#VALUE!</v>
      </c>
      <c r="AF80" s="194" t="e">
        <f t="shared" ca="1" si="20"/>
        <v>#VALUE!</v>
      </c>
      <c r="AG80" s="194" t="e">
        <f t="shared" ca="1" si="20"/>
        <v>#VALUE!</v>
      </c>
      <c r="AH80" s="194" t="e">
        <f t="shared" ca="1" si="20"/>
        <v>#VALUE!</v>
      </c>
      <c r="AI80" s="194" t="e">
        <f t="shared" ca="1" si="20"/>
        <v>#VALUE!</v>
      </c>
      <c r="AJ80" s="194" t="e">
        <f t="shared" ca="1" si="20"/>
        <v>#VALUE!</v>
      </c>
      <c r="AK80" s="194" t="e">
        <f t="shared" ca="1" si="20"/>
        <v>#VALUE!</v>
      </c>
      <c r="AL80" s="194" t="e">
        <f t="shared" ca="1" si="20"/>
        <v>#VALUE!</v>
      </c>
      <c r="AM80" s="194" t="e">
        <f t="shared" ca="1" si="20"/>
        <v>#VALUE!</v>
      </c>
      <c r="AN80" s="194" t="e">
        <f t="shared" ca="1" si="20"/>
        <v>#VALUE!</v>
      </c>
      <c r="AO80" s="194" t="e">
        <f t="shared" ca="1" si="20"/>
        <v>#VALUE!</v>
      </c>
      <c r="AP80" s="194" t="e">
        <f t="shared" ca="1" si="20"/>
        <v>#VALUE!</v>
      </c>
    </row>
    <row r="81" spans="1:42">
      <c r="A81" s="59" t="str">
        <f>'[4]TS BYDem'!A20</f>
        <v/>
      </c>
      <c r="B81" s="194" t="s">
        <v>288</v>
      </c>
      <c r="C81" s="194" t="s">
        <v>137</v>
      </c>
      <c r="D81" s="194" t="str">
        <f>'[4]TS BYDem'!D20</f>
        <v>IMIS</v>
      </c>
      <c r="E81" s="194" t="s">
        <v>137</v>
      </c>
      <c r="F81" s="194" t="s">
        <v>137</v>
      </c>
      <c r="G81" s="194" t="s">
        <v>137</v>
      </c>
      <c r="H81" s="194" t="s">
        <v>137</v>
      </c>
      <c r="I81" s="194">
        <v>0</v>
      </c>
      <c r="J81" s="194">
        <f>INDEX('[4]TS BYDem'!$J$10:$J$203,MATCH(D81,'[4]TS BYDem'!$D$10:$D$203,0))</f>
        <v>20.275122960000004</v>
      </c>
      <c r="K81" s="194">
        <f t="shared" ca="1" si="19"/>
        <v>20.809992081544721</v>
      </c>
      <c r="L81" s="194">
        <f t="shared" ca="1" si="19"/>
        <v>20.847372842772632</v>
      </c>
      <c r="M81" s="201">
        <f t="shared" ref="M81" si="23">O81</f>
        <v>0.90805719120000006</v>
      </c>
      <c r="N81" s="201">
        <f t="shared" si="22"/>
        <v>0.90805719120000006</v>
      </c>
      <c r="O81" s="201">
        <f>INDEX('[4]TS BYDem'!$O$10:$O$203,MATCH(D81,'[4]TS BYDem'!$D$10:$D$203,0))</f>
        <v>0.90805719120000006</v>
      </c>
      <c r="P81" s="194">
        <f t="shared" ca="1" si="19"/>
        <v>0.90124682142892731</v>
      </c>
      <c r="Q81" s="194">
        <f t="shared" ca="1" si="19"/>
        <v>0.8885490119731656</v>
      </c>
      <c r="R81" s="194">
        <f t="shared" ca="1" si="19"/>
        <v>0.81885211457891727</v>
      </c>
      <c r="S81" s="194">
        <f t="shared" ca="1" si="19"/>
        <v>0.83667113634181722</v>
      </c>
      <c r="T81" s="194">
        <f t="shared" ca="1" si="19"/>
        <v>0.8518785804802721</v>
      </c>
      <c r="U81" s="194">
        <f t="shared" ca="1" si="19"/>
        <v>0.86641501189496983</v>
      </c>
      <c r="V81" s="194">
        <f t="shared" ca="1" si="19"/>
        <v>0.88052912829786345</v>
      </c>
      <c r="W81" s="194">
        <f t="shared" ca="1" si="19"/>
        <v>0.89846472541757361</v>
      </c>
      <c r="X81" s="194">
        <f t="shared" ca="1" si="19"/>
        <v>0.924453929879961</v>
      </c>
      <c r="Y81" s="194">
        <f t="shared" ca="1" si="19"/>
        <v>0.95243172455088643</v>
      </c>
      <c r="Z81" s="194">
        <f t="shared" ca="1" si="19"/>
        <v>0.98242178863724305</v>
      </c>
      <c r="AA81" s="194">
        <f t="shared" ca="1" si="20"/>
        <v>1.0095477271096585</v>
      </c>
      <c r="AB81" s="194">
        <f t="shared" ca="1" si="20"/>
        <v>1.0404197110764015</v>
      </c>
      <c r="AC81" s="194">
        <f t="shared" ca="1" si="20"/>
        <v>1.0654259634009176</v>
      </c>
      <c r="AD81" s="194">
        <f t="shared" ca="1" si="20"/>
        <v>1.088614385325956</v>
      </c>
      <c r="AE81" s="194">
        <f t="shared" ca="1" si="20"/>
        <v>1.1133102763627563</v>
      </c>
      <c r="AF81" s="194">
        <f t="shared" ca="1" si="20"/>
        <v>1.1390702632431531</v>
      </c>
      <c r="AG81" s="194">
        <f t="shared" ca="1" si="20"/>
        <v>1.1653179607185316</v>
      </c>
      <c r="AH81" s="194">
        <f t="shared" ca="1" si="20"/>
        <v>1.1943145724565341</v>
      </c>
      <c r="AI81" s="194">
        <f t="shared" ca="1" si="20"/>
        <v>1.2244639546917662</v>
      </c>
      <c r="AJ81" s="194">
        <f t="shared" ca="1" si="20"/>
        <v>1.2546576742538147</v>
      </c>
      <c r="AK81" s="194">
        <f t="shared" ca="1" si="20"/>
        <v>1.2860041643130928</v>
      </c>
      <c r="AL81" s="194">
        <f t="shared" ca="1" si="20"/>
        <v>1.3195675207131967</v>
      </c>
      <c r="AM81" s="194">
        <f t="shared" ca="1" si="20"/>
        <v>1.4822411728029994</v>
      </c>
      <c r="AN81" s="194">
        <f t="shared" ca="1" si="20"/>
        <v>1.6848184190276685</v>
      </c>
      <c r="AO81" s="194">
        <f t="shared" ca="1" si="20"/>
        <v>2.0434187183196673</v>
      </c>
      <c r="AP81" s="194">
        <f t="shared" ca="1" si="20"/>
        <v>2.4086696166341435</v>
      </c>
    </row>
    <row r="82" spans="1:42">
      <c r="A82" s="59" t="str">
        <f>'[4]TS BYDem'!A21</f>
        <v>*</v>
      </c>
      <c r="B82" s="194" t="s">
        <v>288</v>
      </c>
      <c r="C82" s="194" t="s">
        <v>137</v>
      </c>
      <c r="D82" s="194" t="str">
        <f>'[4]TS BYDem'!D21</f>
        <v>IMIS</v>
      </c>
      <c r="E82" s="194" t="s">
        <v>137</v>
      </c>
      <c r="F82" s="194" t="s">
        <v>137</v>
      </c>
      <c r="G82" s="194" t="s">
        <v>137</v>
      </c>
      <c r="H82" s="194" t="s">
        <v>137</v>
      </c>
      <c r="I82" s="194">
        <v>0</v>
      </c>
      <c r="J82" s="194">
        <f>INDEX('[4]TS BYDem'!$J$10:$J$203,MATCH(D82,'[4]TS BYDem'!$D$10:$D$203,0))</f>
        <v>20.275122960000004</v>
      </c>
      <c r="K82" s="194">
        <f t="shared" ca="1" si="19"/>
        <v>20.809992081544721</v>
      </c>
      <c r="L82" s="194">
        <f t="shared" ca="1" si="19"/>
        <v>20.847372842772632</v>
      </c>
      <c r="M82" s="194">
        <f t="shared" ca="1" si="19"/>
        <v>21.377183659261441</v>
      </c>
      <c r="N82" s="194">
        <f t="shared" ca="1" si="19"/>
        <v>21.051515231302332</v>
      </c>
      <c r="O82" s="194">
        <f t="shared" ca="1" si="19"/>
        <v>21.595161411752844</v>
      </c>
      <c r="P82" s="194">
        <f t="shared" ca="1" si="19"/>
        <v>21.433199108160839</v>
      </c>
      <c r="Q82" s="194">
        <f t="shared" ca="1" si="19"/>
        <v>21.131223365410005</v>
      </c>
      <c r="R82" s="194">
        <f t="shared" ca="1" si="19"/>
        <v>19.47371130150778</v>
      </c>
      <c r="S82" s="194">
        <f t="shared" ca="1" si="19"/>
        <v>19.897478278850741</v>
      </c>
      <c r="T82" s="194">
        <f t="shared" ca="1" si="19"/>
        <v>20.259137449674725</v>
      </c>
      <c r="U82" s="194">
        <f t="shared" ca="1" si="19"/>
        <v>20.604838784120886</v>
      </c>
      <c r="V82" s="194">
        <f t="shared" ca="1" si="19"/>
        <v>20.94049674141537</v>
      </c>
      <c r="W82" s="194">
        <f t="shared" ca="1" si="19"/>
        <v>21.367036081194687</v>
      </c>
      <c r="X82" s="194">
        <f t="shared" ca="1" si="19"/>
        <v>21.985104051766697</v>
      </c>
      <c r="Y82" s="194">
        <f t="shared" ca="1" si="19"/>
        <v>22.650464116880087</v>
      </c>
      <c r="Z82" s="194">
        <f t="shared" ca="1" si="19"/>
        <v>23.363679408791189</v>
      </c>
      <c r="AA82" s="194">
        <f t="shared" ca="1" si="20"/>
        <v>24.00878086873664</v>
      </c>
      <c r="AB82" s="194">
        <f t="shared" ca="1" si="20"/>
        <v>24.74296973186522</v>
      </c>
      <c r="AC82" s="194">
        <f t="shared" ca="1" si="20"/>
        <v>25.337661410411716</v>
      </c>
      <c r="AD82" s="194">
        <f t="shared" ca="1" si="20"/>
        <v>25.88912195629791</v>
      </c>
      <c r="AE82" s="194">
        <f t="shared" ca="1" si="20"/>
        <v>26.476432709756057</v>
      </c>
      <c r="AF82" s="194">
        <f t="shared" ca="1" si="20"/>
        <v>27.089049492088527</v>
      </c>
      <c r="AG82" s="194">
        <f t="shared" ca="1" si="20"/>
        <v>27.713264870988393</v>
      </c>
      <c r="AH82" s="194">
        <f t="shared" ca="1" si="20"/>
        <v>28.402854157813582</v>
      </c>
      <c r="AI82" s="194">
        <f t="shared" ca="1" si="20"/>
        <v>29.119858309252617</v>
      </c>
      <c r="AJ82" s="194">
        <f t="shared" ca="1" si="20"/>
        <v>29.837916878561412</v>
      </c>
      <c r="AK82" s="194">
        <f t="shared" ca="1" si="20"/>
        <v>30.58339031248406</v>
      </c>
      <c r="AL82" s="194">
        <f t="shared" ca="1" si="20"/>
        <v>31.381584639894864</v>
      </c>
      <c r="AM82" s="194">
        <f t="shared" ca="1" si="20"/>
        <v>35.250243804056346</v>
      </c>
      <c r="AN82" s="194">
        <f t="shared" ca="1" si="20"/>
        <v>40.067879051004795</v>
      </c>
      <c r="AO82" s="194">
        <f t="shared" ca="1" si="20"/>
        <v>48.596010781650342</v>
      </c>
      <c r="AP82" s="194">
        <f t="shared" ca="1" si="20"/>
        <v>57.282305192760383</v>
      </c>
    </row>
    <row r="83" spans="1:42">
      <c r="A83" s="59" t="str">
        <f>'[4]TS BYDem'!A22</f>
        <v>*</v>
      </c>
      <c r="B83" s="194" t="s">
        <v>288</v>
      </c>
      <c r="C83" s="194" t="s">
        <v>137</v>
      </c>
      <c r="D83" s="194" t="str">
        <f>'[4]TS BYDem'!D22</f>
        <v>IMIS</v>
      </c>
      <c r="E83" s="194" t="s">
        <v>137</v>
      </c>
      <c r="F83" s="194" t="s">
        <v>137</v>
      </c>
      <c r="G83" s="194" t="s">
        <v>137</v>
      </c>
      <c r="H83" s="194" t="s">
        <v>137</v>
      </c>
      <c r="I83" s="194">
        <v>0</v>
      </c>
      <c r="J83" s="194">
        <f>INDEX('[4]TS BYDem'!$J$10:$J$203,MATCH(D83,'[4]TS BYDem'!$D$10:$D$203,0))</f>
        <v>20.275122960000004</v>
      </c>
      <c r="K83" s="194">
        <f t="shared" ca="1" si="19"/>
        <v>20.809992081544721</v>
      </c>
      <c r="L83" s="194">
        <f t="shared" ca="1" si="19"/>
        <v>20.847372842772632</v>
      </c>
      <c r="M83" s="194">
        <f t="shared" ca="1" si="19"/>
        <v>21.377183659261441</v>
      </c>
      <c r="N83" s="194">
        <f t="shared" ca="1" si="19"/>
        <v>21.051515231302332</v>
      </c>
      <c r="O83" s="194">
        <f t="shared" ca="1" si="19"/>
        <v>21.595161411752844</v>
      </c>
      <c r="P83" s="194">
        <f t="shared" ca="1" si="19"/>
        <v>21.433199108160839</v>
      </c>
      <c r="Q83" s="194">
        <f t="shared" ca="1" si="19"/>
        <v>21.131223365410005</v>
      </c>
      <c r="R83" s="194">
        <f t="shared" ca="1" si="19"/>
        <v>19.47371130150778</v>
      </c>
      <c r="S83" s="194">
        <f t="shared" ca="1" si="19"/>
        <v>19.897478278850741</v>
      </c>
      <c r="T83" s="194">
        <f t="shared" ca="1" si="19"/>
        <v>20.259137449674725</v>
      </c>
      <c r="U83" s="194">
        <f t="shared" ca="1" si="19"/>
        <v>20.604838784120886</v>
      </c>
      <c r="V83" s="194">
        <f t="shared" ca="1" si="19"/>
        <v>20.94049674141537</v>
      </c>
      <c r="W83" s="194">
        <f t="shared" ca="1" si="19"/>
        <v>21.367036081194687</v>
      </c>
      <c r="X83" s="194">
        <f t="shared" ca="1" si="19"/>
        <v>21.985104051766697</v>
      </c>
      <c r="Y83" s="194">
        <f t="shared" ca="1" si="19"/>
        <v>22.650464116880087</v>
      </c>
      <c r="Z83" s="194">
        <f t="shared" ca="1" si="19"/>
        <v>23.363679408791189</v>
      </c>
      <c r="AA83" s="194">
        <f t="shared" ca="1" si="20"/>
        <v>24.00878086873664</v>
      </c>
      <c r="AB83" s="194">
        <f t="shared" ca="1" si="20"/>
        <v>24.74296973186522</v>
      </c>
      <c r="AC83" s="194">
        <f t="shared" ca="1" si="20"/>
        <v>25.337661410411716</v>
      </c>
      <c r="AD83" s="194">
        <f t="shared" ca="1" si="20"/>
        <v>25.88912195629791</v>
      </c>
      <c r="AE83" s="194">
        <f t="shared" ca="1" si="20"/>
        <v>26.476432709756057</v>
      </c>
      <c r="AF83" s="194">
        <f t="shared" ca="1" si="20"/>
        <v>27.089049492088527</v>
      </c>
      <c r="AG83" s="194">
        <f t="shared" ca="1" si="20"/>
        <v>27.713264870988393</v>
      </c>
      <c r="AH83" s="194">
        <f t="shared" ca="1" si="20"/>
        <v>28.402854157813582</v>
      </c>
      <c r="AI83" s="194">
        <f t="shared" ca="1" si="20"/>
        <v>29.119858309252617</v>
      </c>
      <c r="AJ83" s="194">
        <f t="shared" ca="1" si="20"/>
        <v>29.837916878561412</v>
      </c>
      <c r="AK83" s="194">
        <f t="shared" ca="1" si="20"/>
        <v>30.58339031248406</v>
      </c>
      <c r="AL83" s="194">
        <f t="shared" ca="1" si="20"/>
        <v>31.381584639894864</v>
      </c>
      <c r="AM83" s="194">
        <f t="shared" ca="1" si="20"/>
        <v>35.250243804056346</v>
      </c>
      <c r="AN83" s="194">
        <f t="shared" ca="1" si="20"/>
        <v>40.067879051004795</v>
      </c>
      <c r="AO83" s="194">
        <f t="shared" ca="1" si="20"/>
        <v>48.596010781650342</v>
      </c>
      <c r="AP83" s="194">
        <f t="shared" ca="1" si="20"/>
        <v>57.282305192760383</v>
      </c>
    </row>
    <row r="84" spans="1:42">
      <c r="A84" s="59" t="str">
        <f>'[4]TS BYDem'!A23</f>
        <v>*</v>
      </c>
      <c r="B84" s="194" t="s">
        <v>288</v>
      </c>
      <c r="C84" s="194" t="s">
        <v>137</v>
      </c>
      <c r="D84" s="194" t="str">
        <f>'[4]TS BYDem'!D23</f>
        <v>IMIS</v>
      </c>
      <c r="E84" s="194" t="s">
        <v>137</v>
      </c>
      <c r="F84" s="194" t="s">
        <v>137</v>
      </c>
      <c r="G84" s="194" t="s">
        <v>137</v>
      </c>
      <c r="H84" s="194" t="s">
        <v>137</v>
      </c>
      <c r="I84" s="194">
        <v>0</v>
      </c>
      <c r="J84" s="194">
        <f>INDEX('[4]TS BYDem'!$J$10:$J$203,MATCH(D84,'[4]TS BYDem'!$D$10:$D$203,0))</f>
        <v>20.275122960000004</v>
      </c>
      <c r="K84" s="194">
        <f t="shared" ca="1" si="19"/>
        <v>20.809992081544721</v>
      </c>
      <c r="L84" s="194">
        <f t="shared" ca="1" si="19"/>
        <v>20.847372842772632</v>
      </c>
      <c r="M84" s="194">
        <f t="shared" ca="1" si="19"/>
        <v>21.377183659261441</v>
      </c>
      <c r="N84" s="194">
        <f t="shared" ca="1" si="19"/>
        <v>21.051515231302332</v>
      </c>
      <c r="O84" s="194">
        <f t="shared" ca="1" si="19"/>
        <v>21.595161411752844</v>
      </c>
      <c r="P84" s="194">
        <f t="shared" ca="1" si="19"/>
        <v>21.433199108160839</v>
      </c>
      <c r="Q84" s="194">
        <f t="shared" ca="1" si="19"/>
        <v>21.131223365410005</v>
      </c>
      <c r="R84" s="194">
        <f t="shared" ca="1" si="19"/>
        <v>19.47371130150778</v>
      </c>
      <c r="S84" s="194">
        <f t="shared" ca="1" si="19"/>
        <v>19.897478278850741</v>
      </c>
      <c r="T84" s="194">
        <f t="shared" ca="1" si="19"/>
        <v>20.259137449674725</v>
      </c>
      <c r="U84" s="194">
        <f t="shared" ca="1" si="19"/>
        <v>20.604838784120886</v>
      </c>
      <c r="V84" s="194">
        <f t="shared" ca="1" si="19"/>
        <v>20.94049674141537</v>
      </c>
      <c r="W84" s="194">
        <f t="shared" ca="1" si="19"/>
        <v>21.367036081194687</v>
      </c>
      <c r="X84" s="194">
        <f t="shared" ca="1" si="19"/>
        <v>21.985104051766697</v>
      </c>
      <c r="Y84" s="194">
        <f t="shared" ca="1" si="19"/>
        <v>22.650464116880087</v>
      </c>
      <c r="Z84" s="194">
        <f t="shared" ca="1" si="19"/>
        <v>23.363679408791189</v>
      </c>
      <c r="AA84" s="194">
        <f t="shared" ca="1" si="20"/>
        <v>24.00878086873664</v>
      </c>
      <c r="AB84" s="194">
        <f t="shared" ca="1" si="20"/>
        <v>24.74296973186522</v>
      </c>
      <c r="AC84" s="194">
        <f t="shared" ca="1" si="20"/>
        <v>25.337661410411716</v>
      </c>
      <c r="AD84" s="194">
        <f t="shared" ca="1" si="20"/>
        <v>25.88912195629791</v>
      </c>
      <c r="AE84" s="194">
        <f t="shared" ca="1" si="20"/>
        <v>26.476432709756057</v>
      </c>
      <c r="AF84" s="194">
        <f t="shared" ca="1" si="20"/>
        <v>27.089049492088527</v>
      </c>
      <c r="AG84" s="194">
        <f t="shared" ca="1" si="20"/>
        <v>27.713264870988393</v>
      </c>
      <c r="AH84" s="194">
        <f t="shared" ca="1" si="20"/>
        <v>28.402854157813582</v>
      </c>
      <c r="AI84" s="194">
        <f t="shared" ca="1" si="20"/>
        <v>29.119858309252617</v>
      </c>
      <c r="AJ84" s="194">
        <f t="shared" ca="1" si="20"/>
        <v>29.837916878561412</v>
      </c>
      <c r="AK84" s="194">
        <f t="shared" ca="1" si="20"/>
        <v>30.58339031248406</v>
      </c>
      <c r="AL84" s="194">
        <f t="shared" ca="1" si="20"/>
        <v>31.381584639894864</v>
      </c>
      <c r="AM84" s="194">
        <f t="shared" ca="1" si="20"/>
        <v>35.250243804056346</v>
      </c>
      <c r="AN84" s="194">
        <f t="shared" ca="1" si="20"/>
        <v>40.067879051004795</v>
      </c>
      <c r="AO84" s="194">
        <f t="shared" ca="1" si="20"/>
        <v>48.596010781650342</v>
      </c>
      <c r="AP84" s="194">
        <f t="shared" ca="1" si="20"/>
        <v>57.282305192760383</v>
      </c>
    </row>
    <row r="85" spans="1:42">
      <c r="A85" s="59" t="str">
        <f>'[4]TS BYDem'!A24</f>
        <v>*</v>
      </c>
      <c r="B85" s="194" t="s">
        <v>288</v>
      </c>
      <c r="C85" s="194" t="s">
        <v>137</v>
      </c>
      <c r="D85" s="194" t="str">
        <f>'[4]TS BYDem'!D24</f>
        <v>IMIS</v>
      </c>
      <c r="E85" s="194" t="s">
        <v>137</v>
      </c>
      <c r="F85" s="194" t="s">
        <v>137</v>
      </c>
      <c r="G85" s="194" t="s">
        <v>137</v>
      </c>
      <c r="H85" s="194" t="s">
        <v>137</v>
      </c>
      <c r="I85" s="194">
        <v>0</v>
      </c>
      <c r="J85" s="194">
        <f>INDEX('[4]TS BYDem'!$J$10:$J$203,MATCH(D85,'[4]TS BYDem'!$D$10:$D$203,0))</f>
        <v>20.275122960000004</v>
      </c>
      <c r="K85" s="194">
        <f t="shared" ca="1" si="19"/>
        <v>20.809992081544721</v>
      </c>
      <c r="L85" s="194">
        <f t="shared" ca="1" si="19"/>
        <v>20.847372842772632</v>
      </c>
      <c r="M85" s="194">
        <f t="shared" ca="1" si="19"/>
        <v>21.377183659261441</v>
      </c>
      <c r="N85" s="194">
        <f t="shared" ca="1" si="19"/>
        <v>21.051515231302332</v>
      </c>
      <c r="O85" s="194">
        <f t="shared" ca="1" si="19"/>
        <v>21.595161411752844</v>
      </c>
      <c r="P85" s="194">
        <f t="shared" ca="1" si="19"/>
        <v>21.433199108160839</v>
      </c>
      <c r="Q85" s="194">
        <f t="shared" ca="1" si="19"/>
        <v>21.131223365410005</v>
      </c>
      <c r="R85" s="194">
        <f t="shared" ca="1" si="19"/>
        <v>19.47371130150778</v>
      </c>
      <c r="S85" s="194">
        <f t="shared" ca="1" si="19"/>
        <v>19.897478278850741</v>
      </c>
      <c r="T85" s="194">
        <f t="shared" ca="1" si="19"/>
        <v>20.259137449674725</v>
      </c>
      <c r="U85" s="194">
        <f t="shared" ca="1" si="19"/>
        <v>20.604838784120886</v>
      </c>
      <c r="V85" s="194">
        <f t="shared" ca="1" si="19"/>
        <v>20.94049674141537</v>
      </c>
      <c r="W85" s="194">
        <f t="shared" ca="1" si="19"/>
        <v>21.367036081194687</v>
      </c>
      <c r="X85" s="194">
        <f t="shared" ca="1" si="19"/>
        <v>21.985104051766697</v>
      </c>
      <c r="Y85" s="194">
        <f t="shared" ca="1" si="19"/>
        <v>22.650464116880087</v>
      </c>
      <c r="Z85" s="194">
        <f t="shared" ca="1" si="19"/>
        <v>23.363679408791189</v>
      </c>
      <c r="AA85" s="194">
        <f t="shared" ca="1" si="20"/>
        <v>24.00878086873664</v>
      </c>
      <c r="AB85" s="194">
        <f t="shared" ca="1" si="20"/>
        <v>24.74296973186522</v>
      </c>
      <c r="AC85" s="194">
        <f t="shared" ca="1" si="20"/>
        <v>25.337661410411716</v>
      </c>
      <c r="AD85" s="194">
        <f t="shared" ca="1" si="20"/>
        <v>25.88912195629791</v>
      </c>
      <c r="AE85" s="194">
        <f t="shared" ca="1" si="20"/>
        <v>26.476432709756057</v>
      </c>
      <c r="AF85" s="194">
        <f t="shared" ca="1" si="20"/>
        <v>27.089049492088527</v>
      </c>
      <c r="AG85" s="194">
        <f t="shared" ca="1" si="20"/>
        <v>27.713264870988393</v>
      </c>
      <c r="AH85" s="194">
        <f t="shared" ca="1" si="20"/>
        <v>28.402854157813582</v>
      </c>
      <c r="AI85" s="194">
        <f t="shared" ca="1" si="20"/>
        <v>29.119858309252617</v>
      </c>
      <c r="AJ85" s="194">
        <f t="shared" ca="1" si="20"/>
        <v>29.837916878561412</v>
      </c>
      <c r="AK85" s="194">
        <f t="shared" ca="1" si="20"/>
        <v>30.58339031248406</v>
      </c>
      <c r="AL85" s="194">
        <f t="shared" ca="1" si="20"/>
        <v>31.381584639894864</v>
      </c>
      <c r="AM85" s="194">
        <f t="shared" ca="1" si="20"/>
        <v>35.250243804056346</v>
      </c>
      <c r="AN85" s="194">
        <f t="shared" ca="1" si="20"/>
        <v>40.067879051004795</v>
      </c>
      <c r="AO85" s="194">
        <f t="shared" ca="1" si="20"/>
        <v>48.596010781650342</v>
      </c>
      <c r="AP85" s="194">
        <f t="shared" ca="1" si="20"/>
        <v>57.282305192760383</v>
      </c>
    </row>
    <row r="86" spans="1:42">
      <c r="A86" s="59" t="str">
        <f>'[4]TS BYDem'!A25</f>
        <v>*</v>
      </c>
      <c r="B86" s="194" t="s">
        <v>288</v>
      </c>
      <c r="C86" s="194" t="s">
        <v>137</v>
      </c>
      <c r="D86" s="194" t="str">
        <f>'[4]TS BYDem'!D25</f>
        <v>IMIS</v>
      </c>
      <c r="E86" s="194" t="s">
        <v>137</v>
      </c>
      <c r="F86" s="194" t="s">
        <v>137</v>
      </c>
      <c r="G86" s="194" t="s">
        <v>137</v>
      </c>
      <c r="H86" s="194" t="s">
        <v>137</v>
      </c>
      <c r="I86" s="194">
        <v>0</v>
      </c>
      <c r="J86" s="194">
        <f>INDEX('[4]TS BYDem'!$J$10:$J$203,MATCH(D86,'[4]TS BYDem'!$D$10:$D$203,0))</f>
        <v>20.275122960000004</v>
      </c>
      <c r="K86" s="194">
        <f t="shared" ca="1" si="19"/>
        <v>20.809992081544721</v>
      </c>
      <c r="L86" s="194">
        <f t="shared" ca="1" si="19"/>
        <v>20.847372842772632</v>
      </c>
      <c r="M86" s="194">
        <f t="shared" ca="1" si="19"/>
        <v>21.377183659261441</v>
      </c>
      <c r="N86" s="194">
        <f t="shared" ca="1" si="19"/>
        <v>21.051515231302332</v>
      </c>
      <c r="O86" s="194">
        <f t="shared" ca="1" si="19"/>
        <v>21.595161411752844</v>
      </c>
      <c r="P86" s="194">
        <f t="shared" ca="1" si="19"/>
        <v>21.433199108160839</v>
      </c>
      <c r="Q86" s="194">
        <f t="shared" ca="1" si="19"/>
        <v>21.131223365410005</v>
      </c>
      <c r="R86" s="194">
        <f t="shared" ca="1" si="19"/>
        <v>19.47371130150778</v>
      </c>
      <c r="S86" s="194">
        <f t="shared" ca="1" si="19"/>
        <v>19.897478278850741</v>
      </c>
      <c r="T86" s="194">
        <f t="shared" ca="1" si="19"/>
        <v>20.259137449674725</v>
      </c>
      <c r="U86" s="194">
        <f t="shared" ca="1" si="19"/>
        <v>20.604838784120886</v>
      </c>
      <c r="V86" s="194">
        <f t="shared" ca="1" si="19"/>
        <v>20.94049674141537</v>
      </c>
      <c r="W86" s="194">
        <f t="shared" ca="1" si="19"/>
        <v>21.367036081194687</v>
      </c>
      <c r="X86" s="194">
        <f t="shared" ca="1" si="19"/>
        <v>21.985104051766697</v>
      </c>
      <c r="Y86" s="194">
        <f t="shared" ca="1" si="19"/>
        <v>22.650464116880087</v>
      </c>
      <c r="Z86" s="194">
        <f t="shared" ca="1" si="19"/>
        <v>23.363679408791189</v>
      </c>
      <c r="AA86" s="194">
        <f t="shared" ca="1" si="20"/>
        <v>24.00878086873664</v>
      </c>
      <c r="AB86" s="194">
        <f t="shared" ca="1" si="20"/>
        <v>24.74296973186522</v>
      </c>
      <c r="AC86" s="194">
        <f t="shared" ca="1" si="20"/>
        <v>25.337661410411716</v>
      </c>
      <c r="AD86" s="194">
        <f t="shared" ca="1" si="20"/>
        <v>25.88912195629791</v>
      </c>
      <c r="AE86" s="194">
        <f t="shared" ca="1" si="20"/>
        <v>26.476432709756057</v>
      </c>
      <c r="AF86" s="194">
        <f t="shared" ca="1" si="20"/>
        <v>27.089049492088527</v>
      </c>
      <c r="AG86" s="194">
        <f t="shared" ca="1" si="20"/>
        <v>27.713264870988393</v>
      </c>
      <c r="AH86" s="194">
        <f t="shared" ca="1" si="20"/>
        <v>28.402854157813582</v>
      </c>
      <c r="AI86" s="194">
        <f t="shared" ca="1" si="20"/>
        <v>29.119858309252617</v>
      </c>
      <c r="AJ86" s="194">
        <f t="shared" ca="1" si="20"/>
        <v>29.837916878561412</v>
      </c>
      <c r="AK86" s="194">
        <f t="shared" ca="1" si="20"/>
        <v>30.58339031248406</v>
      </c>
      <c r="AL86" s="194">
        <f t="shared" ca="1" si="20"/>
        <v>31.381584639894864</v>
      </c>
      <c r="AM86" s="194">
        <f t="shared" ca="1" si="20"/>
        <v>35.250243804056346</v>
      </c>
      <c r="AN86" s="194">
        <f t="shared" ca="1" si="20"/>
        <v>40.067879051004795</v>
      </c>
      <c r="AO86" s="194">
        <f t="shared" ca="1" si="20"/>
        <v>48.596010781650342</v>
      </c>
      <c r="AP86" s="194">
        <f t="shared" ref="AP86:AP90" ca="1" si="24">AP$70/AO$70*AO86</f>
        <v>57.282305192760383</v>
      </c>
    </row>
    <row r="87" spans="1:42">
      <c r="A87" s="59" t="str">
        <f>'[4]TS BYDem'!A26</f>
        <v>*</v>
      </c>
      <c r="B87" s="194" t="s">
        <v>288</v>
      </c>
      <c r="C87" s="194" t="s">
        <v>137</v>
      </c>
      <c r="D87" s="194">
        <f>'[4]TS BYDem'!D26</f>
        <v>0</v>
      </c>
      <c r="E87" s="194" t="s">
        <v>137</v>
      </c>
      <c r="F87" s="194" t="s">
        <v>137</v>
      </c>
      <c r="G87" s="194" t="s">
        <v>137</v>
      </c>
      <c r="H87" s="194" t="s">
        <v>137</v>
      </c>
      <c r="I87" s="194">
        <v>0</v>
      </c>
      <c r="J87" s="194" t="str">
        <f>INDEX('[4]TS BYDem'!$J$10:$J$203,MATCH(D87,'[4]TS BYDem'!$D$10:$D$203,0))</f>
        <v/>
      </c>
      <c r="K87" s="194" t="e">
        <f t="shared" ref="K87:Z90" ca="1" si="25">K$70/J$70*J87</f>
        <v>#VALUE!</v>
      </c>
      <c r="L87" s="194" t="e">
        <f t="shared" ca="1" si="25"/>
        <v>#VALUE!</v>
      </c>
      <c r="M87" s="194" t="e">
        <f t="shared" ca="1" si="25"/>
        <v>#VALUE!</v>
      </c>
      <c r="N87" s="194" t="e">
        <f t="shared" ca="1" si="25"/>
        <v>#VALUE!</v>
      </c>
      <c r="O87" s="194" t="e">
        <f t="shared" ca="1" si="25"/>
        <v>#VALUE!</v>
      </c>
      <c r="P87" s="194" t="e">
        <f t="shared" ca="1" si="25"/>
        <v>#VALUE!</v>
      </c>
      <c r="Q87" s="194" t="e">
        <f t="shared" ca="1" si="25"/>
        <v>#VALUE!</v>
      </c>
      <c r="R87" s="194" t="e">
        <f t="shared" ca="1" si="25"/>
        <v>#VALUE!</v>
      </c>
      <c r="S87" s="194" t="e">
        <f t="shared" ca="1" si="25"/>
        <v>#VALUE!</v>
      </c>
      <c r="T87" s="194" t="e">
        <f t="shared" ca="1" si="25"/>
        <v>#VALUE!</v>
      </c>
      <c r="U87" s="194" t="e">
        <f t="shared" ca="1" si="25"/>
        <v>#VALUE!</v>
      </c>
      <c r="V87" s="194" t="e">
        <f t="shared" ca="1" si="25"/>
        <v>#VALUE!</v>
      </c>
      <c r="W87" s="194" t="e">
        <f t="shared" ca="1" si="25"/>
        <v>#VALUE!</v>
      </c>
      <c r="X87" s="194" t="e">
        <f t="shared" ca="1" si="25"/>
        <v>#VALUE!</v>
      </c>
      <c r="Y87" s="194" t="e">
        <f t="shared" ca="1" si="25"/>
        <v>#VALUE!</v>
      </c>
      <c r="Z87" s="194" t="e">
        <f t="shared" ca="1" si="25"/>
        <v>#VALUE!</v>
      </c>
      <c r="AA87" s="194" t="e">
        <f t="shared" ref="AA87:AO90" ca="1" si="26">AA$70/Z$70*Z87</f>
        <v>#VALUE!</v>
      </c>
      <c r="AB87" s="194" t="e">
        <f t="shared" ca="1" si="26"/>
        <v>#VALUE!</v>
      </c>
      <c r="AC87" s="194" t="e">
        <f t="shared" ca="1" si="26"/>
        <v>#VALUE!</v>
      </c>
      <c r="AD87" s="194" t="e">
        <f t="shared" ca="1" si="26"/>
        <v>#VALUE!</v>
      </c>
      <c r="AE87" s="194" t="e">
        <f t="shared" ca="1" si="26"/>
        <v>#VALUE!</v>
      </c>
      <c r="AF87" s="194" t="e">
        <f t="shared" ca="1" si="26"/>
        <v>#VALUE!</v>
      </c>
      <c r="AG87" s="194" t="e">
        <f t="shared" ca="1" si="26"/>
        <v>#VALUE!</v>
      </c>
      <c r="AH87" s="194" t="e">
        <f t="shared" ca="1" si="26"/>
        <v>#VALUE!</v>
      </c>
      <c r="AI87" s="194" t="e">
        <f t="shared" ca="1" si="26"/>
        <v>#VALUE!</v>
      </c>
      <c r="AJ87" s="194" t="e">
        <f t="shared" ca="1" si="26"/>
        <v>#VALUE!</v>
      </c>
      <c r="AK87" s="194" t="e">
        <f t="shared" ca="1" si="26"/>
        <v>#VALUE!</v>
      </c>
      <c r="AL87" s="194" t="e">
        <f t="shared" ca="1" si="26"/>
        <v>#VALUE!</v>
      </c>
      <c r="AM87" s="194" t="e">
        <f t="shared" ca="1" si="26"/>
        <v>#VALUE!</v>
      </c>
      <c r="AN87" s="194" t="e">
        <f t="shared" ca="1" si="26"/>
        <v>#VALUE!</v>
      </c>
      <c r="AO87" s="194" t="e">
        <f t="shared" ca="1" si="26"/>
        <v>#VALUE!</v>
      </c>
      <c r="AP87" s="194" t="e">
        <f t="shared" ca="1" si="24"/>
        <v>#VALUE!</v>
      </c>
    </row>
    <row r="88" spans="1:42">
      <c r="A88" s="59" t="str">
        <f>'[4]TS BYDem'!A27</f>
        <v/>
      </c>
      <c r="B88" s="194" t="s">
        <v>288</v>
      </c>
      <c r="C88" s="194" t="s">
        <v>137</v>
      </c>
      <c r="D88" s="194" t="str">
        <f>'[4]TS BYDem'!D27</f>
        <v>IMIR</v>
      </c>
      <c r="E88" s="194" t="s">
        <v>137</v>
      </c>
      <c r="F88" s="194" t="s">
        <v>137</v>
      </c>
      <c r="G88" s="194" t="s">
        <v>137</v>
      </c>
      <c r="H88" s="194" t="s">
        <v>137</v>
      </c>
      <c r="I88" s="194">
        <v>0</v>
      </c>
      <c r="J88" s="194">
        <f>INDEX('[4]TS BYDem'!$J$10:$J$203,MATCH(D88,'[4]TS BYDem'!$D$10:$D$203,0))</f>
        <v>51.488523217763458</v>
      </c>
      <c r="K88" s="194">
        <f t="shared" ca="1" si="25"/>
        <v>52.846819354238278</v>
      </c>
      <c r="L88" s="194">
        <f t="shared" ca="1" si="25"/>
        <v>52.941747517987423</v>
      </c>
      <c r="M88" s="201">
        <f t="shared" ref="M88" si="27">O88</f>
        <v>46.045999999999999</v>
      </c>
      <c r="N88" s="201">
        <f t="shared" ref="N88" si="28">O88</f>
        <v>46.045999999999999</v>
      </c>
      <c r="O88" s="201">
        <f>INDEX('[4]TS BYDem'!$O$10:$O$203,MATCH(D88,'[4]TS BYDem'!$D$10:$D$203,0))</f>
        <v>46.045999999999999</v>
      </c>
      <c r="P88" s="194">
        <f t="shared" ca="1" si="25"/>
        <v>45.700658000049089</v>
      </c>
      <c r="Q88" s="194">
        <f t="shared" ca="1" si="25"/>
        <v>45.056774178780799</v>
      </c>
      <c r="R88" s="194">
        <f t="shared" ca="1" si="25"/>
        <v>41.52256579574437</v>
      </c>
      <c r="S88" s="194">
        <f t="shared" ca="1" si="25"/>
        <v>42.426137381373472</v>
      </c>
      <c r="T88" s="194">
        <f t="shared" ca="1" si="25"/>
        <v>43.197280410232615</v>
      </c>
      <c r="U88" s="194">
        <f t="shared" ca="1" si="25"/>
        <v>43.934397551540236</v>
      </c>
      <c r="V88" s="194">
        <f t="shared" ca="1" si="25"/>
        <v>44.650099833495403</v>
      </c>
      <c r="W88" s="194">
        <f t="shared" ca="1" si="25"/>
        <v>45.559582752608456</v>
      </c>
      <c r="X88" s="194">
        <f t="shared" ca="1" si="25"/>
        <v>46.877450085494893</v>
      </c>
      <c r="Y88" s="194">
        <f t="shared" ca="1" si="25"/>
        <v>48.296155367389069</v>
      </c>
      <c r="Z88" s="194">
        <f t="shared" ca="1" si="25"/>
        <v>49.81689932966691</v>
      </c>
      <c r="AA88" s="194">
        <f t="shared" ca="1" si="26"/>
        <v>51.192408466101611</v>
      </c>
      <c r="AB88" s="194">
        <f t="shared" ca="1" si="26"/>
        <v>52.757873050831222</v>
      </c>
      <c r="AC88" s="194">
        <f t="shared" ca="1" si="26"/>
        <v>54.025896591301219</v>
      </c>
      <c r="AD88" s="194">
        <f t="shared" ca="1" si="26"/>
        <v>55.201741115531362</v>
      </c>
      <c r="AE88" s="194">
        <f t="shared" ca="1" si="26"/>
        <v>56.454026775179912</v>
      </c>
      <c r="AF88" s="194">
        <f t="shared" ca="1" si="26"/>
        <v>57.760270883359112</v>
      </c>
      <c r="AG88" s="194">
        <f t="shared" ca="1" si="26"/>
        <v>59.091245947114849</v>
      </c>
      <c r="AH88" s="194">
        <f t="shared" ca="1" si="26"/>
        <v>60.561613669574733</v>
      </c>
      <c r="AI88" s="194">
        <f t="shared" ca="1" si="26"/>
        <v>62.090436377942815</v>
      </c>
      <c r="AJ88" s="194">
        <f t="shared" ca="1" si="26"/>
        <v>63.621507354999665</v>
      </c>
      <c r="AK88" s="194">
        <f t="shared" ca="1" si="26"/>
        <v>65.21103331796472</v>
      </c>
      <c r="AL88" s="194">
        <f t="shared" ca="1" si="26"/>
        <v>66.912972715368596</v>
      </c>
      <c r="AM88" s="194">
        <f t="shared" ca="1" si="26"/>
        <v>75.16187053448985</v>
      </c>
      <c r="AN88" s="194">
        <f t="shared" ca="1" si="26"/>
        <v>85.434210173510053</v>
      </c>
      <c r="AO88" s="194">
        <f t="shared" ca="1" si="26"/>
        <v>103.61820732833526</v>
      </c>
      <c r="AP88" s="194">
        <f t="shared" ca="1" si="24"/>
        <v>122.13944478647694</v>
      </c>
    </row>
    <row r="89" spans="1:42">
      <c r="A89" s="59" t="str">
        <f>'[4]TS BYDem'!A28</f>
        <v>*</v>
      </c>
      <c r="B89" s="194" t="s">
        <v>288</v>
      </c>
      <c r="C89" s="194" t="s">
        <v>137</v>
      </c>
      <c r="D89" s="194" t="str">
        <f>'[4]TS BYDem'!D28</f>
        <v>Useful Energy Service</v>
      </c>
      <c r="E89" s="194" t="s">
        <v>137</v>
      </c>
      <c r="F89" s="194" t="s">
        <v>137</v>
      </c>
      <c r="G89" s="194" t="s">
        <v>137</v>
      </c>
      <c r="H89" s="194" t="s">
        <v>137</v>
      </c>
      <c r="I89" s="194">
        <v>0</v>
      </c>
      <c r="J89" s="194" t="str">
        <f>INDEX('[4]TS BYDem'!$J$10:$J$203,MATCH(D89,'[4]TS BYDem'!$D$10:$D$203,0))</f>
        <v/>
      </c>
      <c r="K89" s="194" t="e">
        <f t="shared" ca="1" si="25"/>
        <v>#VALUE!</v>
      </c>
      <c r="L89" s="194" t="e">
        <f t="shared" ca="1" si="25"/>
        <v>#VALUE!</v>
      </c>
      <c r="M89" s="194" t="e">
        <f t="shared" ca="1" si="25"/>
        <v>#VALUE!</v>
      </c>
      <c r="N89" s="194" t="e">
        <f t="shared" ca="1" si="25"/>
        <v>#VALUE!</v>
      </c>
      <c r="O89" s="194" t="e">
        <f t="shared" ca="1" si="25"/>
        <v>#VALUE!</v>
      </c>
      <c r="P89" s="194" t="e">
        <f t="shared" ca="1" si="25"/>
        <v>#VALUE!</v>
      </c>
      <c r="Q89" s="194" t="e">
        <f t="shared" ca="1" si="25"/>
        <v>#VALUE!</v>
      </c>
      <c r="R89" s="194" t="e">
        <f t="shared" ca="1" si="25"/>
        <v>#VALUE!</v>
      </c>
      <c r="S89" s="194" t="e">
        <f t="shared" ca="1" si="25"/>
        <v>#VALUE!</v>
      </c>
      <c r="T89" s="194" t="e">
        <f t="shared" ca="1" si="25"/>
        <v>#VALUE!</v>
      </c>
      <c r="U89" s="194" t="e">
        <f t="shared" ca="1" si="25"/>
        <v>#VALUE!</v>
      </c>
      <c r="V89" s="194" t="e">
        <f t="shared" ca="1" si="25"/>
        <v>#VALUE!</v>
      </c>
      <c r="W89" s="194" t="e">
        <f t="shared" ca="1" si="25"/>
        <v>#VALUE!</v>
      </c>
      <c r="X89" s="194" t="e">
        <f t="shared" ca="1" si="25"/>
        <v>#VALUE!</v>
      </c>
      <c r="Y89" s="194" t="e">
        <f t="shared" ca="1" si="25"/>
        <v>#VALUE!</v>
      </c>
      <c r="Z89" s="194" t="e">
        <f t="shared" ca="1" si="25"/>
        <v>#VALUE!</v>
      </c>
      <c r="AA89" s="194" t="e">
        <f t="shared" ca="1" si="26"/>
        <v>#VALUE!</v>
      </c>
      <c r="AB89" s="194" t="e">
        <f t="shared" ca="1" si="26"/>
        <v>#VALUE!</v>
      </c>
      <c r="AC89" s="194" t="e">
        <f t="shared" ca="1" si="26"/>
        <v>#VALUE!</v>
      </c>
      <c r="AD89" s="194" t="e">
        <f t="shared" ca="1" si="26"/>
        <v>#VALUE!</v>
      </c>
      <c r="AE89" s="194" t="e">
        <f t="shared" ca="1" si="26"/>
        <v>#VALUE!</v>
      </c>
      <c r="AF89" s="194" t="e">
        <f t="shared" ca="1" si="26"/>
        <v>#VALUE!</v>
      </c>
      <c r="AG89" s="194" t="e">
        <f t="shared" ca="1" si="26"/>
        <v>#VALUE!</v>
      </c>
      <c r="AH89" s="194" t="e">
        <f t="shared" ca="1" si="26"/>
        <v>#VALUE!</v>
      </c>
      <c r="AI89" s="194" t="e">
        <f t="shared" ca="1" si="26"/>
        <v>#VALUE!</v>
      </c>
      <c r="AJ89" s="194" t="e">
        <f t="shared" ca="1" si="26"/>
        <v>#VALUE!</v>
      </c>
      <c r="AK89" s="194" t="e">
        <f t="shared" ca="1" si="26"/>
        <v>#VALUE!</v>
      </c>
      <c r="AL89" s="194" t="e">
        <f t="shared" ca="1" si="26"/>
        <v>#VALUE!</v>
      </c>
      <c r="AM89" s="194" t="e">
        <f t="shared" ca="1" si="26"/>
        <v>#VALUE!</v>
      </c>
      <c r="AN89" s="194" t="e">
        <f t="shared" ca="1" si="26"/>
        <v>#VALUE!</v>
      </c>
      <c r="AO89" s="194" t="e">
        <f t="shared" ca="1" si="26"/>
        <v>#VALUE!</v>
      </c>
      <c r="AP89" s="194" t="e">
        <f t="shared" ca="1" si="24"/>
        <v>#VALUE!</v>
      </c>
    </row>
    <row r="90" spans="1:42">
      <c r="A90" s="59" t="str">
        <f>'[4]TS BYDem'!A29</f>
        <v>*</v>
      </c>
      <c r="B90" s="194" t="s">
        <v>288</v>
      </c>
      <c r="C90" s="194" t="s">
        <v>137</v>
      </c>
      <c r="D90" s="194">
        <f>'[4]TS BYDem'!D29</f>
        <v>0</v>
      </c>
      <c r="E90" s="194" t="s">
        <v>137</v>
      </c>
      <c r="F90" s="194" t="s">
        <v>137</v>
      </c>
      <c r="G90" s="194" t="s">
        <v>137</v>
      </c>
      <c r="H90" s="194" t="s">
        <v>137</v>
      </c>
      <c r="I90" s="194">
        <v>0</v>
      </c>
      <c r="J90" s="194" t="str">
        <f>INDEX('[4]TS BYDem'!$J$10:$J$203,MATCH(D90,'[4]TS BYDem'!$D$10:$D$203,0))</f>
        <v/>
      </c>
      <c r="K90" s="194" t="e">
        <f t="shared" ca="1" si="25"/>
        <v>#VALUE!</v>
      </c>
      <c r="L90" s="194" t="e">
        <f t="shared" ca="1" si="25"/>
        <v>#VALUE!</v>
      </c>
      <c r="M90" s="194" t="e">
        <f t="shared" ca="1" si="25"/>
        <v>#VALUE!</v>
      </c>
      <c r="N90" s="194" t="e">
        <f t="shared" ca="1" si="25"/>
        <v>#VALUE!</v>
      </c>
      <c r="O90" s="194" t="e">
        <f t="shared" ca="1" si="25"/>
        <v>#VALUE!</v>
      </c>
      <c r="P90" s="194" t="e">
        <f t="shared" ca="1" si="25"/>
        <v>#VALUE!</v>
      </c>
      <c r="Q90" s="194" t="e">
        <f t="shared" ca="1" si="25"/>
        <v>#VALUE!</v>
      </c>
      <c r="R90" s="194" t="e">
        <f t="shared" ca="1" si="25"/>
        <v>#VALUE!</v>
      </c>
      <c r="S90" s="194" t="e">
        <f t="shared" ca="1" si="25"/>
        <v>#VALUE!</v>
      </c>
      <c r="T90" s="194" t="e">
        <f t="shared" ca="1" si="25"/>
        <v>#VALUE!</v>
      </c>
      <c r="U90" s="194" t="e">
        <f t="shared" ca="1" si="25"/>
        <v>#VALUE!</v>
      </c>
      <c r="V90" s="194" t="e">
        <f t="shared" ca="1" si="25"/>
        <v>#VALUE!</v>
      </c>
      <c r="W90" s="194" t="e">
        <f t="shared" ca="1" si="25"/>
        <v>#VALUE!</v>
      </c>
      <c r="X90" s="194" t="e">
        <f t="shared" ca="1" si="25"/>
        <v>#VALUE!</v>
      </c>
      <c r="Y90" s="194" t="e">
        <f t="shared" ca="1" si="25"/>
        <v>#VALUE!</v>
      </c>
      <c r="Z90" s="194" t="e">
        <f t="shared" ca="1" si="25"/>
        <v>#VALUE!</v>
      </c>
      <c r="AA90" s="194" t="e">
        <f t="shared" ca="1" si="26"/>
        <v>#VALUE!</v>
      </c>
      <c r="AB90" s="194" t="e">
        <f t="shared" ca="1" si="26"/>
        <v>#VALUE!</v>
      </c>
      <c r="AC90" s="194" t="e">
        <f t="shared" ca="1" si="26"/>
        <v>#VALUE!</v>
      </c>
      <c r="AD90" s="194" t="e">
        <f t="shared" ca="1" si="26"/>
        <v>#VALUE!</v>
      </c>
      <c r="AE90" s="194" t="e">
        <f t="shared" ca="1" si="26"/>
        <v>#VALUE!</v>
      </c>
      <c r="AF90" s="194" t="e">
        <f t="shared" ca="1" si="26"/>
        <v>#VALUE!</v>
      </c>
      <c r="AG90" s="194" t="e">
        <f t="shared" ca="1" si="26"/>
        <v>#VALUE!</v>
      </c>
      <c r="AH90" s="194" t="e">
        <f t="shared" ca="1" si="26"/>
        <v>#VALUE!</v>
      </c>
      <c r="AI90" s="194" t="e">
        <f t="shared" ca="1" si="26"/>
        <v>#VALUE!</v>
      </c>
      <c r="AJ90" s="194" t="e">
        <f t="shared" ca="1" si="26"/>
        <v>#VALUE!</v>
      </c>
      <c r="AK90" s="194" t="e">
        <f t="shared" ca="1" si="26"/>
        <v>#VALUE!</v>
      </c>
      <c r="AL90" s="194" t="e">
        <f t="shared" ca="1" si="26"/>
        <v>#VALUE!</v>
      </c>
      <c r="AM90" s="194" t="e">
        <f t="shared" ca="1" si="26"/>
        <v>#VALUE!</v>
      </c>
      <c r="AN90" s="194" t="e">
        <f t="shared" ca="1" si="26"/>
        <v>#VALUE!</v>
      </c>
      <c r="AO90" s="194" t="e">
        <f t="shared" ca="1" si="26"/>
        <v>#VALUE!</v>
      </c>
      <c r="AP90" s="194" t="e">
        <f t="shared" ca="1" si="24"/>
        <v>#VALUE!</v>
      </c>
    </row>
    <row r="91" spans="1:42" s="5" customFormat="1">
      <c r="A91" s="59"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59" t="str">
        <f>'[4]TS BYDem'!A31</f>
        <v>*</v>
      </c>
      <c r="B92" s="194" t="s">
        <v>288</v>
      </c>
      <c r="C92" s="194" t="s">
        <v>137</v>
      </c>
      <c r="D92" s="194" t="str">
        <f>'[4]TS BYDem'!D31</f>
        <v>IFAK</v>
      </c>
      <c r="E92" s="194" t="s">
        <v>137</v>
      </c>
      <c r="F92" s="194" t="s">
        <v>137</v>
      </c>
      <c r="G92" s="194" t="s">
        <v>137</v>
      </c>
      <c r="H92" s="194" t="s">
        <v>137</v>
      </c>
      <c r="I92" s="194">
        <v>0</v>
      </c>
      <c r="J92" s="194" t="str">
        <f>INDEX('[4]TS BYDem'!$J$10:$J$203,MATCH(D92,'[4]TS BYDem'!$D$10:$D$203,0))</f>
        <v/>
      </c>
      <c r="K92" s="194" t="e">
        <f ca="1">K$91/J$91*J92</f>
        <v>#VALUE!</v>
      </c>
      <c r="L92" s="194" t="e">
        <f t="shared" ref="L92:AP107" ca="1" si="30">L$91/K$91*K92</f>
        <v>#VALUE!</v>
      </c>
      <c r="M92" s="194" t="e">
        <f t="shared" ca="1" si="30"/>
        <v>#VALUE!</v>
      </c>
      <c r="N92" s="194" t="e">
        <f t="shared" ca="1" si="30"/>
        <v>#VALUE!</v>
      </c>
      <c r="O92" s="194" t="e">
        <f t="shared" ca="1" si="30"/>
        <v>#VALUE!</v>
      </c>
      <c r="P92" s="194" t="e">
        <f t="shared" ca="1" si="30"/>
        <v>#VALUE!</v>
      </c>
      <c r="Q92" s="194" t="e">
        <f t="shared" ca="1" si="30"/>
        <v>#VALUE!</v>
      </c>
      <c r="R92" s="194" t="e">
        <f t="shared" ca="1" si="30"/>
        <v>#VALUE!</v>
      </c>
      <c r="S92" s="194" t="e">
        <f t="shared" ca="1" si="30"/>
        <v>#VALUE!</v>
      </c>
      <c r="T92" s="194" t="e">
        <f t="shared" ca="1" si="30"/>
        <v>#VALUE!</v>
      </c>
      <c r="U92" s="194" t="e">
        <f t="shared" ca="1" si="30"/>
        <v>#VALUE!</v>
      </c>
      <c r="V92" s="194" t="e">
        <f t="shared" ca="1" si="30"/>
        <v>#VALUE!</v>
      </c>
      <c r="W92" s="194" t="e">
        <f t="shared" ca="1" si="30"/>
        <v>#VALUE!</v>
      </c>
      <c r="X92" s="194" t="e">
        <f t="shared" ca="1" si="30"/>
        <v>#VALUE!</v>
      </c>
      <c r="Y92" s="194" t="e">
        <f t="shared" ca="1" si="30"/>
        <v>#VALUE!</v>
      </c>
      <c r="Z92" s="194" t="e">
        <f t="shared" ca="1" si="30"/>
        <v>#VALUE!</v>
      </c>
      <c r="AA92" s="194" t="e">
        <f t="shared" ca="1" si="30"/>
        <v>#VALUE!</v>
      </c>
      <c r="AB92" s="194" t="e">
        <f t="shared" ca="1" si="30"/>
        <v>#VALUE!</v>
      </c>
      <c r="AC92" s="194" t="e">
        <f t="shared" ca="1" si="30"/>
        <v>#VALUE!</v>
      </c>
      <c r="AD92" s="194" t="e">
        <f t="shared" ca="1" si="30"/>
        <v>#VALUE!</v>
      </c>
      <c r="AE92" s="194" t="e">
        <f t="shared" ca="1" si="30"/>
        <v>#VALUE!</v>
      </c>
      <c r="AF92" s="194" t="e">
        <f t="shared" ca="1" si="30"/>
        <v>#VALUE!</v>
      </c>
      <c r="AG92" s="194" t="e">
        <f t="shared" ca="1" si="30"/>
        <v>#VALUE!</v>
      </c>
      <c r="AH92" s="194" t="e">
        <f t="shared" ca="1" si="30"/>
        <v>#VALUE!</v>
      </c>
      <c r="AI92" s="194" t="e">
        <f t="shared" ca="1" si="30"/>
        <v>#VALUE!</v>
      </c>
      <c r="AJ92" s="194" t="e">
        <f t="shared" ca="1" si="30"/>
        <v>#VALUE!</v>
      </c>
      <c r="AK92" s="194" t="e">
        <f t="shared" ca="1" si="30"/>
        <v>#VALUE!</v>
      </c>
      <c r="AL92" s="194" t="e">
        <f t="shared" ca="1" si="30"/>
        <v>#VALUE!</v>
      </c>
      <c r="AM92" s="194" t="e">
        <f t="shared" ca="1" si="30"/>
        <v>#VALUE!</v>
      </c>
      <c r="AN92" s="194" t="e">
        <f t="shared" ca="1" si="30"/>
        <v>#VALUE!</v>
      </c>
      <c r="AO92" s="194" t="e">
        <f t="shared" ca="1" si="30"/>
        <v>#VALUE!</v>
      </c>
      <c r="AP92" s="194" t="e">
        <f t="shared" ca="1" si="30"/>
        <v>#VALUE!</v>
      </c>
    </row>
    <row r="93" spans="1:42">
      <c r="A93" s="59" t="str">
        <f>'[4]TS BYDem'!A32</f>
        <v>*</v>
      </c>
      <c r="B93" s="194" t="s">
        <v>288</v>
      </c>
      <c r="C93" s="194" t="s">
        <v>137</v>
      </c>
      <c r="D93" s="194" t="str">
        <f>'[4]TS BYDem'!D32</f>
        <v>IFAA</v>
      </c>
      <c r="E93" s="194" t="s">
        <v>137</v>
      </c>
      <c r="F93" s="194" t="s">
        <v>137</v>
      </c>
      <c r="G93" s="194" t="s">
        <v>137</v>
      </c>
      <c r="H93" s="194" t="s">
        <v>137</v>
      </c>
      <c r="I93" s="194">
        <v>0</v>
      </c>
      <c r="J93" s="194" t="str">
        <f>INDEX('[4]TS BYDem'!$J$10:$J$203,MATCH(D93,'[4]TS BYDem'!$D$10:$D$203,0))</f>
        <v/>
      </c>
      <c r="K93" s="194" t="e">
        <f t="shared" ref="K93:AH103" ca="1" si="31">K$91/J$91*J93</f>
        <v>#VALUE!</v>
      </c>
      <c r="L93" s="194" t="e">
        <f t="shared" ca="1" si="31"/>
        <v>#VALUE!</v>
      </c>
      <c r="M93" s="194" t="e">
        <f t="shared" ca="1" si="31"/>
        <v>#VALUE!</v>
      </c>
      <c r="N93" s="194" t="e">
        <f t="shared" ca="1" si="31"/>
        <v>#VALUE!</v>
      </c>
      <c r="O93" s="194" t="e">
        <f t="shared" ca="1" si="31"/>
        <v>#VALUE!</v>
      </c>
      <c r="P93" s="194" t="e">
        <f t="shared" ca="1" si="31"/>
        <v>#VALUE!</v>
      </c>
      <c r="Q93" s="194" t="e">
        <f t="shared" ca="1" si="31"/>
        <v>#VALUE!</v>
      </c>
      <c r="R93" s="194" t="e">
        <f t="shared" ca="1" si="31"/>
        <v>#VALUE!</v>
      </c>
      <c r="S93" s="194" t="e">
        <f t="shared" ca="1" si="31"/>
        <v>#VALUE!</v>
      </c>
      <c r="T93" s="194" t="e">
        <f t="shared" ca="1" si="31"/>
        <v>#VALUE!</v>
      </c>
      <c r="U93" s="194" t="e">
        <f t="shared" ca="1" si="31"/>
        <v>#VALUE!</v>
      </c>
      <c r="V93" s="194" t="e">
        <f t="shared" ca="1" si="31"/>
        <v>#VALUE!</v>
      </c>
      <c r="W93" s="194" t="e">
        <f t="shared" ca="1" si="31"/>
        <v>#VALUE!</v>
      </c>
      <c r="X93" s="194" t="e">
        <f t="shared" ca="1" si="31"/>
        <v>#VALUE!</v>
      </c>
      <c r="Y93" s="194" t="e">
        <f t="shared" ca="1" si="31"/>
        <v>#VALUE!</v>
      </c>
      <c r="Z93" s="194" t="e">
        <f t="shared" ca="1" si="31"/>
        <v>#VALUE!</v>
      </c>
      <c r="AA93" s="194" t="e">
        <f t="shared" ca="1" si="31"/>
        <v>#VALUE!</v>
      </c>
      <c r="AB93" s="194" t="e">
        <f t="shared" ca="1" si="31"/>
        <v>#VALUE!</v>
      </c>
      <c r="AC93" s="194" t="e">
        <f t="shared" ca="1" si="31"/>
        <v>#VALUE!</v>
      </c>
      <c r="AD93" s="194" t="e">
        <f t="shared" ca="1" si="31"/>
        <v>#VALUE!</v>
      </c>
      <c r="AE93" s="194" t="e">
        <f t="shared" ca="1" si="31"/>
        <v>#VALUE!</v>
      </c>
      <c r="AF93" s="194" t="e">
        <f t="shared" ca="1" si="31"/>
        <v>#VALUE!</v>
      </c>
      <c r="AG93" s="194" t="e">
        <f t="shared" ca="1" si="31"/>
        <v>#VALUE!</v>
      </c>
      <c r="AH93" s="194" t="e">
        <f t="shared" ca="1" si="31"/>
        <v>#VALUE!</v>
      </c>
      <c r="AI93" s="194" t="e">
        <f t="shared" ca="1" si="30"/>
        <v>#VALUE!</v>
      </c>
      <c r="AJ93" s="194" t="e">
        <f t="shared" ca="1" si="30"/>
        <v>#VALUE!</v>
      </c>
      <c r="AK93" s="194" t="e">
        <f t="shared" ca="1" si="30"/>
        <v>#VALUE!</v>
      </c>
      <c r="AL93" s="194" t="e">
        <f t="shared" ca="1" si="30"/>
        <v>#VALUE!</v>
      </c>
      <c r="AM93" s="194" t="e">
        <f t="shared" ca="1" si="30"/>
        <v>#VALUE!</v>
      </c>
      <c r="AN93" s="194" t="e">
        <f t="shared" ca="1" si="30"/>
        <v>#VALUE!</v>
      </c>
      <c r="AO93" s="194" t="e">
        <f t="shared" ca="1" si="30"/>
        <v>#VALUE!</v>
      </c>
      <c r="AP93" s="194" t="e">
        <f t="shared" ca="1" si="30"/>
        <v>#VALUE!</v>
      </c>
    </row>
    <row r="94" spans="1:42">
      <c r="A94" s="59" t="str">
        <f>'[4]TS BYDem'!A33</f>
        <v>*</v>
      </c>
      <c r="B94" s="194" t="s">
        <v>288</v>
      </c>
      <c r="C94" s="194" t="s">
        <v>137</v>
      </c>
      <c r="D94" s="194" t="str">
        <f>'[4]TS BYDem'!D33</f>
        <v>IFAL</v>
      </c>
      <c r="E94" s="194" t="s">
        <v>137</v>
      </c>
      <c r="F94" s="194" t="s">
        <v>137</v>
      </c>
      <c r="G94" s="194" t="s">
        <v>137</v>
      </c>
      <c r="H94" s="194" t="s">
        <v>137</v>
      </c>
      <c r="I94" s="194">
        <v>0</v>
      </c>
      <c r="J94" s="194" t="str">
        <f>INDEX('[4]TS BYDem'!$J$10:$J$203,MATCH(D94,'[4]TS BYDem'!$D$10:$D$203,0))</f>
        <v/>
      </c>
      <c r="K94" s="194" t="e">
        <f t="shared" ca="1" si="31"/>
        <v>#VALUE!</v>
      </c>
      <c r="L94" s="194" t="e">
        <f t="shared" ca="1" si="31"/>
        <v>#VALUE!</v>
      </c>
      <c r="M94" s="194" t="e">
        <f t="shared" ca="1" si="31"/>
        <v>#VALUE!</v>
      </c>
      <c r="N94" s="194" t="e">
        <f t="shared" ca="1" si="31"/>
        <v>#VALUE!</v>
      </c>
      <c r="O94" s="194" t="e">
        <f t="shared" ca="1" si="31"/>
        <v>#VALUE!</v>
      </c>
      <c r="P94" s="194" t="e">
        <f t="shared" ca="1" si="31"/>
        <v>#VALUE!</v>
      </c>
      <c r="Q94" s="194" t="e">
        <f t="shared" ca="1" si="31"/>
        <v>#VALUE!</v>
      </c>
      <c r="R94" s="194" t="e">
        <f t="shared" ca="1" si="31"/>
        <v>#VALUE!</v>
      </c>
      <c r="S94" s="194" t="e">
        <f t="shared" ca="1" si="31"/>
        <v>#VALUE!</v>
      </c>
      <c r="T94" s="194" t="e">
        <f t="shared" ca="1" si="31"/>
        <v>#VALUE!</v>
      </c>
      <c r="U94" s="194" t="e">
        <f t="shared" ca="1" si="31"/>
        <v>#VALUE!</v>
      </c>
      <c r="V94" s="194" t="e">
        <f t="shared" ca="1" si="31"/>
        <v>#VALUE!</v>
      </c>
      <c r="W94" s="194" t="e">
        <f t="shared" ca="1" si="31"/>
        <v>#VALUE!</v>
      </c>
      <c r="X94" s="194" t="e">
        <f t="shared" ca="1" si="31"/>
        <v>#VALUE!</v>
      </c>
      <c r="Y94" s="194" t="e">
        <f t="shared" ca="1" si="31"/>
        <v>#VALUE!</v>
      </c>
      <c r="Z94" s="194" t="e">
        <f t="shared" ca="1" si="31"/>
        <v>#VALUE!</v>
      </c>
      <c r="AA94" s="194" t="e">
        <f t="shared" ca="1" si="31"/>
        <v>#VALUE!</v>
      </c>
      <c r="AB94" s="194" t="e">
        <f t="shared" ca="1" si="31"/>
        <v>#VALUE!</v>
      </c>
      <c r="AC94" s="194" t="e">
        <f t="shared" ca="1" si="31"/>
        <v>#VALUE!</v>
      </c>
      <c r="AD94" s="194" t="e">
        <f t="shared" ca="1" si="31"/>
        <v>#VALUE!</v>
      </c>
      <c r="AE94" s="194" t="e">
        <f t="shared" ca="1" si="31"/>
        <v>#VALUE!</v>
      </c>
      <c r="AF94" s="194" t="e">
        <f t="shared" ca="1" si="31"/>
        <v>#VALUE!</v>
      </c>
      <c r="AG94" s="194" t="e">
        <f t="shared" ca="1" si="31"/>
        <v>#VALUE!</v>
      </c>
      <c r="AH94" s="194" t="e">
        <f t="shared" ca="1" si="31"/>
        <v>#VALUE!</v>
      </c>
      <c r="AI94" s="194" t="e">
        <f t="shared" ca="1" si="30"/>
        <v>#VALUE!</v>
      </c>
      <c r="AJ94" s="194" t="e">
        <f t="shared" ca="1" si="30"/>
        <v>#VALUE!</v>
      </c>
      <c r="AK94" s="194" t="e">
        <f t="shared" ca="1" si="30"/>
        <v>#VALUE!</v>
      </c>
      <c r="AL94" s="194" t="e">
        <f t="shared" ca="1" si="30"/>
        <v>#VALUE!</v>
      </c>
      <c r="AM94" s="194" t="e">
        <f t="shared" ca="1" si="30"/>
        <v>#VALUE!</v>
      </c>
      <c r="AN94" s="194" t="e">
        <f t="shared" ca="1" si="30"/>
        <v>#VALUE!</v>
      </c>
      <c r="AO94" s="194" t="e">
        <f t="shared" ca="1" si="30"/>
        <v>#VALUE!</v>
      </c>
      <c r="AP94" s="194" t="e">
        <f t="shared" ca="1" si="30"/>
        <v>#VALUE!</v>
      </c>
    </row>
    <row r="95" spans="1:42">
      <c r="A95" s="59" t="str">
        <f>'[4]TS BYDem'!A34</f>
        <v>*</v>
      </c>
      <c r="B95" s="194" t="s">
        <v>288</v>
      </c>
      <c r="C95" s="194" t="s">
        <v>137</v>
      </c>
      <c r="D95" s="194" t="str">
        <f>'[4]TS BYDem'!D34</f>
        <v>IFAC</v>
      </c>
      <c r="E95" s="194" t="s">
        <v>137</v>
      </c>
      <c r="F95" s="194" t="s">
        <v>137</v>
      </c>
      <c r="G95" s="194" t="s">
        <v>137</v>
      </c>
      <c r="H95" s="194" t="s">
        <v>137</v>
      </c>
      <c r="I95" s="194">
        <v>0</v>
      </c>
      <c r="J95" s="194" t="str">
        <f>INDEX('[4]TS BYDem'!$J$10:$J$203,MATCH(D95,'[4]TS BYDem'!$D$10:$D$203,0))</f>
        <v/>
      </c>
      <c r="K95" s="194" t="e">
        <f t="shared" ca="1" si="31"/>
        <v>#VALUE!</v>
      </c>
      <c r="L95" s="194" t="e">
        <f t="shared" ca="1" si="31"/>
        <v>#VALUE!</v>
      </c>
      <c r="M95" s="194" t="e">
        <f t="shared" ca="1" si="31"/>
        <v>#VALUE!</v>
      </c>
      <c r="N95" s="194" t="e">
        <f t="shared" ca="1" si="31"/>
        <v>#VALUE!</v>
      </c>
      <c r="O95" s="194" t="e">
        <f t="shared" ca="1" si="31"/>
        <v>#VALUE!</v>
      </c>
      <c r="P95" s="194" t="e">
        <f t="shared" ca="1" si="31"/>
        <v>#VALUE!</v>
      </c>
      <c r="Q95" s="194" t="e">
        <f t="shared" ca="1" si="31"/>
        <v>#VALUE!</v>
      </c>
      <c r="R95" s="194" t="e">
        <f t="shared" ca="1" si="31"/>
        <v>#VALUE!</v>
      </c>
      <c r="S95" s="194" t="e">
        <f t="shared" ca="1" si="31"/>
        <v>#VALUE!</v>
      </c>
      <c r="T95" s="194" t="e">
        <f t="shared" ca="1" si="31"/>
        <v>#VALUE!</v>
      </c>
      <c r="U95" s="194" t="e">
        <f t="shared" ca="1" si="31"/>
        <v>#VALUE!</v>
      </c>
      <c r="V95" s="194" t="e">
        <f t="shared" ca="1" si="31"/>
        <v>#VALUE!</v>
      </c>
      <c r="W95" s="194" t="e">
        <f t="shared" ca="1" si="31"/>
        <v>#VALUE!</v>
      </c>
      <c r="X95" s="194" t="e">
        <f t="shared" ca="1" si="31"/>
        <v>#VALUE!</v>
      </c>
      <c r="Y95" s="194" t="e">
        <f t="shared" ca="1" si="31"/>
        <v>#VALUE!</v>
      </c>
      <c r="Z95" s="194" t="e">
        <f t="shared" ca="1" si="31"/>
        <v>#VALUE!</v>
      </c>
      <c r="AA95" s="194" t="e">
        <f t="shared" ca="1" si="31"/>
        <v>#VALUE!</v>
      </c>
      <c r="AB95" s="194" t="e">
        <f t="shared" ca="1" si="31"/>
        <v>#VALUE!</v>
      </c>
      <c r="AC95" s="194" t="e">
        <f t="shared" ca="1" si="31"/>
        <v>#VALUE!</v>
      </c>
      <c r="AD95" s="194" t="e">
        <f t="shared" ca="1" si="31"/>
        <v>#VALUE!</v>
      </c>
      <c r="AE95" s="194" t="e">
        <f t="shared" ca="1" si="31"/>
        <v>#VALUE!</v>
      </c>
      <c r="AF95" s="194" t="e">
        <f t="shared" ca="1" si="31"/>
        <v>#VALUE!</v>
      </c>
      <c r="AG95" s="194" t="e">
        <f t="shared" ca="1" si="31"/>
        <v>#VALUE!</v>
      </c>
      <c r="AH95" s="194" t="e">
        <f t="shared" ca="1" si="31"/>
        <v>#VALUE!</v>
      </c>
      <c r="AI95" s="194" t="e">
        <f t="shared" ca="1" si="30"/>
        <v>#VALUE!</v>
      </c>
      <c r="AJ95" s="194" t="e">
        <f t="shared" ca="1" si="30"/>
        <v>#VALUE!</v>
      </c>
      <c r="AK95" s="194" t="e">
        <f t="shared" ca="1" si="30"/>
        <v>#VALUE!</v>
      </c>
      <c r="AL95" s="194" t="e">
        <f t="shared" ca="1" si="30"/>
        <v>#VALUE!</v>
      </c>
      <c r="AM95" s="194" t="e">
        <f t="shared" ca="1" si="30"/>
        <v>#VALUE!</v>
      </c>
      <c r="AN95" s="194" t="e">
        <f t="shared" ca="1" si="30"/>
        <v>#VALUE!</v>
      </c>
      <c r="AO95" s="194" t="e">
        <f t="shared" ca="1" si="30"/>
        <v>#VALUE!</v>
      </c>
      <c r="AP95" s="194" t="e">
        <f t="shared" ca="1" si="30"/>
        <v>#VALUE!</v>
      </c>
    </row>
    <row r="96" spans="1:42">
      <c r="A96" s="59" t="str">
        <f>'[4]TS BYDem'!A35</f>
        <v>*</v>
      </c>
      <c r="B96" s="194" t="s">
        <v>288</v>
      </c>
      <c r="C96" s="194" t="s">
        <v>137</v>
      </c>
      <c r="D96" s="194" t="str">
        <f>'[4]TS BYDem'!D35</f>
        <v>IFAH</v>
      </c>
      <c r="E96" s="194" t="s">
        <v>137</v>
      </c>
      <c r="F96" s="194" t="s">
        <v>137</v>
      </c>
      <c r="G96" s="194" t="s">
        <v>137</v>
      </c>
      <c r="H96" s="194" t="s">
        <v>137</v>
      </c>
      <c r="I96" s="194">
        <v>0</v>
      </c>
      <c r="J96" s="194" t="str">
        <f>INDEX('[4]TS BYDem'!$J$10:$J$203,MATCH(D96,'[4]TS BYDem'!$D$10:$D$203,0))</f>
        <v/>
      </c>
      <c r="K96" s="194" t="e">
        <f t="shared" ca="1" si="31"/>
        <v>#VALUE!</v>
      </c>
      <c r="L96" s="194" t="e">
        <f t="shared" ca="1" si="31"/>
        <v>#VALUE!</v>
      </c>
      <c r="M96" s="194" t="e">
        <f t="shared" ca="1" si="31"/>
        <v>#VALUE!</v>
      </c>
      <c r="N96" s="194" t="e">
        <f t="shared" ca="1" si="31"/>
        <v>#VALUE!</v>
      </c>
      <c r="O96" s="194" t="e">
        <f t="shared" ca="1" si="31"/>
        <v>#VALUE!</v>
      </c>
      <c r="P96" s="194" t="e">
        <f t="shared" ca="1" si="31"/>
        <v>#VALUE!</v>
      </c>
      <c r="Q96" s="194" t="e">
        <f t="shared" ca="1" si="31"/>
        <v>#VALUE!</v>
      </c>
      <c r="R96" s="194" t="e">
        <f t="shared" ca="1" si="31"/>
        <v>#VALUE!</v>
      </c>
      <c r="S96" s="194" t="e">
        <f t="shared" ca="1" si="31"/>
        <v>#VALUE!</v>
      </c>
      <c r="T96" s="194" t="e">
        <f t="shared" ca="1" si="31"/>
        <v>#VALUE!</v>
      </c>
      <c r="U96" s="194" t="e">
        <f t="shared" ca="1" si="31"/>
        <v>#VALUE!</v>
      </c>
      <c r="V96" s="194" t="e">
        <f t="shared" ca="1" si="31"/>
        <v>#VALUE!</v>
      </c>
      <c r="W96" s="194" t="e">
        <f t="shared" ca="1" si="31"/>
        <v>#VALUE!</v>
      </c>
      <c r="X96" s="194" t="e">
        <f t="shared" ca="1" si="31"/>
        <v>#VALUE!</v>
      </c>
      <c r="Y96" s="194" t="e">
        <f t="shared" ca="1" si="31"/>
        <v>#VALUE!</v>
      </c>
      <c r="Z96" s="194" t="e">
        <f t="shared" ca="1" si="31"/>
        <v>#VALUE!</v>
      </c>
      <c r="AA96" s="194" t="e">
        <f t="shared" ca="1" si="31"/>
        <v>#VALUE!</v>
      </c>
      <c r="AB96" s="194" t="e">
        <f t="shared" ca="1" si="31"/>
        <v>#VALUE!</v>
      </c>
      <c r="AC96" s="194" t="e">
        <f t="shared" ca="1" si="31"/>
        <v>#VALUE!</v>
      </c>
      <c r="AD96" s="194" t="e">
        <f t="shared" ca="1" si="31"/>
        <v>#VALUE!</v>
      </c>
      <c r="AE96" s="194" t="e">
        <f t="shared" ca="1" si="31"/>
        <v>#VALUE!</v>
      </c>
      <c r="AF96" s="194" t="e">
        <f t="shared" ca="1" si="31"/>
        <v>#VALUE!</v>
      </c>
      <c r="AG96" s="194" t="e">
        <f t="shared" ca="1" si="31"/>
        <v>#VALUE!</v>
      </c>
      <c r="AH96" s="194" t="e">
        <f t="shared" ca="1" si="31"/>
        <v>#VALUE!</v>
      </c>
      <c r="AI96" s="194" t="e">
        <f t="shared" ca="1" si="30"/>
        <v>#VALUE!</v>
      </c>
      <c r="AJ96" s="194" t="e">
        <f t="shared" ca="1" si="30"/>
        <v>#VALUE!</v>
      </c>
      <c r="AK96" s="194" t="e">
        <f t="shared" ca="1" si="30"/>
        <v>#VALUE!</v>
      </c>
      <c r="AL96" s="194" t="e">
        <f t="shared" ca="1" si="30"/>
        <v>#VALUE!</v>
      </c>
      <c r="AM96" s="194" t="e">
        <f t="shared" ca="1" si="30"/>
        <v>#VALUE!</v>
      </c>
      <c r="AN96" s="194" t="e">
        <f t="shared" ca="1" si="30"/>
        <v>#VALUE!</v>
      </c>
      <c r="AO96" s="194" t="e">
        <f t="shared" ca="1" si="30"/>
        <v>#VALUE!</v>
      </c>
      <c r="AP96" s="194" t="e">
        <f t="shared" ca="1" si="30"/>
        <v>#VALUE!</v>
      </c>
    </row>
    <row r="97" spans="1:42">
      <c r="A97" s="59" t="str">
        <f>'[4]TS BYDem'!A36</f>
        <v>*</v>
      </c>
      <c r="B97" s="194" t="s">
        <v>288</v>
      </c>
      <c r="C97" s="194" t="s">
        <v>137</v>
      </c>
      <c r="D97" s="194" t="str">
        <f>'[4]TS BYDem'!D36</f>
        <v>IFAP</v>
      </c>
      <c r="E97" s="194" t="s">
        <v>137</v>
      </c>
      <c r="F97" s="194" t="s">
        <v>137</v>
      </c>
      <c r="G97" s="194" t="s">
        <v>137</v>
      </c>
      <c r="H97" s="194" t="s">
        <v>137</v>
      </c>
      <c r="I97" s="194">
        <v>0</v>
      </c>
      <c r="J97" s="194" t="str">
        <f>INDEX('[4]TS BYDem'!$J$10:$J$203,MATCH(D97,'[4]TS BYDem'!$D$10:$D$203,0))</f>
        <v/>
      </c>
      <c r="K97" s="194" t="e">
        <f t="shared" ca="1" si="31"/>
        <v>#VALUE!</v>
      </c>
      <c r="L97" s="194" t="e">
        <f t="shared" ca="1" si="31"/>
        <v>#VALUE!</v>
      </c>
      <c r="M97" s="194" t="e">
        <f t="shared" ca="1" si="31"/>
        <v>#VALUE!</v>
      </c>
      <c r="N97" s="194" t="e">
        <f t="shared" ca="1" si="31"/>
        <v>#VALUE!</v>
      </c>
      <c r="O97" s="194" t="e">
        <f t="shared" ca="1" si="31"/>
        <v>#VALUE!</v>
      </c>
      <c r="P97" s="194" t="e">
        <f t="shared" ca="1" si="31"/>
        <v>#VALUE!</v>
      </c>
      <c r="Q97" s="194" t="e">
        <f t="shared" ca="1" si="31"/>
        <v>#VALUE!</v>
      </c>
      <c r="R97" s="194" t="e">
        <f t="shared" ca="1" si="31"/>
        <v>#VALUE!</v>
      </c>
      <c r="S97" s="194" t="e">
        <f t="shared" ca="1" si="31"/>
        <v>#VALUE!</v>
      </c>
      <c r="T97" s="194" t="e">
        <f t="shared" ca="1" si="31"/>
        <v>#VALUE!</v>
      </c>
      <c r="U97" s="194" t="e">
        <f t="shared" ca="1" si="31"/>
        <v>#VALUE!</v>
      </c>
      <c r="V97" s="194" t="e">
        <f t="shared" ca="1" si="31"/>
        <v>#VALUE!</v>
      </c>
      <c r="W97" s="194" t="e">
        <f t="shared" ca="1" si="31"/>
        <v>#VALUE!</v>
      </c>
      <c r="X97" s="194" t="e">
        <f t="shared" ca="1" si="31"/>
        <v>#VALUE!</v>
      </c>
      <c r="Y97" s="194" t="e">
        <f t="shared" ca="1" si="31"/>
        <v>#VALUE!</v>
      </c>
      <c r="Z97" s="194" t="e">
        <f t="shared" ca="1" si="31"/>
        <v>#VALUE!</v>
      </c>
      <c r="AA97" s="194" t="e">
        <f t="shared" ca="1" si="31"/>
        <v>#VALUE!</v>
      </c>
      <c r="AB97" s="194" t="e">
        <f t="shared" ca="1" si="31"/>
        <v>#VALUE!</v>
      </c>
      <c r="AC97" s="194" t="e">
        <f t="shared" ca="1" si="31"/>
        <v>#VALUE!</v>
      </c>
      <c r="AD97" s="194" t="e">
        <f t="shared" ca="1" si="31"/>
        <v>#VALUE!</v>
      </c>
      <c r="AE97" s="194" t="e">
        <f t="shared" ca="1" si="31"/>
        <v>#VALUE!</v>
      </c>
      <c r="AF97" s="194" t="e">
        <f t="shared" ca="1" si="31"/>
        <v>#VALUE!</v>
      </c>
      <c r="AG97" s="194" t="e">
        <f t="shared" ca="1" si="31"/>
        <v>#VALUE!</v>
      </c>
      <c r="AH97" s="194" t="e">
        <f t="shared" ca="1" si="31"/>
        <v>#VALUE!</v>
      </c>
      <c r="AI97" s="194" t="e">
        <f t="shared" ca="1" si="30"/>
        <v>#VALUE!</v>
      </c>
      <c r="AJ97" s="194" t="e">
        <f t="shared" ca="1" si="30"/>
        <v>#VALUE!</v>
      </c>
      <c r="AK97" s="194" t="e">
        <f t="shared" ca="1" si="30"/>
        <v>#VALUE!</v>
      </c>
      <c r="AL97" s="194" t="e">
        <f t="shared" ca="1" si="30"/>
        <v>#VALUE!</v>
      </c>
      <c r="AM97" s="194" t="e">
        <f t="shared" ca="1" si="30"/>
        <v>#VALUE!</v>
      </c>
      <c r="AN97" s="194" t="e">
        <f t="shared" ca="1" si="30"/>
        <v>#VALUE!</v>
      </c>
      <c r="AO97" s="194" t="e">
        <f t="shared" ca="1" si="30"/>
        <v>#VALUE!</v>
      </c>
      <c r="AP97" s="194" t="e">
        <f t="shared" ca="1" si="30"/>
        <v>#VALUE!</v>
      </c>
    </row>
    <row r="98" spans="1:42">
      <c r="A98" s="59" t="str">
        <f>'[4]TS BYDem'!A37</f>
        <v>*</v>
      </c>
      <c r="B98" s="194" t="s">
        <v>288</v>
      </c>
      <c r="C98" s="194" t="s">
        <v>137</v>
      </c>
      <c r="D98" s="194" t="str">
        <f>'[4]TS BYDem'!D37</f>
        <v>IFAF</v>
      </c>
      <c r="E98" s="194" t="s">
        <v>137</v>
      </c>
      <c r="F98" s="194" t="s">
        <v>137</v>
      </c>
      <c r="G98" s="194" t="s">
        <v>137</v>
      </c>
      <c r="H98" s="194" t="s">
        <v>137</v>
      </c>
      <c r="I98" s="194">
        <v>0</v>
      </c>
      <c r="J98" s="194" t="str">
        <f>INDEX('[4]TS BYDem'!$J$10:$J$203,MATCH(D98,'[4]TS BYDem'!$D$10:$D$203,0))</f>
        <v/>
      </c>
      <c r="K98" s="194" t="e">
        <f t="shared" ca="1" si="31"/>
        <v>#VALUE!</v>
      </c>
      <c r="L98" s="194" t="e">
        <f t="shared" ca="1" si="31"/>
        <v>#VALUE!</v>
      </c>
      <c r="M98" s="194" t="e">
        <f t="shared" ca="1" si="31"/>
        <v>#VALUE!</v>
      </c>
      <c r="N98" s="194" t="e">
        <f t="shared" ca="1" si="31"/>
        <v>#VALUE!</v>
      </c>
      <c r="O98" s="194" t="e">
        <f t="shared" ca="1" si="31"/>
        <v>#VALUE!</v>
      </c>
      <c r="P98" s="194" t="e">
        <f t="shared" ca="1" si="31"/>
        <v>#VALUE!</v>
      </c>
      <c r="Q98" s="194" t="e">
        <f t="shared" ca="1" si="31"/>
        <v>#VALUE!</v>
      </c>
      <c r="R98" s="194" t="e">
        <f t="shared" ca="1" si="31"/>
        <v>#VALUE!</v>
      </c>
      <c r="S98" s="194" t="e">
        <f t="shared" ca="1" si="31"/>
        <v>#VALUE!</v>
      </c>
      <c r="T98" s="194" t="e">
        <f t="shared" ca="1" si="31"/>
        <v>#VALUE!</v>
      </c>
      <c r="U98" s="194" t="e">
        <f t="shared" ca="1" si="31"/>
        <v>#VALUE!</v>
      </c>
      <c r="V98" s="194" t="e">
        <f t="shared" ca="1" si="31"/>
        <v>#VALUE!</v>
      </c>
      <c r="W98" s="194" t="e">
        <f t="shared" ca="1" si="31"/>
        <v>#VALUE!</v>
      </c>
      <c r="X98" s="194" t="e">
        <f t="shared" ca="1" si="31"/>
        <v>#VALUE!</v>
      </c>
      <c r="Y98" s="194" t="e">
        <f t="shared" ca="1" si="31"/>
        <v>#VALUE!</v>
      </c>
      <c r="Z98" s="194" t="e">
        <f t="shared" ca="1" si="31"/>
        <v>#VALUE!</v>
      </c>
      <c r="AA98" s="194" t="e">
        <f t="shared" ca="1" si="31"/>
        <v>#VALUE!</v>
      </c>
      <c r="AB98" s="194" t="e">
        <f t="shared" ca="1" si="31"/>
        <v>#VALUE!</v>
      </c>
      <c r="AC98" s="194" t="e">
        <f t="shared" ca="1" si="31"/>
        <v>#VALUE!</v>
      </c>
      <c r="AD98" s="194" t="e">
        <f t="shared" ca="1" si="31"/>
        <v>#VALUE!</v>
      </c>
      <c r="AE98" s="194" t="e">
        <f t="shared" ca="1" si="31"/>
        <v>#VALUE!</v>
      </c>
      <c r="AF98" s="194" t="e">
        <f t="shared" ca="1" si="31"/>
        <v>#VALUE!</v>
      </c>
      <c r="AG98" s="194" t="e">
        <f t="shared" ca="1" si="31"/>
        <v>#VALUE!</v>
      </c>
      <c r="AH98" s="194" t="e">
        <f t="shared" ca="1" si="31"/>
        <v>#VALUE!</v>
      </c>
      <c r="AI98" s="194" t="e">
        <f t="shared" ca="1" si="30"/>
        <v>#VALUE!</v>
      </c>
      <c r="AJ98" s="194" t="e">
        <f t="shared" ca="1" si="30"/>
        <v>#VALUE!</v>
      </c>
      <c r="AK98" s="194" t="e">
        <f t="shared" ca="1" si="30"/>
        <v>#VALUE!</v>
      </c>
      <c r="AL98" s="194" t="e">
        <f t="shared" ca="1" si="30"/>
        <v>#VALUE!</v>
      </c>
      <c r="AM98" s="194" t="e">
        <f t="shared" ca="1" si="30"/>
        <v>#VALUE!</v>
      </c>
      <c r="AN98" s="194" t="e">
        <f t="shared" ca="1" si="30"/>
        <v>#VALUE!</v>
      </c>
      <c r="AO98" s="194" t="e">
        <f t="shared" ca="1" si="30"/>
        <v>#VALUE!</v>
      </c>
      <c r="AP98" s="194" t="e">
        <f t="shared" ca="1" si="30"/>
        <v>#VALUE!</v>
      </c>
    </row>
    <row r="99" spans="1:42">
      <c r="A99" s="59" t="str">
        <f>'[4]TS BYDem'!A38</f>
        <v>*</v>
      </c>
      <c r="B99" s="194" t="s">
        <v>288</v>
      </c>
      <c r="C99" s="194" t="s">
        <v>137</v>
      </c>
      <c r="D99" s="194" t="str">
        <f>'[4]TS BYDem'!D38</f>
        <v>IFAO</v>
      </c>
      <c r="E99" s="194" t="s">
        <v>137</v>
      </c>
      <c r="F99" s="194" t="s">
        <v>137</v>
      </c>
      <c r="G99" s="194" t="s">
        <v>137</v>
      </c>
      <c r="H99" s="194" t="s">
        <v>137</v>
      </c>
      <c r="I99" s="194">
        <v>0</v>
      </c>
      <c r="J99" s="194" t="str">
        <f>INDEX('[4]TS BYDem'!$J$10:$J$203,MATCH(D99,'[4]TS BYDem'!$D$10:$D$203,0))</f>
        <v/>
      </c>
      <c r="K99" s="194" t="e">
        <f t="shared" ca="1" si="31"/>
        <v>#VALUE!</v>
      </c>
      <c r="L99" s="194" t="e">
        <f t="shared" ca="1" si="31"/>
        <v>#VALUE!</v>
      </c>
      <c r="M99" s="194" t="e">
        <f t="shared" ca="1" si="31"/>
        <v>#VALUE!</v>
      </c>
      <c r="N99" s="194" t="e">
        <f t="shared" ca="1" si="31"/>
        <v>#VALUE!</v>
      </c>
      <c r="O99" s="194" t="e">
        <f t="shared" ca="1" si="31"/>
        <v>#VALUE!</v>
      </c>
      <c r="P99" s="194" t="e">
        <f t="shared" ca="1" si="31"/>
        <v>#VALUE!</v>
      </c>
      <c r="Q99" s="194" t="e">
        <f t="shared" ca="1" si="31"/>
        <v>#VALUE!</v>
      </c>
      <c r="R99" s="194" t="e">
        <f t="shared" ca="1" si="31"/>
        <v>#VALUE!</v>
      </c>
      <c r="S99" s="194" t="e">
        <f t="shared" ca="1" si="31"/>
        <v>#VALUE!</v>
      </c>
      <c r="T99" s="194" t="e">
        <f t="shared" ca="1" si="31"/>
        <v>#VALUE!</v>
      </c>
      <c r="U99" s="194" t="e">
        <f t="shared" ca="1" si="31"/>
        <v>#VALUE!</v>
      </c>
      <c r="V99" s="194" t="e">
        <f t="shared" ca="1" si="31"/>
        <v>#VALUE!</v>
      </c>
      <c r="W99" s="194" t="e">
        <f t="shared" ca="1" si="31"/>
        <v>#VALUE!</v>
      </c>
      <c r="X99" s="194" t="e">
        <f t="shared" ca="1" si="31"/>
        <v>#VALUE!</v>
      </c>
      <c r="Y99" s="194" t="e">
        <f t="shared" ca="1" si="31"/>
        <v>#VALUE!</v>
      </c>
      <c r="Z99" s="194" t="e">
        <f t="shared" ca="1" si="31"/>
        <v>#VALUE!</v>
      </c>
      <c r="AA99" s="194" t="e">
        <f t="shared" ca="1" si="31"/>
        <v>#VALUE!</v>
      </c>
      <c r="AB99" s="194" t="e">
        <f t="shared" ca="1" si="31"/>
        <v>#VALUE!</v>
      </c>
      <c r="AC99" s="194" t="e">
        <f t="shared" ca="1" si="31"/>
        <v>#VALUE!</v>
      </c>
      <c r="AD99" s="194" t="e">
        <f t="shared" ca="1" si="31"/>
        <v>#VALUE!</v>
      </c>
      <c r="AE99" s="194" t="e">
        <f t="shared" ca="1" si="31"/>
        <v>#VALUE!</v>
      </c>
      <c r="AF99" s="194" t="e">
        <f t="shared" ca="1" si="31"/>
        <v>#VALUE!</v>
      </c>
      <c r="AG99" s="194" t="e">
        <f t="shared" ca="1" si="31"/>
        <v>#VALUE!</v>
      </c>
      <c r="AH99" s="194" t="e">
        <f t="shared" ca="1" si="31"/>
        <v>#VALUE!</v>
      </c>
      <c r="AI99" s="194" t="e">
        <f t="shared" ca="1" si="30"/>
        <v>#VALUE!</v>
      </c>
      <c r="AJ99" s="194" t="e">
        <f t="shared" ca="1" si="30"/>
        <v>#VALUE!</v>
      </c>
      <c r="AK99" s="194" t="e">
        <f t="shared" ca="1" si="30"/>
        <v>#VALUE!</v>
      </c>
      <c r="AL99" s="194" t="e">
        <f t="shared" ca="1" si="30"/>
        <v>#VALUE!</v>
      </c>
      <c r="AM99" s="194" t="e">
        <f t="shared" ca="1" si="30"/>
        <v>#VALUE!</v>
      </c>
      <c r="AN99" s="194" t="e">
        <f t="shared" ca="1" si="30"/>
        <v>#VALUE!</v>
      </c>
      <c r="AO99" s="194" t="e">
        <f t="shared" ca="1" si="30"/>
        <v>#VALUE!</v>
      </c>
      <c r="AP99" s="194" t="e">
        <f t="shared" ca="1" si="30"/>
        <v>#VALUE!</v>
      </c>
    </row>
    <row r="100" spans="1:42">
      <c r="A100" s="59" t="str">
        <f>'[4]TS BYDem'!A39</f>
        <v>*</v>
      </c>
      <c r="B100" s="194" t="s">
        <v>288</v>
      </c>
      <c r="C100" s="194" t="s">
        <v>137</v>
      </c>
      <c r="D100" s="194" t="str">
        <f>'[4]TS BYDem'!D39</f>
        <v>IFAE</v>
      </c>
      <c r="E100" s="194" t="s">
        <v>137</v>
      </c>
      <c r="F100" s="194" t="s">
        <v>137</v>
      </c>
      <c r="G100" s="194" t="s">
        <v>137</v>
      </c>
      <c r="H100" s="194" t="s">
        <v>137</v>
      </c>
      <c r="I100" s="194">
        <v>0</v>
      </c>
      <c r="J100" s="194" t="str">
        <f>INDEX('[4]TS BYDem'!$J$10:$J$203,MATCH(D100,'[4]TS BYDem'!$D$10:$D$203,0))</f>
        <v/>
      </c>
      <c r="K100" s="194" t="e">
        <f t="shared" ca="1" si="31"/>
        <v>#VALUE!</v>
      </c>
      <c r="L100" s="194" t="e">
        <f t="shared" ca="1" si="31"/>
        <v>#VALUE!</v>
      </c>
      <c r="M100" s="194" t="e">
        <f t="shared" ca="1" si="31"/>
        <v>#VALUE!</v>
      </c>
      <c r="N100" s="194" t="e">
        <f t="shared" ca="1" si="31"/>
        <v>#VALUE!</v>
      </c>
      <c r="O100" s="194" t="e">
        <f t="shared" ca="1" si="31"/>
        <v>#VALUE!</v>
      </c>
      <c r="P100" s="194" t="e">
        <f t="shared" ca="1" si="31"/>
        <v>#VALUE!</v>
      </c>
      <c r="Q100" s="194" t="e">
        <f t="shared" ca="1" si="31"/>
        <v>#VALUE!</v>
      </c>
      <c r="R100" s="194" t="e">
        <f t="shared" ca="1" si="31"/>
        <v>#VALUE!</v>
      </c>
      <c r="S100" s="194" t="e">
        <f t="shared" ca="1" si="31"/>
        <v>#VALUE!</v>
      </c>
      <c r="T100" s="194" t="e">
        <f t="shared" ca="1" si="31"/>
        <v>#VALUE!</v>
      </c>
      <c r="U100" s="194" t="e">
        <f t="shared" ca="1" si="31"/>
        <v>#VALUE!</v>
      </c>
      <c r="V100" s="194" t="e">
        <f t="shared" ca="1" si="31"/>
        <v>#VALUE!</v>
      </c>
      <c r="W100" s="194" t="e">
        <f t="shared" ca="1" si="31"/>
        <v>#VALUE!</v>
      </c>
      <c r="X100" s="194" t="e">
        <f t="shared" ca="1" si="31"/>
        <v>#VALUE!</v>
      </c>
      <c r="Y100" s="194" t="e">
        <f t="shared" ca="1" si="31"/>
        <v>#VALUE!</v>
      </c>
      <c r="Z100" s="194" t="e">
        <f t="shared" ca="1" si="31"/>
        <v>#VALUE!</v>
      </c>
      <c r="AA100" s="194" t="e">
        <f t="shared" ca="1" si="31"/>
        <v>#VALUE!</v>
      </c>
      <c r="AB100" s="194" t="e">
        <f t="shared" ca="1" si="31"/>
        <v>#VALUE!</v>
      </c>
      <c r="AC100" s="194" t="e">
        <f t="shared" ca="1" si="31"/>
        <v>#VALUE!</v>
      </c>
      <c r="AD100" s="194" t="e">
        <f t="shared" ca="1" si="31"/>
        <v>#VALUE!</v>
      </c>
      <c r="AE100" s="194" t="e">
        <f t="shared" ca="1" si="31"/>
        <v>#VALUE!</v>
      </c>
      <c r="AF100" s="194" t="e">
        <f t="shared" ca="1" si="31"/>
        <v>#VALUE!</v>
      </c>
      <c r="AG100" s="194" t="e">
        <f t="shared" ca="1" si="31"/>
        <v>#VALUE!</v>
      </c>
      <c r="AH100" s="194" t="e">
        <f t="shared" ca="1" si="31"/>
        <v>#VALUE!</v>
      </c>
      <c r="AI100" s="194" t="e">
        <f t="shared" ca="1" si="30"/>
        <v>#VALUE!</v>
      </c>
      <c r="AJ100" s="194" t="e">
        <f t="shared" ca="1" si="30"/>
        <v>#VALUE!</v>
      </c>
      <c r="AK100" s="194" t="e">
        <f t="shared" ca="1" si="30"/>
        <v>#VALUE!</v>
      </c>
      <c r="AL100" s="194" t="e">
        <f t="shared" ca="1" si="30"/>
        <v>#VALUE!</v>
      </c>
      <c r="AM100" s="194" t="e">
        <f t="shared" ca="1" si="30"/>
        <v>#VALUE!</v>
      </c>
      <c r="AN100" s="194" t="e">
        <f t="shared" ca="1" si="30"/>
        <v>#VALUE!</v>
      </c>
      <c r="AO100" s="194" t="e">
        <f t="shared" ca="1" si="30"/>
        <v>#VALUE!</v>
      </c>
      <c r="AP100" s="194" t="e">
        <f t="shared" ca="1" si="30"/>
        <v>#VALUE!</v>
      </c>
    </row>
    <row r="101" spans="1:42">
      <c r="A101" s="59" t="str">
        <f>'[4]TS BYDem'!A40</f>
        <v>*</v>
      </c>
      <c r="B101" s="194" t="s">
        <v>288</v>
      </c>
      <c r="C101" s="194" t="s">
        <v>137</v>
      </c>
      <c r="D101" s="194">
        <f>'[4]TS BYDem'!D40</f>
        <v>0</v>
      </c>
      <c r="E101" s="194" t="s">
        <v>137</v>
      </c>
      <c r="F101" s="194" t="s">
        <v>137</v>
      </c>
      <c r="G101" s="194" t="s">
        <v>137</v>
      </c>
      <c r="H101" s="194" t="s">
        <v>137</v>
      </c>
      <c r="I101" s="194">
        <v>0</v>
      </c>
      <c r="J101" s="194" t="str">
        <f>INDEX('[4]TS BYDem'!$J$10:$J$203,MATCH(D101,'[4]TS BYDem'!$D$10:$D$203,0))</f>
        <v/>
      </c>
      <c r="K101" s="194" t="e">
        <f t="shared" ca="1" si="31"/>
        <v>#VALUE!</v>
      </c>
      <c r="L101" s="194" t="e">
        <f t="shared" ca="1" si="31"/>
        <v>#VALUE!</v>
      </c>
      <c r="M101" s="194" t="e">
        <f t="shared" ca="1" si="31"/>
        <v>#VALUE!</v>
      </c>
      <c r="N101" s="194" t="e">
        <f t="shared" ca="1" si="31"/>
        <v>#VALUE!</v>
      </c>
      <c r="O101" s="194" t="e">
        <f t="shared" ca="1" si="31"/>
        <v>#VALUE!</v>
      </c>
      <c r="P101" s="194" t="e">
        <f t="shared" ca="1" si="31"/>
        <v>#VALUE!</v>
      </c>
      <c r="Q101" s="194" t="e">
        <f t="shared" ca="1" si="31"/>
        <v>#VALUE!</v>
      </c>
      <c r="R101" s="194" t="e">
        <f t="shared" ca="1" si="31"/>
        <v>#VALUE!</v>
      </c>
      <c r="S101" s="194" t="e">
        <f t="shared" ca="1" si="31"/>
        <v>#VALUE!</v>
      </c>
      <c r="T101" s="194" t="e">
        <f t="shared" ca="1" si="31"/>
        <v>#VALUE!</v>
      </c>
      <c r="U101" s="194" t="e">
        <f t="shared" ca="1" si="31"/>
        <v>#VALUE!</v>
      </c>
      <c r="V101" s="194" t="e">
        <f t="shared" ca="1" si="31"/>
        <v>#VALUE!</v>
      </c>
      <c r="W101" s="194" t="e">
        <f t="shared" ca="1" si="31"/>
        <v>#VALUE!</v>
      </c>
      <c r="X101" s="194" t="e">
        <f t="shared" ca="1" si="31"/>
        <v>#VALUE!</v>
      </c>
      <c r="Y101" s="194" t="e">
        <f t="shared" ca="1" si="31"/>
        <v>#VALUE!</v>
      </c>
      <c r="Z101" s="194" t="e">
        <f t="shared" ca="1" si="31"/>
        <v>#VALUE!</v>
      </c>
      <c r="AA101" s="194" t="e">
        <f t="shared" ca="1" si="31"/>
        <v>#VALUE!</v>
      </c>
      <c r="AB101" s="194" t="e">
        <f t="shared" ca="1" si="31"/>
        <v>#VALUE!</v>
      </c>
      <c r="AC101" s="194" t="e">
        <f t="shared" ca="1" si="31"/>
        <v>#VALUE!</v>
      </c>
      <c r="AD101" s="194" t="e">
        <f t="shared" ca="1" si="31"/>
        <v>#VALUE!</v>
      </c>
      <c r="AE101" s="194" t="e">
        <f t="shared" ca="1" si="31"/>
        <v>#VALUE!</v>
      </c>
      <c r="AF101" s="194" t="e">
        <f t="shared" ca="1" si="31"/>
        <v>#VALUE!</v>
      </c>
      <c r="AG101" s="194" t="e">
        <f t="shared" ca="1" si="31"/>
        <v>#VALUE!</v>
      </c>
      <c r="AH101" s="194" t="e">
        <f t="shared" ca="1" si="31"/>
        <v>#VALUE!</v>
      </c>
      <c r="AI101" s="194" t="e">
        <f t="shared" ca="1" si="30"/>
        <v>#VALUE!</v>
      </c>
      <c r="AJ101" s="194" t="e">
        <f t="shared" ca="1" si="30"/>
        <v>#VALUE!</v>
      </c>
      <c r="AK101" s="194" t="e">
        <f t="shared" ca="1" si="30"/>
        <v>#VALUE!</v>
      </c>
      <c r="AL101" s="194" t="e">
        <f t="shared" ca="1" si="30"/>
        <v>#VALUE!</v>
      </c>
      <c r="AM101" s="194" t="e">
        <f t="shared" ca="1" si="30"/>
        <v>#VALUE!</v>
      </c>
      <c r="AN101" s="194" t="e">
        <f t="shared" ca="1" si="30"/>
        <v>#VALUE!</v>
      </c>
      <c r="AO101" s="194" t="e">
        <f t="shared" ca="1" si="30"/>
        <v>#VALUE!</v>
      </c>
      <c r="AP101" s="194" t="e">
        <f t="shared" ca="1" si="30"/>
        <v>#VALUE!</v>
      </c>
    </row>
    <row r="102" spans="1:42">
      <c r="A102" s="59" t="str">
        <f>'[4]TS BYDem'!A41</f>
        <v>*</v>
      </c>
      <c r="B102" s="194" t="s">
        <v>288</v>
      </c>
      <c r="C102" s="194" t="s">
        <v>137</v>
      </c>
      <c r="D102" s="194" t="str">
        <f>'[4]TS BYDem'!D41</f>
        <v>IFAS</v>
      </c>
      <c r="E102" s="194" t="s">
        <v>137</v>
      </c>
      <c r="F102" s="194" t="s">
        <v>137</v>
      </c>
      <c r="G102" s="194" t="s">
        <v>137</v>
      </c>
      <c r="H102" s="194" t="s">
        <v>137</v>
      </c>
      <c r="I102" s="194">
        <v>0</v>
      </c>
      <c r="J102" s="194" t="str">
        <f>INDEX('[4]TS BYDem'!$J$10:$J$203,MATCH(D102,'[4]TS BYDem'!$D$10:$D$203,0))</f>
        <v/>
      </c>
      <c r="K102" s="194" t="e">
        <f t="shared" ca="1" si="31"/>
        <v>#VALUE!</v>
      </c>
      <c r="L102" s="194" t="e">
        <f t="shared" ca="1" si="31"/>
        <v>#VALUE!</v>
      </c>
      <c r="M102" s="194" t="e">
        <f t="shared" ca="1" si="31"/>
        <v>#VALUE!</v>
      </c>
      <c r="N102" s="194" t="e">
        <f t="shared" ca="1" si="31"/>
        <v>#VALUE!</v>
      </c>
      <c r="O102" s="194" t="e">
        <f t="shared" ca="1" si="31"/>
        <v>#VALUE!</v>
      </c>
      <c r="P102" s="194" t="e">
        <f t="shared" ca="1" si="31"/>
        <v>#VALUE!</v>
      </c>
      <c r="Q102" s="194" t="e">
        <f t="shared" ca="1" si="31"/>
        <v>#VALUE!</v>
      </c>
      <c r="R102" s="194" t="e">
        <f t="shared" ca="1" si="31"/>
        <v>#VALUE!</v>
      </c>
      <c r="S102" s="194" t="e">
        <f t="shared" ca="1" si="31"/>
        <v>#VALUE!</v>
      </c>
      <c r="T102" s="194" t="e">
        <f t="shared" ca="1" si="31"/>
        <v>#VALUE!</v>
      </c>
      <c r="U102" s="194" t="e">
        <f t="shared" ca="1" si="31"/>
        <v>#VALUE!</v>
      </c>
      <c r="V102" s="194" t="e">
        <f t="shared" ca="1" si="31"/>
        <v>#VALUE!</v>
      </c>
      <c r="W102" s="194" t="e">
        <f t="shared" ca="1" si="31"/>
        <v>#VALUE!</v>
      </c>
      <c r="X102" s="194" t="e">
        <f t="shared" ca="1" si="31"/>
        <v>#VALUE!</v>
      </c>
      <c r="Y102" s="194" t="e">
        <f t="shared" ca="1" si="31"/>
        <v>#VALUE!</v>
      </c>
      <c r="Z102" s="194" t="e">
        <f t="shared" ca="1" si="31"/>
        <v>#VALUE!</v>
      </c>
      <c r="AA102" s="194" t="e">
        <f t="shared" ca="1" si="31"/>
        <v>#VALUE!</v>
      </c>
      <c r="AB102" s="194" t="e">
        <f t="shared" ca="1" si="31"/>
        <v>#VALUE!</v>
      </c>
      <c r="AC102" s="194" t="e">
        <f t="shared" ca="1" si="31"/>
        <v>#VALUE!</v>
      </c>
      <c r="AD102" s="194" t="e">
        <f t="shared" ca="1" si="31"/>
        <v>#VALUE!</v>
      </c>
      <c r="AE102" s="194" t="e">
        <f t="shared" ca="1" si="31"/>
        <v>#VALUE!</v>
      </c>
      <c r="AF102" s="194" t="e">
        <f t="shared" ca="1" si="31"/>
        <v>#VALUE!</v>
      </c>
      <c r="AG102" s="194" t="e">
        <f t="shared" ca="1" si="31"/>
        <v>#VALUE!</v>
      </c>
      <c r="AH102" s="194" t="e">
        <f t="shared" ca="1" si="31"/>
        <v>#VALUE!</v>
      </c>
      <c r="AI102" s="194" t="e">
        <f t="shared" ca="1" si="30"/>
        <v>#VALUE!</v>
      </c>
      <c r="AJ102" s="194" t="e">
        <f t="shared" ca="1" si="30"/>
        <v>#VALUE!</v>
      </c>
      <c r="AK102" s="194" t="e">
        <f t="shared" ca="1" si="30"/>
        <v>#VALUE!</v>
      </c>
      <c r="AL102" s="194" t="e">
        <f t="shared" ca="1" si="30"/>
        <v>#VALUE!</v>
      </c>
      <c r="AM102" s="194" t="e">
        <f t="shared" ca="1" si="30"/>
        <v>#VALUE!</v>
      </c>
      <c r="AN102" s="194" t="e">
        <f t="shared" ca="1" si="30"/>
        <v>#VALUE!</v>
      </c>
      <c r="AO102" s="194" t="e">
        <f t="shared" ca="1" si="30"/>
        <v>#VALUE!</v>
      </c>
      <c r="AP102" s="194" t="e">
        <f t="shared" ca="1" si="30"/>
        <v>#VALUE!</v>
      </c>
    </row>
    <row r="103" spans="1:42">
      <c r="A103" s="59" t="str">
        <f>'[4]TS BYDem'!A42</f>
        <v>*</v>
      </c>
      <c r="B103" s="194" t="s">
        <v>288</v>
      </c>
      <c r="C103" s="194" t="s">
        <v>137</v>
      </c>
      <c r="D103" s="194" t="str">
        <f>'[4]TS BYDem'!D42</f>
        <v>IFAS</v>
      </c>
      <c r="E103" s="194" t="s">
        <v>137</v>
      </c>
      <c r="F103" s="194" t="s">
        <v>137</v>
      </c>
      <c r="G103" s="194" t="s">
        <v>137</v>
      </c>
      <c r="H103" s="194" t="s">
        <v>137</v>
      </c>
      <c r="I103" s="194">
        <v>0</v>
      </c>
      <c r="J103" s="194" t="str">
        <f>INDEX('[4]TS BYDem'!$J$10:$J$203,MATCH(D103,'[4]TS BYDem'!$D$10:$D$203,0))</f>
        <v/>
      </c>
      <c r="K103" s="194" t="e">
        <f t="shared" ca="1" si="31"/>
        <v>#VALUE!</v>
      </c>
      <c r="L103" s="194" t="e">
        <f t="shared" ca="1" si="31"/>
        <v>#VALUE!</v>
      </c>
      <c r="M103" s="194" t="e">
        <f t="shared" ca="1" si="31"/>
        <v>#VALUE!</v>
      </c>
      <c r="N103" s="194" t="e">
        <f t="shared" ca="1" si="31"/>
        <v>#VALUE!</v>
      </c>
      <c r="O103" s="194" t="e">
        <f t="shared" ca="1" si="31"/>
        <v>#VALUE!</v>
      </c>
      <c r="P103" s="194" t="e">
        <f t="shared" ca="1" si="31"/>
        <v>#VALUE!</v>
      </c>
      <c r="Q103" s="194" t="e">
        <f t="shared" ca="1" si="31"/>
        <v>#VALUE!</v>
      </c>
      <c r="R103" s="194" t="e">
        <f t="shared" ca="1" si="31"/>
        <v>#VALUE!</v>
      </c>
      <c r="S103" s="194" t="e">
        <f t="shared" ca="1" si="31"/>
        <v>#VALUE!</v>
      </c>
      <c r="T103" s="194" t="e">
        <f t="shared" ca="1" si="31"/>
        <v>#VALUE!</v>
      </c>
      <c r="U103" s="194" t="e">
        <f t="shared" ca="1" si="31"/>
        <v>#VALUE!</v>
      </c>
      <c r="V103" s="194" t="e">
        <f t="shared" ca="1" si="31"/>
        <v>#VALUE!</v>
      </c>
      <c r="W103" s="194" t="e">
        <f t="shared" ca="1" si="31"/>
        <v>#VALUE!</v>
      </c>
      <c r="X103" s="194" t="e">
        <f t="shared" ca="1" si="31"/>
        <v>#VALUE!</v>
      </c>
      <c r="Y103" s="194" t="e">
        <f t="shared" ca="1" si="31"/>
        <v>#VALUE!</v>
      </c>
      <c r="Z103" s="194" t="e">
        <f t="shared" ref="Z103:AO111" ca="1" si="32">Z$91/Y$91*Y103</f>
        <v>#VALUE!</v>
      </c>
      <c r="AA103" s="194" t="e">
        <f t="shared" ca="1" si="32"/>
        <v>#VALUE!</v>
      </c>
      <c r="AB103" s="194" t="e">
        <f t="shared" ca="1" si="32"/>
        <v>#VALUE!</v>
      </c>
      <c r="AC103" s="194" t="e">
        <f t="shared" ca="1" si="32"/>
        <v>#VALUE!</v>
      </c>
      <c r="AD103" s="194" t="e">
        <f t="shared" ca="1" si="32"/>
        <v>#VALUE!</v>
      </c>
      <c r="AE103" s="194" t="e">
        <f t="shared" ca="1" si="32"/>
        <v>#VALUE!</v>
      </c>
      <c r="AF103" s="194" t="e">
        <f t="shared" ca="1" si="32"/>
        <v>#VALUE!</v>
      </c>
      <c r="AG103" s="194" t="e">
        <f t="shared" ca="1" si="32"/>
        <v>#VALUE!</v>
      </c>
      <c r="AH103" s="194" t="e">
        <f t="shared" ca="1" si="32"/>
        <v>#VALUE!</v>
      </c>
      <c r="AI103" s="194" t="e">
        <f t="shared" ca="1" si="30"/>
        <v>#VALUE!</v>
      </c>
      <c r="AJ103" s="194" t="e">
        <f t="shared" ca="1" si="30"/>
        <v>#VALUE!</v>
      </c>
      <c r="AK103" s="194" t="e">
        <f t="shared" ca="1" si="30"/>
        <v>#VALUE!</v>
      </c>
      <c r="AL103" s="194" t="e">
        <f t="shared" ca="1" si="30"/>
        <v>#VALUE!</v>
      </c>
      <c r="AM103" s="194" t="e">
        <f t="shared" ca="1" si="30"/>
        <v>#VALUE!</v>
      </c>
      <c r="AN103" s="194" t="e">
        <f t="shared" ca="1" si="30"/>
        <v>#VALUE!</v>
      </c>
      <c r="AO103" s="194" t="e">
        <f t="shared" ca="1" si="30"/>
        <v>#VALUE!</v>
      </c>
      <c r="AP103" s="194" t="e">
        <f t="shared" ca="1" si="30"/>
        <v>#VALUE!</v>
      </c>
    </row>
    <row r="104" spans="1:42">
      <c r="A104" s="59" t="str">
        <f>'[4]TS BYDem'!A43</f>
        <v>*</v>
      </c>
      <c r="B104" s="194" t="s">
        <v>288</v>
      </c>
      <c r="C104" s="194" t="s">
        <v>137</v>
      </c>
      <c r="D104" s="194" t="str">
        <f>'[4]TS BYDem'!D43</f>
        <v>IFAS</v>
      </c>
      <c r="E104" s="194" t="s">
        <v>137</v>
      </c>
      <c r="F104" s="194" t="s">
        <v>137</v>
      </c>
      <c r="G104" s="194" t="s">
        <v>137</v>
      </c>
      <c r="H104" s="194" t="s">
        <v>137</v>
      </c>
      <c r="I104" s="194">
        <v>0</v>
      </c>
      <c r="J104" s="194" t="str">
        <f>INDEX('[4]TS BYDem'!$J$10:$J$203,MATCH(D104,'[4]TS BYDem'!$D$10:$D$203,0))</f>
        <v/>
      </c>
      <c r="K104" s="194" t="e">
        <f t="shared" ref="K104:Y111" ca="1" si="33">K$91/J$91*J104</f>
        <v>#VALUE!</v>
      </c>
      <c r="L104" s="194" t="e">
        <f t="shared" ca="1" si="33"/>
        <v>#VALUE!</v>
      </c>
      <c r="M104" s="194" t="e">
        <f t="shared" ca="1" si="33"/>
        <v>#VALUE!</v>
      </c>
      <c r="N104" s="194" t="e">
        <f t="shared" ca="1" si="33"/>
        <v>#VALUE!</v>
      </c>
      <c r="O104" s="194" t="e">
        <f t="shared" ca="1" si="33"/>
        <v>#VALUE!</v>
      </c>
      <c r="P104" s="194" t="e">
        <f t="shared" ca="1" si="33"/>
        <v>#VALUE!</v>
      </c>
      <c r="Q104" s="194" t="e">
        <f t="shared" ca="1" si="33"/>
        <v>#VALUE!</v>
      </c>
      <c r="R104" s="194" t="e">
        <f t="shared" ca="1" si="33"/>
        <v>#VALUE!</v>
      </c>
      <c r="S104" s="194" t="e">
        <f t="shared" ca="1" si="33"/>
        <v>#VALUE!</v>
      </c>
      <c r="T104" s="194" t="e">
        <f t="shared" ca="1" si="33"/>
        <v>#VALUE!</v>
      </c>
      <c r="U104" s="194" t="e">
        <f t="shared" ca="1" si="33"/>
        <v>#VALUE!</v>
      </c>
      <c r="V104" s="194" t="e">
        <f t="shared" ca="1" si="33"/>
        <v>#VALUE!</v>
      </c>
      <c r="W104" s="194" t="e">
        <f t="shared" ca="1" si="33"/>
        <v>#VALUE!</v>
      </c>
      <c r="X104" s="194" t="e">
        <f t="shared" ca="1" si="33"/>
        <v>#VALUE!</v>
      </c>
      <c r="Y104" s="194" t="e">
        <f t="shared" ca="1" si="33"/>
        <v>#VALUE!</v>
      </c>
      <c r="Z104" s="194" t="e">
        <f t="shared" ca="1" si="32"/>
        <v>#VALUE!</v>
      </c>
      <c r="AA104" s="194" t="e">
        <f t="shared" ca="1" si="32"/>
        <v>#VALUE!</v>
      </c>
      <c r="AB104" s="194" t="e">
        <f t="shared" ca="1" si="32"/>
        <v>#VALUE!</v>
      </c>
      <c r="AC104" s="194" t="e">
        <f t="shared" ca="1" si="32"/>
        <v>#VALUE!</v>
      </c>
      <c r="AD104" s="194" t="e">
        <f t="shared" ca="1" si="32"/>
        <v>#VALUE!</v>
      </c>
      <c r="AE104" s="194" t="e">
        <f t="shared" ca="1" si="32"/>
        <v>#VALUE!</v>
      </c>
      <c r="AF104" s="194" t="e">
        <f t="shared" ca="1" si="32"/>
        <v>#VALUE!</v>
      </c>
      <c r="AG104" s="194" t="e">
        <f t="shared" ca="1" si="32"/>
        <v>#VALUE!</v>
      </c>
      <c r="AH104" s="194" t="e">
        <f t="shared" ca="1" si="32"/>
        <v>#VALUE!</v>
      </c>
      <c r="AI104" s="194" t="e">
        <f t="shared" ca="1" si="30"/>
        <v>#VALUE!</v>
      </c>
      <c r="AJ104" s="194" t="e">
        <f t="shared" ca="1" si="30"/>
        <v>#VALUE!</v>
      </c>
      <c r="AK104" s="194" t="e">
        <f t="shared" ca="1" si="30"/>
        <v>#VALUE!</v>
      </c>
      <c r="AL104" s="194" t="e">
        <f t="shared" ca="1" si="30"/>
        <v>#VALUE!</v>
      </c>
      <c r="AM104" s="194" t="e">
        <f t="shared" ca="1" si="30"/>
        <v>#VALUE!</v>
      </c>
      <c r="AN104" s="194" t="e">
        <f t="shared" ca="1" si="30"/>
        <v>#VALUE!</v>
      </c>
      <c r="AO104" s="194" t="e">
        <f t="shared" ca="1" si="30"/>
        <v>#VALUE!</v>
      </c>
      <c r="AP104" s="194" t="e">
        <f t="shared" ca="1" si="30"/>
        <v>#VALUE!</v>
      </c>
    </row>
    <row r="105" spans="1:42">
      <c r="A105" s="59" t="str">
        <f>'[4]TS BYDem'!A44</f>
        <v>*</v>
      </c>
      <c r="B105" s="194" t="s">
        <v>288</v>
      </c>
      <c r="C105" s="194" t="s">
        <v>137</v>
      </c>
      <c r="D105" s="194" t="str">
        <f>'[4]TS BYDem'!D44</f>
        <v>IFAS</v>
      </c>
      <c r="E105" s="194" t="s">
        <v>137</v>
      </c>
      <c r="F105" s="194" t="s">
        <v>137</v>
      </c>
      <c r="G105" s="194" t="s">
        <v>137</v>
      </c>
      <c r="H105" s="194" t="s">
        <v>137</v>
      </c>
      <c r="I105" s="194">
        <v>0</v>
      </c>
      <c r="J105" s="194" t="str">
        <f>INDEX('[4]TS BYDem'!$J$10:$J$203,MATCH(D105,'[4]TS BYDem'!$D$10:$D$203,0))</f>
        <v/>
      </c>
      <c r="K105" s="194" t="e">
        <f t="shared" ca="1" si="33"/>
        <v>#VALUE!</v>
      </c>
      <c r="L105" s="194" t="e">
        <f t="shared" ca="1" si="33"/>
        <v>#VALUE!</v>
      </c>
      <c r="M105" s="194" t="e">
        <f t="shared" ca="1" si="33"/>
        <v>#VALUE!</v>
      </c>
      <c r="N105" s="194" t="e">
        <f t="shared" ca="1" si="33"/>
        <v>#VALUE!</v>
      </c>
      <c r="O105" s="194" t="e">
        <f t="shared" ca="1" si="33"/>
        <v>#VALUE!</v>
      </c>
      <c r="P105" s="194" t="e">
        <f t="shared" ca="1" si="33"/>
        <v>#VALUE!</v>
      </c>
      <c r="Q105" s="194" t="e">
        <f t="shared" ca="1" si="33"/>
        <v>#VALUE!</v>
      </c>
      <c r="R105" s="194" t="e">
        <f t="shared" ca="1" si="33"/>
        <v>#VALUE!</v>
      </c>
      <c r="S105" s="194" t="e">
        <f t="shared" ca="1" si="33"/>
        <v>#VALUE!</v>
      </c>
      <c r="T105" s="194" t="e">
        <f t="shared" ca="1" si="33"/>
        <v>#VALUE!</v>
      </c>
      <c r="U105" s="194" t="e">
        <f t="shared" ca="1" si="33"/>
        <v>#VALUE!</v>
      </c>
      <c r="V105" s="194" t="e">
        <f t="shared" ca="1" si="33"/>
        <v>#VALUE!</v>
      </c>
      <c r="W105" s="194" t="e">
        <f t="shared" ca="1" si="33"/>
        <v>#VALUE!</v>
      </c>
      <c r="X105" s="194" t="e">
        <f t="shared" ca="1" si="33"/>
        <v>#VALUE!</v>
      </c>
      <c r="Y105" s="194" t="e">
        <f t="shared" ca="1" si="33"/>
        <v>#VALUE!</v>
      </c>
      <c r="Z105" s="194" t="e">
        <f t="shared" ca="1" si="32"/>
        <v>#VALUE!</v>
      </c>
      <c r="AA105" s="194" t="e">
        <f t="shared" ca="1" si="32"/>
        <v>#VALUE!</v>
      </c>
      <c r="AB105" s="194" t="e">
        <f t="shared" ca="1" si="32"/>
        <v>#VALUE!</v>
      </c>
      <c r="AC105" s="194" t="e">
        <f t="shared" ca="1" si="32"/>
        <v>#VALUE!</v>
      </c>
      <c r="AD105" s="194" t="e">
        <f t="shared" ca="1" si="32"/>
        <v>#VALUE!</v>
      </c>
      <c r="AE105" s="194" t="e">
        <f t="shared" ca="1" si="32"/>
        <v>#VALUE!</v>
      </c>
      <c r="AF105" s="194" t="e">
        <f t="shared" ca="1" si="32"/>
        <v>#VALUE!</v>
      </c>
      <c r="AG105" s="194" t="e">
        <f t="shared" ca="1" si="32"/>
        <v>#VALUE!</v>
      </c>
      <c r="AH105" s="194" t="e">
        <f t="shared" ca="1" si="32"/>
        <v>#VALUE!</v>
      </c>
      <c r="AI105" s="194" t="e">
        <f t="shared" ca="1" si="30"/>
        <v>#VALUE!</v>
      </c>
      <c r="AJ105" s="194" t="e">
        <f t="shared" ca="1" si="30"/>
        <v>#VALUE!</v>
      </c>
      <c r="AK105" s="194" t="e">
        <f t="shared" ca="1" si="30"/>
        <v>#VALUE!</v>
      </c>
      <c r="AL105" s="194" t="e">
        <f t="shared" ca="1" si="30"/>
        <v>#VALUE!</v>
      </c>
      <c r="AM105" s="194" t="e">
        <f t="shared" ca="1" si="30"/>
        <v>#VALUE!</v>
      </c>
      <c r="AN105" s="194" t="e">
        <f t="shared" ca="1" si="30"/>
        <v>#VALUE!</v>
      </c>
      <c r="AO105" s="194" t="e">
        <f t="shared" ca="1" si="30"/>
        <v>#VALUE!</v>
      </c>
      <c r="AP105" s="194" t="e">
        <f t="shared" ca="1" si="30"/>
        <v>#VALUE!</v>
      </c>
    </row>
    <row r="106" spans="1:42">
      <c r="A106" s="59" t="str">
        <f>'[4]TS BYDem'!A45</f>
        <v>*</v>
      </c>
      <c r="B106" s="194" t="s">
        <v>288</v>
      </c>
      <c r="C106" s="194" t="s">
        <v>137</v>
      </c>
      <c r="D106" s="194" t="str">
        <f>'[4]TS BYDem'!D45</f>
        <v>IFAS</v>
      </c>
      <c r="E106" s="194" t="s">
        <v>137</v>
      </c>
      <c r="F106" s="194" t="s">
        <v>137</v>
      </c>
      <c r="G106" s="194" t="s">
        <v>137</v>
      </c>
      <c r="H106" s="194" t="s">
        <v>137</v>
      </c>
      <c r="I106" s="194">
        <v>0</v>
      </c>
      <c r="J106" s="194" t="str">
        <f>INDEX('[4]TS BYDem'!$J$10:$J$203,MATCH(D106,'[4]TS BYDem'!$D$10:$D$203,0))</f>
        <v/>
      </c>
      <c r="K106" s="194" t="e">
        <f t="shared" ca="1" si="33"/>
        <v>#VALUE!</v>
      </c>
      <c r="L106" s="194" t="e">
        <f t="shared" ca="1" si="33"/>
        <v>#VALUE!</v>
      </c>
      <c r="M106" s="194" t="e">
        <f t="shared" ca="1" si="33"/>
        <v>#VALUE!</v>
      </c>
      <c r="N106" s="194" t="e">
        <f t="shared" ca="1" si="33"/>
        <v>#VALUE!</v>
      </c>
      <c r="O106" s="194" t="e">
        <f t="shared" ca="1" si="33"/>
        <v>#VALUE!</v>
      </c>
      <c r="P106" s="194" t="e">
        <f t="shared" ca="1" si="33"/>
        <v>#VALUE!</v>
      </c>
      <c r="Q106" s="194" t="e">
        <f t="shared" ca="1" si="33"/>
        <v>#VALUE!</v>
      </c>
      <c r="R106" s="194" t="e">
        <f t="shared" ca="1" si="33"/>
        <v>#VALUE!</v>
      </c>
      <c r="S106" s="194" t="e">
        <f t="shared" ca="1" si="33"/>
        <v>#VALUE!</v>
      </c>
      <c r="T106" s="194" t="e">
        <f t="shared" ca="1" si="33"/>
        <v>#VALUE!</v>
      </c>
      <c r="U106" s="194" t="e">
        <f t="shared" ca="1" si="33"/>
        <v>#VALUE!</v>
      </c>
      <c r="V106" s="194" t="e">
        <f t="shared" ca="1" si="33"/>
        <v>#VALUE!</v>
      </c>
      <c r="W106" s="194" t="e">
        <f t="shared" ca="1" si="33"/>
        <v>#VALUE!</v>
      </c>
      <c r="X106" s="194" t="e">
        <f t="shared" ca="1" si="33"/>
        <v>#VALUE!</v>
      </c>
      <c r="Y106" s="194" t="e">
        <f t="shared" ca="1" si="33"/>
        <v>#VALUE!</v>
      </c>
      <c r="Z106" s="194" t="e">
        <f t="shared" ca="1" si="32"/>
        <v>#VALUE!</v>
      </c>
      <c r="AA106" s="194" t="e">
        <f t="shared" ca="1" si="32"/>
        <v>#VALUE!</v>
      </c>
      <c r="AB106" s="194" t="e">
        <f t="shared" ca="1" si="32"/>
        <v>#VALUE!</v>
      </c>
      <c r="AC106" s="194" t="e">
        <f t="shared" ca="1" si="32"/>
        <v>#VALUE!</v>
      </c>
      <c r="AD106" s="194" t="e">
        <f t="shared" ca="1" si="32"/>
        <v>#VALUE!</v>
      </c>
      <c r="AE106" s="194" t="e">
        <f t="shared" ca="1" si="32"/>
        <v>#VALUE!</v>
      </c>
      <c r="AF106" s="194" t="e">
        <f t="shared" ca="1" si="32"/>
        <v>#VALUE!</v>
      </c>
      <c r="AG106" s="194" t="e">
        <f t="shared" ca="1" si="32"/>
        <v>#VALUE!</v>
      </c>
      <c r="AH106" s="194" t="e">
        <f t="shared" ca="1" si="32"/>
        <v>#VALUE!</v>
      </c>
      <c r="AI106" s="194" t="e">
        <f t="shared" ca="1" si="30"/>
        <v>#VALUE!</v>
      </c>
      <c r="AJ106" s="194" t="e">
        <f t="shared" ca="1" si="30"/>
        <v>#VALUE!</v>
      </c>
      <c r="AK106" s="194" t="e">
        <f t="shared" ca="1" si="30"/>
        <v>#VALUE!</v>
      </c>
      <c r="AL106" s="194" t="e">
        <f t="shared" ca="1" si="30"/>
        <v>#VALUE!</v>
      </c>
      <c r="AM106" s="194" t="e">
        <f t="shared" ca="1" si="30"/>
        <v>#VALUE!</v>
      </c>
      <c r="AN106" s="194" t="e">
        <f t="shared" ca="1" si="30"/>
        <v>#VALUE!</v>
      </c>
      <c r="AO106" s="194" t="e">
        <f t="shared" ca="1" si="30"/>
        <v>#VALUE!</v>
      </c>
      <c r="AP106" s="194" t="e">
        <f t="shared" ca="1" si="30"/>
        <v>#VALUE!</v>
      </c>
    </row>
    <row r="107" spans="1:42">
      <c r="A107" s="59" t="str">
        <f>'[4]TS BYDem'!A46</f>
        <v>*</v>
      </c>
      <c r="B107" s="194" t="s">
        <v>288</v>
      </c>
      <c r="C107" s="194" t="s">
        <v>137</v>
      </c>
      <c r="D107" s="194" t="str">
        <f>'[4]TS BYDem'!D46</f>
        <v>IFAS</v>
      </c>
      <c r="E107" s="194" t="s">
        <v>137</v>
      </c>
      <c r="F107" s="194" t="s">
        <v>137</v>
      </c>
      <c r="G107" s="194" t="s">
        <v>137</v>
      </c>
      <c r="H107" s="194" t="s">
        <v>137</v>
      </c>
      <c r="I107" s="194">
        <v>0</v>
      </c>
      <c r="J107" s="194" t="str">
        <f>INDEX('[4]TS BYDem'!$J$10:$J$203,MATCH(D107,'[4]TS BYDem'!$D$10:$D$203,0))</f>
        <v/>
      </c>
      <c r="K107" s="194" t="e">
        <f t="shared" ca="1" si="33"/>
        <v>#VALUE!</v>
      </c>
      <c r="L107" s="194" t="e">
        <f t="shared" ca="1" si="33"/>
        <v>#VALUE!</v>
      </c>
      <c r="M107" s="194" t="e">
        <f t="shared" ca="1" si="33"/>
        <v>#VALUE!</v>
      </c>
      <c r="N107" s="194" t="e">
        <f t="shared" ca="1" si="33"/>
        <v>#VALUE!</v>
      </c>
      <c r="O107" s="194" t="e">
        <f t="shared" ca="1" si="33"/>
        <v>#VALUE!</v>
      </c>
      <c r="P107" s="194" t="e">
        <f t="shared" ca="1" si="33"/>
        <v>#VALUE!</v>
      </c>
      <c r="Q107" s="194" t="e">
        <f t="shared" ca="1" si="33"/>
        <v>#VALUE!</v>
      </c>
      <c r="R107" s="194" t="e">
        <f t="shared" ca="1" si="33"/>
        <v>#VALUE!</v>
      </c>
      <c r="S107" s="194" t="e">
        <f t="shared" ca="1" si="33"/>
        <v>#VALUE!</v>
      </c>
      <c r="T107" s="194" t="e">
        <f t="shared" ca="1" si="33"/>
        <v>#VALUE!</v>
      </c>
      <c r="U107" s="194" t="e">
        <f t="shared" ca="1" si="33"/>
        <v>#VALUE!</v>
      </c>
      <c r="V107" s="194" t="e">
        <f t="shared" ca="1" si="33"/>
        <v>#VALUE!</v>
      </c>
      <c r="W107" s="194" t="e">
        <f t="shared" ca="1" si="33"/>
        <v>#VALUE!</v>
      </c>
      <c r="X107" s="194" t="e">
        <f t="shared" ca="1" si="33"/>
        <v>#VALUE!</v>
      </c>
      <c r="Y107" s="194" t="e">
        <f t="shared" ca="1" si="33"/>
        <v>#VALUE!</v>
      </c>
      <c r="Z107" s="194" t="e">
        <f t="shared" ca="1" si="32"/>
        <v>#VALUE!</v>
      </c>
      <c r="AA107" s="194" t="e">
        <f t="shared" ca="1" si="32"/>
        <v>#VALUE!</v>
      </c>
      <c r="AB107" s="194" t="e">
        <f t="shared" ca="1" si="32"/>
        <v>#VALUE!</v>
      </c>
      <c r="AC107" s="194" t="e">
        <f t="shared" ca="1" si="32"/>
        <v>#VALUE!</v>
      </c>
      <c r="AD107" s="194" t="e">
        <f t="shared" ca="1" si="32"/>
        <v>#VALUE!</v>
      </c>
      <c r="AE107" s="194" t="e">
        <f t="shared" ca="1" si="32"/>
        <v>#VALUE!</v>
      </c>
      <c r="AF107" s="194" t="e">
        <f t="shared" ca="1" si="32"/>
        <v>#VALUE!</v>
      </c>
      <c r="AG107" s="194" t="e">
        <f t="shared" ca="1" si="32"/>
        <v>#VALUE!</v>
      </c>
      <c r="AH107" s="194" t="e">
        <f t="shared" ca="1" si="32"/>
        <v>#VALUE!</v>
      </c>
      <c r="AI107" s="194" t="e">
        <f t="shared" ca="1" si="30"/>
        <v>#VALUE!</v>
      </c>
      <c r="AJ107" s="194" t="e">
        <f t="shared" ca="1" si="30"/>
        <v>#VALUE!</v>
      </c>
      <c r="AK107" s="194" t="e">
        <f t="shared" ca="1" si="30"/>
        <v>#VALUE!</v>
      </c>
      <c r="AL107" s="194" t="e">
        <f t="shared" ca="1" si="30"/>
        <v>#VALUE!</v>
      </c>
      <c r="AM107" s="194" t="e">
        <f t="shared" ca="1" si="30"/>
        <v>#VALUE!</v>
      </c>
      <c r="AN107" s="194" t="e">
        <f t="shared" ca="1" si="30"/>
        <v>#VALUE!</v>
      </c>
      <c r="AO107" s="194" t="e">
        <f t="shared" ca="1" si="30"/>
        <v>#VALUE!</v>
      </c>
      <c r="AP107" s="194" t="e">
        <f t="shared" ca="1" si="30"/>
        <v>#VALUE!</v>
      </c>
    </row>
    <row r="108" spans="1:42">
      <c r="A108" s="59" t="str">
        <f>'[4]TS BYDem'!A47</f>
        <v>*</v>
      </c>
      <c r="B108" s="194" t="s">
        <v>288</v>
      </c>
      <c r="C108" s="194" t="s">
        <v>137</v>
      </c>
      <c r="D108" s="194">
        <f>'[4]TS BYDem'!D47</f>
        <v>0</v>
      </c>
      <c r="E108" s="194" t="s">
        <v>137</v>
      </c>
      <c r="F108" s="194" t="s">
        <v>137</v>
      </c>
      <c r="G108" s="194" t="s">
        <v>137</v>
      </c>
      <c r="H108" s="194" t="s">
        <v>137</v>
      </c>
      <c r="I108" s="194">
        <v>0</v>
      </c>
      <c r="J108" s="194" t="str">
        <f>INDEX('[4]TS BYDem'!$J$10:$J$203,MATCH(D108,'[4]TS BYDem'!$D$10:$D$203,0))</f>
        <v/>
      </c>
      <c r="K108" s="194" t="e">
        <f t="shared" ca="1" si="33"/>
        <v>#VALUE!</v>
      </c>
      <c r="L108" s="194" t="e">
        <f t="shared" ca="1" si="33"/>
        <v>#VALUE!</v>
      </c>
      <c r="M108" s="194" t="e">
        <f t="shared" ca="1" si="33"/>
        <v>#VALUE!</v>
      </c>
      <c r="N108" s="194" t="e">
        <f t="shared" ca="1" si="33"/>
        <v>#VALUE!</v>
      </c>
      <c r="O108" s="194" t="e">
        <f t="shared" ca="1" si="33"/>
        <v>#VALUE!</v>
      </c>
      <c r="P108" s="194" t="e">
        <f t="shared" ca="1" si="33"/>
        <v>#VALUE!</v>
      </c>
      <c r="Q108" s="194" t="e">
        <f t="shared" ca="1" si="33"/>
        <v>#VALUE!</v>
      </c>
      <c r="R108" s="194" t="e">
        <f t="shared" ca="1" si="33"/>
        <v>#VALUE!</v>
      </c>
      <c r="S108" s="194" t="e">
        <f t="shared" ca="1" si="33"/>
        <v>#VALUE!</v>
      </c>
      <c r="T108" s="194" t="e">
        <f t="shared" ca="1" si="33"/>
        <v>#VALUE!</v>
      </c>
      <c r="U108" s="194" t="e">
        <f t="shared" ca="1" si="33"/>
        <v>#VALUE!</v>
      </c>
      <c r="V108" s="194" t="e">
        <f t="shared" ca="1" si="33"/>
        <v>#VALUE!</v>
      </c>
      <c r="W108" s="194" t="e">
        <f t="shared" ca="1" si="33"/>
        <v>#VALUE!</v>
      </c>
      <c r="X108" s="194" t="e">
        <f t="shared" ca="1" si="33"/>
        <v>#VALUE!</v>
      </c>
      <c r="Y108" s="194" t="e">
        <f t="shared" ca="1" si="33"/>
        <v>#VALUE!</v>
      </c>
      <c r="Z108" s="194" t="e">
        <f t="shared" ca="1" si="32"/>
        <v>#VALUE!</v>
      </c>
      <c r="AA108" s="194" t="e">
        <f t="shared" ca="1" si="32"/>
        <v>#VALUE!</v>
      </c>
      <c r="AB108" s="194" t="e">
        <f t="shared" ca="1" si="32"/>
        <v>#VALUE!</v>
      </c>
      <c r="AC108" s="194" t="e">
        <f t="shared" ca="1" si="32"/>
        <v>#VALUE!</v>
      </c>
      <c r="AD108" s="194" t="e">
        <f t="shared" ca="1" si="32"/>
        <v>#VALUE!</v>
      </c>
      <c r="AE108" s="194" t="e">
        <f t="shared" ca="1" si="32"/>
        <v>#VALUE!</v>
      </c>
      <c r="AF108" s="194" t="e">
        <f t="shared" ca="1" si="32"/>
        <v>#VALUE!</v>
      </c>
      <c r="AG108" s="194" t="e">
        <f t="shared" ca="1" si="32"/>
        <v>#VALUE!</v>
      </c>
      <c r="AH108" s="194" t="e">
        <f t="shared" ca="1" si="32"/>
        <v>#VALUE!</v>
      </c>
      <c r="AI108" s="194" t="e">
        <f t="shared" ca="1" si="32"/>
        <v>#VALUE!</v>
      </c>
      <c r="AJ108" s="194" t="e">
        <f t="shared" ca="1" si="32"/>
        <v>#VALUE!</v>
      </c>
      <c r="AK108" s="194" t="e">
        <f t="shared" ca="1" si="32"/>
        <v>#VALUE!</v>
      </c>
      <c r="AL108" s="194" t="e">
        <f t="shared" ca="1" si="32"/>
        <v>#VALUE!</v>
      </c>
      <c r="AM108" s="194" t="e">
        <f t="shared" ca="1" si="32"/>
        <v>#VALUE!</v>
      </c>
      <c r="AN108" s="194" t="e">
        <f t="shared" ca="1" si="32"/>
        <v>#VALUE!</v>
      </c>
      <c r="AO108" s="194" t="e">
        <f t="shared" ca="1" si="32"/>
        <v>#VALUE!</v>
      </c>
      <c r="AP108" s="194" t="e">
        <f t="shared" ref="AP108:AP111" ca="1" si="34">AP$91/AO$91*AO108</f>
        <v>#VALUE!</v>
      </c>
    </row>
    <row r="109" spans="1:42">
      <c r="A109" s="59" t="str">
        <f>'[4]TS BYDem'!A48</f>
        <v>*</v>
      </c>
      <c r="B109" s="194" t="s">
        <v>288</v>
      </c>
      <c r="C109" s="194" t="s">
        <v>137</v>
      </c>
      <c r="D109" s="194" t="str">
        <f>'[4]TS BYDem'!D48</f>
        <v>IFAR</v>
      </c>
      <c r="E109" s="194" t="s">
        <v>137</v>
      </c>
      <c r="F109" s="194" t="s">
        <v>137</v>
      </c>
      <c r="G109" s="194" t="s">
        <v>137</v>
      </c>
      <c r="H109" s="194" t="s">
        <v>137</v>
      </c>
      <c r="I109" s="194">
        <v>0</v>
      </c>
      <c r="J109" s="194" t="str">
        <f>INDEX('[4]TS BYDem'!$J$10:$J$203,MATCH(D109,'[4]TS BYDem'!$D$10:$D$203,0))</f>
        <v/>
      </c>
      <c r="K109" s="194" t="e">
        <f t="shared" ca="1" si="33"/>
        <v>#VALUE!</v>
      </c>
      <c r="L109" s="194" t="e">
        <f t="shared" ca="1" si="33"/>
        <v>#VALUE!</v>
      </c>
      <c r="M109" s="194" t="e">
        <f t="shared" ca="1" si="33"/>
        <v>#VALUE!</v>
      </c>
      <c r="N109" s="194" t="e">
        <f t="shared" ca="1" si="33"/>
        <v>#VALUE!</v>
      </c>
      <c r="O109" s="194" t="e">
        <f t="shared" ca="1" si="33"/>
        <v>#VALUE!</v>
      </c>
      <c r="P109" s="194" t="e">
        <f t="shared" ca="1" si="33"/>
        <v>#VALUE!</v>
      </c>
      <c r="Q109" s="194" t="e">
        <f t="shared" ca="1" si="33"/>
        <v>#VALUE!</v>
      </c>
      <c r="R109" s="194" t="e">
        <f t="shared" ca="1" si="33"/>
        <v>#VALUE!</v>
      </c>
      <c r="S109" s="194" t="e">
        <f t="shared" ca="1" si="33"/>
        <v>#VALUE!</v>
      </c>
      <c r="T109" s="194" t="e">
        <f t="shared" ca="1" si="33"/>
        <v>#VALUE!</v>
      </c>
      <c r="U109" s="194" t="e">
        <f t="shared" ca="1" si="33"/>
        <v>#VALUE!</v>
      </c>
      <c r="V109" s="194" t="e">
        <f t="shared" ca="1" si="33"/>
        <v>#VALUE!</v>
      </c>
      <c r="W109" s="194" t="e">
        <f t="shared" ca="1" si="33"/>
        <v>#VALUE!</v>
      </c>
      <c r="X109" s="194" t="e">
        <f t="shared" ca="1" si="33"/>
        <v>#VALUE!</v>
      </c>
      <c r="Y109" s="194" t="e">
        <f t="shared" ca="1" si="33"/>
        <v>#VALUE!</v>
      </c>
      <c r="Z109" s="194" t="e">
        <f t="shared" ca="1" si="32"/>
        <v>#VALUE!</v>
      </c>
      <c r="AA109" s="194" t="e">
        <f t="shared" ca="1" si="32"/>
        <v>#VALUE!</v>
      </c>
      <c r="AB109" s="194" t="e">
        <f t="shared" ca="1" si="32"/>
        <v>#VALUE!</v>
      </c>
      <c r="AC109" s="194" t="e">
        <f t="shared" ca="1" si="32"/>
        <v>#VALUE!</v>
      </c>
      <c r="AD109" s="194" t="e">
        <f t="shared" ca="1" si="32"/>
        <v>#VALUE!</v>
      </c>
      <c r="AE109" s="194" t="e">
        <f t="shared" ca="1" si="32"/>
        <v>#VALUE!</v>
      </c>
      <c r="AF109" s="194" t="e">
        <f t="shared" ca="1" si="32"/>
        <v>#VALUE!</v>
      </c>
      <c r="AG109" s="194" t="e">
        <f t="shared" ca="1" si="32"/>
        <v>#VALUE!</v>
      </c>
      <c r="AH109" s="194" t="e">
        <f t="shared" ca="1" si="32"/>
        <v>#VALUE!</v>
      </c>
      <c r="AI109" s="194" t="e">
        <f t="shared" ca="1" si="32"/>
        <v>#VALUE!</v>
      </c>
      <c r="AJ109" s="194" t="e">
        <f t="shared" ca="1" si="32"/>
        <v>#VALUE!</v>
      </c>
      <c r="AK109" s="194" t="e">
        <f t="shared" ca="1" si="32"/>
        <v>#VALUE!</v>
      </c>
      <c r="AL109" s="194" t="e">
        <f t="shared" ca="1" si="32"/>
        <v>#VALUE!</v>
      </c>
      <c r="AM109" s="194" t="e">
        <f t="shared" ca="1" si="32"/>
        <v>#VALUE!</v>
      </c>
      <c r="AN109" s="194" t="e">
        <f t="shared" ca="1" si="32"/>
        <v>#VALUE!</v>
      </c>
      <c r="AO109" s="194" t="e">
        <f t="shared" ca="1" si="32"/>
        <v>#VALUE!</v>
      </c>
      <c r="AP109" s="194" t="e">
        <f t="shared" ca="1" si="34"/>
        <v>#VALUE!</v>
      </c>
    </row>
    <row r="110" spans="1:42">
      <c r="A110" s="59" t="str">
        <f>'[4]TS BYDem'!A49</f>
        <v>*</v>
      </c>
      <c r="B110" s="194" t="s">
        <v>288</v>
      </c>
      <c r="C110" s="194" t="s">
        <v>137</v>
      </c>
      <c r="D110" s="194" t="str">
        <f>'[4]TS BYDem'!D49</f>
        <v>Useful Energy Service</v>
      </c>
      <c r="E110" s="194" t="s">
        <v>137</v>
      </c>
      <c r="F110" s="194" t="s">
        <v>137</v>
      </c>
      <c r="G110" s="194" t="s">
        <v>137</v>
      </c>
      <c r="H110" s="194" t="s">
        <v>137</v>
      </c>
      <c r="I110" s="194">
        <v>0</v>
      </c>
      <c r="J110" s="194" t="str">
        <f>INDEX('[4]TS BYDem'!$J$10:$J$203,MATCH(D110,'[4]TS BYDem'!$D$10:$D$203,0))</f>
        <v/>
      </c>
      <c r="K110" s="194" t="e">
        <f t="shared" ca="1" si="33"/>
        <v>#VALUE!</v>
      </c>
      <c r="L110" s="194" t="e">
        <f t="shared" ca="1" si="33"/>
        <v>#VALUE!</v>
      </c>
      <c r="M110" s="194" t="e">
        <f t="shared" ca="1" si="33"/>
        <v>#VALUE!</v>
      </c>
      <c r="N110" s="194" t="e">
        <f t="shared" ca="1" si="33"/>
        <v>#VALUE!</v>
      </c>
      <c r="O110" s="194" t="e">
        <f t="shared" ca="1" si="33"/>
        <v>#VALUE!</v>
      </c>
      <c r="P110" s="194" t="e">
        <f t="shared" ca="1" si="33"/>
        <v>#VALUE!</v>
      </c>
      <c r="Q110" s="194" t="e">
        <f t="shared" ca="1" si="33"/>
        <v>#VALUE!</v>
      </c>
      <c r="R110" s="194" t="e">
        <f t="shared" ca="1" si="33"/>
        <v>#VALUE!</v>
      </c>
      <c r="S110" s="194" t="e">
        <f t="shared" ca="1" si="33"/>
        <v>#VALUE!</v>
      </c>
      <c r="T110" s="194" t="e">
        <f t="shared" ca="1" si="33"/>
        <v>#VALUE!</v>
      </c>
      <c r="U110" s="194" t="e">
        <f t="shared" ca="1" si="33"/>
        <v>#VALUE!</v>
      </c>
      <c r="V110" s="194" t="e">
        <f t="shared" ca="1" si="33"/>
        <v>#VALUE!</v>
      </c>
      <c r="W110" s="194" t="e">
        <f t="shared" ca="1" si="33"/>
        <v>#VALUE!</v>
      </c>
      <c r="X110" s="194" t="e">
        <f t="shared" ca="1" si="33"/>
        <v>#VALUE!</v>
      </c>
      <c r="Y110" s="194" t="e">
        <f t="shared" ca="1" si="33"/>
        <v>#VALUE!</v>
      </c>
      <c r="Z110" s="194" t="e">
        <f t="shared" ca="1" si="32"/>
        <v>#VALUE!</v>
      </c>
      <c r="AA110" s="194" t="e">
        <f t="shared" ca="1" si="32"/>
        <v>#VALUE!</v>
      </c>
      <c r="AB110" s="194" t="e">
        <f t="shared" ca="1" si="32"/>
        <v>#VALUE!</v>
      </c>
      <c r="AC110" s="194" t="e">
        <f t="shared" ca="1" si="32"/>
        <v>#VALUE!</v>
      </c>
      <c r="AD110" s="194" t="e">
        <f t="shared" ca="1" si="32"/>
        <v>#VALUE!</v>
      </c>
      <c r="AE110" s="194" t="e">
        <f t="shared" ca="1" si="32"/>
        <v>#VALUE!</v>
      </c>
      <c r="AF110" s="194" t="e">
        <f t="shared" ca="1" si="32"/>
        <v>#VALUE!</v>
      </c>
      <c r="AG110" s="194" t="e">
        <f t="shared" ca="1" si="32"/>
        <v>#VALUE!</v>
      </c>
      <c r="AH110" s="194" t="e">
        <f t="shared" ca="1" si="32"/>
        <v>#VALUE!</v>
      </c>
      <c r="AI110" s="194" t="e">
        <f t="shared" ca="1" si="32"/>
        <v>#VALUE!</v>
      </c>
      <c r="AJ110" s="194" t="e">
        <f t="shared" ca="1" si="32"/>
        <v>#VALUE!</v>
      </c>
      <c r="AK110" s="194" t="e">
        <f t="shared" ca="1" si="32"/>
        <v>#VALUE!</v>
      </c>
      <c r="AL110" s="194" t="e">
        <f t="shared" ca="1" si="32"/>
        <v>#VALUE!</v>
      </c>
      <c r="AM110" s="194" t="e">
        <f t="shared" ca="1" si="32"/>
        <v>#VALUE!</v>
      </c>
      <c r="AN110" s="194" t="e">
        <f t="shared" ca="1" si="32"/>
        <v>#VALUE!</v>
      </c>
      <c r="AO110" s="194" t="e">
        <f t="shared" ca="1" si="32"/>
        <v>#VALUE!</v>
      </c>
      <c r="AP110" s="194" t="e">
        <f t="shared" ca="1" si="34"/>
        <v>#VALUE!</v>
      </c>
    </row>
    <row r="111" spans="1:42">
      <c r="A111" s="59" t="str">
        <f>'[4]TS BYDem'!A50</f>
        <v>*</v>
      </c>
      <c r="B111" s="194" t="s">
        <v>288</v>
      </c>
      <c r="C111" s="194" t="s">
        <v>137</v>
      </c>
      <c r="D111" s="194">
        <f>'[4]TS BYDem'!D50</f>
        <v>0</v>
      </c>
      <c r="E111" s="194" t="s">
        <v>137</v>
      </c>
      <c r="F111" s="194" t="s">
        <v>137</v>
      </c>
      <c r="G111" s="194" t="s">
        <v>137</v>
      </c>
      <c r="H111" s="194" t="s">
        <v>137</v>
      </c>
      <c r="I111" s="194">
        <v>0</v>
      </c>
      <c r="J111" s="194" t="str">
        <f>INDEX('[4]TS BYDem'!$J$10:$J$203,MATCH(D111,'[4]TS BYDem'!$D$10:$D$203,0))</f>
        <v/>
      </c>
      <c r="K111" s="194" t="e">
        <f t="shared" ca="1" si="33"/>
        <v>#VALUE!</v>
      </c>
      <c r="L111" s="194" t="e">
        <f t="shared" ca="1" si="33"/>
        <v>#VALUE!</v>
      </c>
      <c r="M111" s="194" t="e">
        <f t="shared" ca="1" si="33"/>
        <v>#VALUE!</v>
      </c>
      <c r="N111" s="194" t="e">
        <f t="shared" ca="1" si="33"/>
        <v>#VALUE!</v>
      </c>
      <c r="O111" s="194" t="e">
        <f t="shared" ca="1" si="33"/>
        <v>#VALUE!</v>
      </c>
      <c r="P111" s="194" t="e">
        <f t="shared" ca="1" si="33"/>
        <v>#VALUE!</v>
      </c>
      <c r="Q111" s="194" t="e">
        <f t="shared" ca="1" si="33"/>
        <v>#VALUE!</v>
      </c>
      <c r="R111" s="194" t="e">
        <f t="shared" ca="1" si="33"/>
        <v>#VALUE!</v>
      </c>
      <c r="S111" s="194" t="e">
        <f t="shared" ca="1" si="33"/>
        <v>#VALUE!</v>
      </c>
      <c r="T111" s="194" t="e">
        <f t="shared" ca="1" si="33"/>
        <v>#VALUE!</v>
      </c>
      <c r="U111" s="194" t="e">
        <f t="shared" ca="1" si="33"/>
        <v>#VALUE!</v>
      </c>
      <c r="V111" s="194" t="e">
        <f t="shared" ca="1" si="33"/>
        <v>#VALUE!</v>
      </c>
      <c r="W111" s="194" t="e">
        <f t="shared" ca="1" si="33"/>
        <v>#VALUE!</v>
      </c>
      <c r="X111" s="194" t="e">
        <f t="shared" ca="1" si="33"/>
        <v>#VALUE!</v>
      </c>
      <c r="Y111" s="194" t="e">
        <f t="shared" ca="1" si="33"/>
        <v>#VALUE!</v>
      </c>
      <c r="Z111" s="194" t="e">
        <f t="shared" ca="1" si="32"/>
        <v>#VALUE!</v>
      </c>
      <c r="AA111" s="194" t="e">
        <f t="shared" ca="1" si="32"/>
        <v>#VALUE!</v>
      </c>
      <c r="AB111" s="194" t="e">
        <f t="shared" ca="1" si="32"/>
        <v>#VALUE!</v>
      </c>
      <c r="AC111" s="194" t="e">
        <f t="shared" ca="1" si="32"/>
        <v>#VALUE!</v>
      </c>
      <c r="AD111" s="194" t="e">
        <f t="shared" ca="1" si="32"/>
        <v>#VALUE!</v>
      </c>
      <c r="AE111" s="194" t="e">
        <f t="shared" ca="1" si="32"/>
        <v>#VALUE!</v>
      </c>
      <c r="AF111" s="194" t="e">
        <f t="shared" ca="1" si="32"/>
        <v>#VALUE!</v>
      </c>
      <c r="AG111" s="194" t="e">
        <f t="shared" ca="1" si="32"/>
        <v>#VALUE!</v>
      </c>
      <c r="AH111" s="194" t="e">
        <f t="shared" ca="1" si="32"/>
        <v>#VALUE!</v>
      </c>
      <c r="AI111" s="194" t="e">
        <f t="shared" ca="1" si="32"/>
        <v>#VALUE!</v>
      </c>
      <c r="AJ111" s="194" t="e">
        <f t="shared" ca="1" si="32"/>
        <v>#VALUE!</v>
      </c>
      <c r="AK111" s="194" t="e">
        <f t="shared" ca="1" si="32"/>
        <v>#VALUE!</v>
      </c>
      <c r="AL111" s="194" t="e">
        <f t="shared" ca="1" si="32"/>
        <v>#VALUE!</v>
      </c>
      <c r="AM111" s="194" t="e">
        <f t="shared" ca="1" si="32"/>
        <v>#VALUE!</v>
      </c>
      <c r="AN111" s="194" t="e">
        <f t="shared" ca="1" si="32"/>
        <v>#VALUE!</v>
      </c>
      <c r="AO111" s="194" t="e">
        <f t="shared" ca="1" si="32"/>
        <v>#VALUE!</v>
      </c>
      <c r="AP111" s="194" t="e">
        <f t="shared" ca="1" si="34"/>
        <v>#VALUE!</v>
      </c>
    </row>
    <row r="112" spans="1:42" s="5" customFormat="1">
      <c r="A112" s="59"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59" t="str">
        <f>'[4]TS BYDem'!A52</f>
        <v>*</v>
      </c>
      <c r="B113" s="194" t="s">
        <v>288</v>
      </c>
      <c r="C113" s="194" t="s">
        <v>137</v>
      </c>
      <c r="D113" s="194" t="str">
        <f>'[4]TS BYDem'!D52</f>
        <v>IISK</v>
      </c>
      <c r="E113" s="194" t="s">
        <v>137</v>
      </c>
      <c r="F113" s="194" t="s">
        <v>137</v>
      </c>
      <c r="G113" s="194" t="s">
        <v>137</v>
      </c>
      <c r="H113" s="194" t="s">
        <v>137</v>
      </c>
      <c r="I113" s="194">
        <v>0</v>
      </c>
      <c r="J113" s="194" t="str">
        <f>INDEX('[4]TS BYDem'!$J$10:$J$203,MATCH(D113,'[4]TS BYDem'!$D$10:$D$203,0))</f>
        <v/>
      </c>
      <c r="K113" s="194" t="e">
        <f t="shared" ref="K113:Z128" ca="1" si="36">K$112/J$112*J113</f>
        <v>#VALUE!</v>
      </c>
      <c r="L113" s="194" t="e">
        <f t="shared" ca="1" si="36"/>
        <v>#VALUE!</v>
      </c>
      <c r="M113" s="194" t="e">
        <f t="shared" ca="1" si="36"/>
        <v>#VALUE!</v>
      </c>
      <c r="N113" s="194" t="e">
        <f t="shared" ca="1" si="36"/>
        <v>#VALUE!</v>
      </c>
      <c r="O113" s="194" t="e">
        <f t="shared" ca="1" si="36"/>
        <v>#VALUE!</v>
      </c>
      <c r="P113" s="194" t="e">
        <f t="shared" ca="1" si="36"/>
        <v>#VALUE!</v>
      </c>
      <c r="Q113" s="194" t="e">
        <f t="shared" ca="1" si="36"/>
        <v>#VALUE!</v>
      </c>
      <c r="R113" s="194" t="e">
        <f t="shared" ca="1" si="36"/>
        <v>#VALUE!</v>
      </c>
      <c r="S113" s="194" t="e">
        <f t="shared" ca="1" si="36"/>
        <v>#VALUE!</v>
      </c>
      <c r="T113" s="194" t="e">
        <f t="shared" ca="1" si="36"/>
        <v>#VALUE!</v>
      </c>
      <c r="U113" s="194" t="e">
        <f t="shared" ca="1" si="36"/>
        <v>#VALUE!</v>
      </c>
      <c r="V113" s="194" t="e">
        <f t="shared" ca="1" si="36"/>
        <v>#VALUE!</v>
      </c>
      <c r="W113" s="194" t="e">
        <f t="shared" ca="1" si="36"/>
        <v>#VALUE!</v>
      </c>
      <c r="X113" s="194" t="e">
        <f t="shared" ca="1" si="36"/>
        <v>#VALUE!</v>
      </c>
      <c r="Y113" s="194" t="e">
        <f t="shared" ca="1" si="36"/>
        <v>#VALUE!</v>
      </c>
      <c r="Z113" s="194" t="e">
        <f t="shared" ca="1" si="36"/>
        <v>#VALUE!</v>
      </c>
      <c r="AA113" s="194" t="e">
        <f t="shared" ref="AA113:AP128" ca="1" si="37">AA$112/Z$112*Z113</f>
        <v>#VALUE!</v>
      </c>
      <c r="AB113" s="194" t="e">
        <f t="shared" ca="1" si="37"/>
        <v>#VALUE!</v>
      </c>
      <c r="AC113" s="194" t="e">
        <f t="shared" ca="1" si="37"/>
        <v>#VALUE!</v>
      </c>
      <c r="AD113" s="194" t="e">
        <f t="shared" ca="1" si="37"/>
        <v>#VALUE!</v>
      </c>
      <c r="AE113" s="194" t="e">
        <f t="shared" ca="1" si="37"/>
        <v>#VALUE!</v>
      </c>
      <c r="AF113" s="194" t="e">
        <f t="shared" ca="1" si="37"/>
        <v>#VALUE!</v>
      </c>
      <c r="AG113" s="194" t="e">
        <f t="shared" ca="1" si="37"/>
        <v>#VALUE!</v>
      </c>
      <c r="AH113" s="194" t="e">
        <f t="shared" ca="1" si="37"/>
        <v>#VALUE!</v>
      </c>
      <c r="AI113" s="194" t="e">
        <f t="shared" ca="1" si="37"/>
        <v>#VALUE!</v>
      </c>
      <c r="AJ113" s="194" t="e">
        <f t="shared" ca="1" si="37"/>
        <v>#VALUE!</v>
      </c>
      <c r="AK113" s="194" t="e">
        <f t="shared" ca="1" si="37"/>
        <v>#VALUE!</v>
      </c>
      <c r="AL113" s="194" t="e">
        <f t="shared" ca="1" si="37"/>
        <v>#VALUE!</v>
      </c>
      <c r="AM113" s="194" t="e">
        <f t="shared" ca="1" si="37"/>
        <v>#VALUE!</v>
      </c>
      <c r="AN113" s="194" t="e">
        <f t="shared" ca="1" si="37"/>
        <v>#VALUE!</v>
      </c>
      <c r="AO113" s="194" t="e">
        <f t="shared" ca="1" si="37"/>
        <v>#VALUE!</v>
      </c>
      <c r="AP113" s="194" t="e">
        <f t="shared" ca="1" si="37"/>
        <v>#VALUE!</v>
      </c>
    </row>
    <row r="114" spans="1:42">
      <c r="A114" s="59" t="str">
        <f>'[4]TS BYDem'!A53</f>
        <v>*</v>
      </c>
      <c r="B114" s="194" t="s">
        <v>288</v>
      </c>
      <c r="C114" s="194" t="s">
        <v>137</v>
      </c>
      <c r="D114" s="194" t="str">
        <f>'[4]TS BYDem'!D53</f>
        <v>IISA</v>
      </c>
      <c r="E114" s="194" t="s">
        <v>137</v>
      </c>
      <c r="F114" s="194" t="s">
        <v>137</v>
      </c>
      <c r="G114" s="194" t="s">
        <v>137</v>
      </c>
      <c r="H114" s="194" t="s">
        <v>137</v>
      </c>
      <c r="I114" s="194">
        <v>0</v>
      </c>
      <c r="J114" s="194" t="str">
        <f>INDEX('[4]TS BYDem'!$J$10:$J$203,MATCH(D114,'[4]TS BYDem'!$D$10:$D$203,0))</f>
        <v/>
      </c>
      <c r="K114" s="194" t="e">
        <f t="shared" ca="1" si="36"/>
        <v>#VALUE!</v>
      </c>
      <c r="L114" s="194" t="e">
        <f t="shared" ca="1" si="36"/>
        <v>#VALUE!</v>
      </c>
      <c r="M114" s="194" t="e">
        <f t="shared" ca="1" si="36"/>
        <v>#VALUE!</v>
      </c>
      <c r="N114" s="194" t="e">
        <f t="shared" ca="1" si="36"/>
        <v>#VALUE!</v>
      </c>
      <c r="O114" s="194" t="e">
        <f t="shared" ca="1" si="36"/>
        <v>#VALUE!</v>
      </c>
      <c r="P114" s="194" t="e">
        <f t="shared" ca="1" si="36"/>
        <v>#VALUE!</v>
      </c>
      <c r="Q114" s="194" t="e">
        <f t="shared" ca="1" si="36"/>
        <v>#VALUE!</v>
      </c>
      <c r="R114" s="194" t="e">
        <f t="shared" ca="1" si="36"/>
        <v>#VALUE!</v>
      </c>
      <c r="S114" s="194" t="e">
        <f t="shared" ca="1" si="36"/>
        <v>#VALUE!</v>
      </c>
      <c r="T114" s="194" t="e">
        <f t="shared" ca="1" si="36"/>
        <v>#VALUE!</v>
      </c>
      <c r="U114" s="194" t="e">
        <f t="shared" ca="1" si="36"/>
        <v>#VALUE!</v>
      </c>
      <c r="V114" s="194" t="e">
        <f t="shared" ca="1" si="36"/>
        <v>#VALUE!</v>
      </c>
      <c r="W114" s="194" t="e">
        <f t="shared" ca="1" si="36"/>
        <v>#VALUE!</v>
      </c>
      <c r="X114" s="194" t="e">
        <f t="shared" ca="1" si="36"/>
        <v>#VALUE!</v>
      </c>
      <c r="Y114" s="194" t="e">
        <f t="shared" ca="1" si="36"/>
        <v>#VALUE!</v>
      </c>
      <c r="Z114" s="194" t="e">
        <f t="shared" ca="1" si="36"/>
        <v>#VALUE!</v>
      </c>
      <c r="AA114" s="194" t="e">
        <f t="shared" ca="1" si="37"/>
        <v>#VALUE!</v>
      </c>
      <c r="AB114" s="194" t="e">
        <f t="shared" ca="1" si="37"/>
        <v>#VALUE!</v>
      </c>
      <c r="AC114" s="194" t="e">
        <f t="shared" ca="1" si="37"/>
        <v>#VALUE!</v>
      </c>
      <c r="AD114" s="194" t="e">
        <f t="shared" ca="1" si="37"/>
        <v>#VALUE!</v>
      </c>
      <c r="AE114" s="194" t="e">
        <f t="shared" ca="1" si="37"/>
        <v>#VALUE!</v>
      </c>
      <c r="AF114" s="194" t="e">
        <f t="shared" ca="1" si="37"/>
        <v>#VALUE!</v>
      </c>
      <c r="AG114" s="194" t="e">
        <f t="shared" ca="1" si="37"/>
        <v>#VALUE!</v>
      </c>
      <c r="AH114" s="194" t="e">
        <f t="shared" ca="1" si="37"/>
        <v>#VALUE!</v>
      </c>
      <c r="AI114" s="194" t="e">
        <f t="shared" ca="1" si="37"/>
        <v>#VALUE!</v>
      </c>
      <c r="AJ114" s="194" t="e">
        <f t="shared" ca="1" si="37"/>
        <v>#VALUE!</v>
      </c>
      <c r="AK114" s="194" t="e">
        <f t="shared" ca="1" si="37"/>
        <v>#VALUE!</v>
      </c>
      <c r="AL114" s="194" t="e">
        <f t="shared" ca="1" si="37"/>
        <v>#VALUE!</v>
      </c>
      <c r="AM114" s="194" t="e">
        <f t="shared" ca="1" si="37"/>
        <v>#VALUE!</v>
      </c>
      <c r="AN114" s="194" t="e">
        <f t="shared" ca="1" si="37"/>
        <v>#VALUE!</v>
      </c>
      <c r="AO114" s="194" t="e">
        <f t="shared" ca="1" si="37"/>
        <v>#VALUE!</v>
      </c>
      <c r="AP114" s="194" t="e">
        <f t="shared" ca="1" si="37"/>
        <v>#VALUE!</v>
      </c>
    </row>
    <row r="115" spans="1:42">
      <c r="A115" s="59" t="str">
        <f>'[4]TS BYDem'!A54</f>
        <v>*</v>
      </c>
      <c r="B115" s="194" t="s">
        <v>288</v>
      </c>
      <c r="C115" s="194" t="s">
        <v>137</v>
      </c>
      <c r="D115" s="194" t="str">
        <f>'[4]TS BYDem'!D54</f>
        <v>IISL</v>
      </c>
      <c r="E115" s="194" t="s">
        <v>137</v>
      </c>
      <c r="F115" s="194" t="s">
        <v>137</v>
      </c>
      <c r="G115" s="194" t="s">
        <v>137</v>
      </c>
      <c r="H115" s="194" t="s">
        <v>137</v>
      </c>
      <c r="I115" s="194">
        <v>0</v>
      </c>
      <c r="J115" s="194" t="str">
        <f>INDEX('[4]TS BYDem'!$J$10:$J$203,MATCH(D115,'[4]TS BYDem'!$D$10:$D$203,0))</f>
        <v/>
      </c>
      <c r="K115" s="194" t="e">
        <f t="shared" ca="1" si="36"/>
        <v>#VALUE!</v>
      </c>
      <c r="L115" s="194" t="e">
        <f t="shared" ca="1" si="36"/>
        <v>#VALUE!</v>
      </c>
      <c r="M115" s="194" t="e">
        <f t="shared" ca="1" si="36"/>
        <v>#VALUE!</v>
      </c>
      <c r="N115" s="194" t="e">
        <f t="shared" ca="1" si="36"/>
        <v>#VALUE!</v>
      </c>
      <c r="O115" s="194" t="e">
        <f t="shared" ca="1" si="36"/>
        <v>#VALUE!</v>
      </c>
      <c r="P115" s="194" t="e">
        <f t="shared" ca="1" si="36"/>
        <v>#VALUE!</v>
      </c>
      <c r="Q115" s="194" t="e">
        <f t="shared" ca="1" si="36"/>
        <v>#VALUE!</v>
      </c>
      <c r="R115" s="194" t="e">
        <f t="shared" ca="1" si="36"/>
        <v>#VALUE!</v>
      </c>
      <c r="S115" s="194" t="e">
        <f t="shared" ca="1" si="36"/>
        <v>#VALUE!</v>
      </c>
      <c r="T115" s="194" t="e">
        <f t="shared" ca="1" si="36"/>
        <v>#VALUE!</v>
      </c>
      <c r="U115" s="194" t="e">
        <f t="shared" ca="1" si="36"/>
        <v>#VALUE!</v>
      </c>
      <c r="V115" s="194" t="e">
        <f t="shared" ca="1" si="36"/>
        <v>#VALUE!</v>
      </c>
      <c r="W115" s="194" t="e">
        <f t="shared" ca="1" si="36"/>
        <v>#VALUE!</v>
      </c>
      <c r="X115" s="194" t="e">
        <f t="shared" ca="1" si="36"/>
        <v>#VALUE!</v>
      </c>
      <c r="Y115" s="194" t="e">
        <f t="shared" ca="1" si="36"/>
        <v>#VALUE!</v>
      </c>
      <c r="Z115" s="194" t="e">
        <f t="shared" ca="1" si="36"/>
        <v>#VALUE!</v>
      </c>
      <c r="AA115" s="194" t="e">
        <f t="shared" ca="1" si="37"/>
        <v>#VALUE!</v>
      </c>
      <c r="AB115" s="194" t="e">
        <f t="shared" ca="1" si="37"/>
        <v>#VALUE!</v>
      </c>
      <c r="AC115" s="194" t="e">
        <f t="shared" ca="1" si="37"/>
        <v>#VALUE!</v>
      </c>
      <c r="AD115" s="194" t="e">
        <f t="shared" ca="1" si="37"/>
        <v>#VALUE!</v>
      </c>
      <c r="AE115" s="194" t="e">
        <f t="shared" ca="1" si="37"/>
        <v>#VALUE!</v>
      </c>
      <c r="AF115" s="194" t="e">
        <f t="shared" ca="1" si="37"/>
        <v>#VALUE!</v>
      </c>
      <c r="AG115" s="194" t="e">
        <f t="shared" ca="1" si="37"/>
        <v>#VALUE!</v>
      </c>
      <c r="AH115" s="194" t="e">
        <f t="shared" ca="1" si="37"/>
        <v>#VALUE!</v>
      </c>
      <c r="AI115" s="194" t="e">
        <f t="shared" ca="1" si="37"/>
        <v>#VALUE!</v>
      </c>
      <c r="AJ115" s="194" t="e">
        <f t="shared" ca="1" si="37"/>
        <v>#VALUE!</v>
      </c>
      <c r="AK115" s="194" t="e">
        <f t="shared" ca="1" si="37"/>
        <v>#VALUE!</v>
      </c>
      <c r="AL115" s="194" t="e">
        <f t="shared" ca="1" si="37"/>
        <v>#VALUE!</v>
      </c>
      <c r="AM115" s="194" t="e">
        <f t="shared" ca="1" si="37"/>
        <v>#VALUE!</v>
      </c>
      <c r="AN115" s="194" t="e">
        <f t="shared" ca="1" si="37"/>
        <v>#VALUE!</v>
      </c>
      <c r="AO115" s="194" t="e">
        <f t="shared" ca="1" si="37"/>
        <v>#VALUE!</v>
      </c>
      <c r="AP115" s="194" t="e">
        <f t="shared" ca="1" si="37"/>
        <v>#VALUE!</v>
      </c>
    </row>
    <row r="116" spans="1:42">
      <c r="A116" s="59" t="str">
        <f>'[4]TS BYDem'!A55</f>
        <v>*</v>
      </c>
      <c r="B116" s="194" t="s">
        <v>288</v>
      </c>
      <c r="C116" s="194" t="s">
        <v>137</v>
      </c>
      <c r="D116" s="194" t="str">
        <f>'[4]TS BYDem'!D55</f>
        <v>IISC</v>
      </c>
      <c r="E116" s="194" t="s">
        <v>137</v>
      </c>
      <c r="F116" s="194" t="s">
        <v>137</v>
      </c>
      <c r="G116" s="194" t="s">
        <v>137</v>
      </c>
      <c r="H116" s="194" t="s">
        <v>137</v>
      </c>
      <c r="I116" s="194">
        <v>0</v>
      </c>
      <c r="J116" s="194" t="str">
        <f>INDEX('[4]TS BYDem'!$J$10:$J$203,MATCH(D116,'[4]TS BYDem'!$D$10:$D$203,0))</f>
        <v/>
      </c>
      <c r="K116" s="194" t="e">
        <f t="shared" ca="1" si="36"/>
        <v>#VALUE!</v>
      </c>
      <c r="L116" s="194" t="e">
        <f t="shared" ca="1" si="36"/>
        <v>#VALUE!</v>
      </c>
      <c r="M116" s="194" t="e">
        <f t="shared" ca="1" si="36"/>
        <v>#VALUE!</v>
      </c>
      <c r="N116" s="194" t="e">
        <f t="shared" ca="1" si="36"/>
        <v>#VALUE!</v>
      </c>
      <c r="O116" s="194" t="e">
        <f t="shared" ca="1" si="36"/>
        <v>#VALUE!</v>
      </c>
      <c r="P116" s="194" t="e">
        <f t="shared" ca="1" si="36"/>
        <v>#VALUE!</v>
      </c>
      <c r="Q116" s="194" t="e">
        <f t="shared" ca="1" si="36"/>
        <v>#VALUE!</v>
      </c>
      <c r="R116" s="194" t="e">
        <f t="shared" ca="1" si="36"/>
        <v>#VALUE!</v>
      </c>
      <c r="S116" s="194" t="e">
        <f t="shared" ca="1" si="36"/>
        <v>#VALUE!</v>
      </c>
      <c r="T116" s="194" t="e">
        <f t="shared" ca="1" si="36"/>
        <v>#VALUE!</v>
      </c>
      <c r="U116" s="194" t="e">
        <f t="shared" ca="1" si="36"/>
        <v>#VALUE!</v>
      </c>
      <c r="V116" s="194" t="e">
        <f t="shared" ca="1" si="36"/>
        <v>#VALUE!</v>
      </c>
      <c r="W116" s="194" t="e">
        <f t="shared" ca="1" si="36"/>
        <v>#VALUE!</v>
      </c>
      <c r="X116" s="194" t="e">
        <f t="shared" ca="1" si="36"/>
        <v>#VALUE!</v>
      </c>
      <c r="Y116" s="194" t="e">
        <f t="shared" ca="1" si="36"/>
        <v>#VALUE!</v>
      </c>
      <c r="Z116" s="194" t="e">
        <f t="shared" ca="1" si="36"/>
        <v>#VALUE!</v>
      </c>
      <c r="AA116" s="194" t="e">
        <f t="shared" ca="1" si="37"/>
        <v>#VALUE!</v>
      </c>
      <c r="AB116" s="194" t="e">
        <f t="shared" ca="1" si="37"/>
        <v>#VALUE!</v>
      </c>
      <c r="AC116" s="194" t="e">
        <f t="shared" ca="1" si="37"/>
        <v>#VALUE!</v>
      </c>
      <c r="AD116" s="194" t="e">
        <f t="shared" ca="1" si="37"/>
        <v>#VALUE!</v>
      </c>
      <c r="AE116" s="194" t="e">
        <f t="shared" ca="1" si="37"/>
        <v>#VALUE!</v>
      </c>
      <c r="AF116" s="194" t="e">
        <f t="shared" ca="1" si="37"/>
        <v>#VALUE!</v>
      </c>
      <c r="AG116" s="194" t="e">
        <f t="shared" ca="1" si="37"/>
        <v>#VALUE!</v>
      </c>
      <c r="AH116" s="194" t="e">
        <f t="shared" ca="1" si="37"/>
        <v>#VALUE!</v>
      </c>
      <c r="AI116" s="194" t="e">
        <f t="shared" ca="1" si="37"/>
        <v>#VALUE!</v>
      </c>
      <c r="AJ116" s="194" t="e">
        <f t="shared" ca="1" si="37"/>
        <v>#VALUE!</v>
      </c>
      <c r="AK116" s="194" t="e">
        <f t="shared" ca="1" si="37"/>
        <v>#VALUE!</v>
      </c>
      <c r="AL116" s="194" t="e">
        <f t="shared" ca="1" si="37"/>
        <v>#VALUE!</v>
      </c>
      <c r="AM116" s="194" t="e">
        <f t="shared" ca="1" si="37"/>
        <v>#VALUE!</v>
      </c>
      <c r="AN116" s="194" t="e">
        <f t="shared" ca="1" si="37"/>
        <v>#VALUE!</v>
      </c>
      <c r="AO116" s="194" t="e">
        <f t="shared" ca="1" si="37"/>
        <v>#VALUE!</v>
      </c>
      <c r="AP116" s="194" t="e">
        <f t="shared" ca="1" si="37"/>
        <v>#VALUE!</v>
      </c>
    </row>
    <row r="117" spans="1:42">
      <c r="A117" s="59" t="str">
        <f>'[4]TS BYDem'!A56</f>
        <v>*</v>
      </c>
      <c r="B117" s="194" t="s">
        <v>288</v>
      </c>
      <c r="C117" s="194" t="s">
        <v>137</v>
      </c>
      <c r="D117" s="194" t="str">
        <f>'[4]TS BYDem'!D56</f>
        <v>IISH</v>
      </c>
      <c r="E117" s="194" t="s">
        <v>137</v>
      </c>
      <c r="F117" s="194" t="s">
        <v>137</v>
      </c>
      <c r="G117" s="194" t="s">
        <v>137</v>
      </c>
      <c r="H117" s="194" t="s">
        <v>137</v>
      </c>
      <c r="I117" s="194">
        <v>0</v>
      </c>
      <c r="J117" s="194" t="str">
        <f>INDEX('[4]TS BYDem'!$J$10:$J$203,MATCH(D117,'[4]TS BYDem'!$D$10:$D$203,0))</f>
        <v/>
      </c>
      <c r="K117" s="194" t="e">
        <f t="shared" ca="1" si="36"/>
        <v>#VALUE!</v>
      </c>
      <c r="L117" s="194" t="e">
        <f t="shared" ca="1" si="36"/>
        <v>#VALUE!</v>
      </c>
      <c r="M117" s="194" t="e">
        <f t="shared" ca="1" si="36"/>
        <v>#VALUE!</v>
      </c>
      <c r="N117" s="194" t="e">
        <f t="shared" ca="1" si="36"/>
        <v>#VALUE!</v>
      </c>
      <c r="O117" s="194" t="e">
        <f t="shared" ca="1" si="36"/>
        <v>#VALUE!</v>
      </c>
      <c r="P117" s="194" t="e">
        <f t="shared" ca="1" si="36"/>
        <v>#VALUE!</v>
      </c>
      <c r="Q117" s="194" t="e">
        <f t="shared" ca="1" si="36"/>
        <v>#VALUE!</v>
      </c>
      <c r="R117" s="194" t="e">
        <f t="shared" ca="1" si="36"/>
        <v>#VALUE!</v>
      </c>
      <c r="S117" s="194" t="e">
        <f t="shared" ca="1" si="36"/>
        <v>#VALUE!</v>
      </c>
      <c r="T117" s="194" t="e">
        <f t="shared" ca="1" si="36"/>
        <v>#VALUE!</v>
      </c>
      <c r="U117" s="194" t="e">
        <f t="shared" ca="1" si="36"/>
        <v>#VALUE!</v>
      </c>
      <c r="V117" s="194" t="e">
        <f t="shared" ca="1" si="36"/>
        <v>#VALUE!</v>
      </c>
      <c r="W117" s="194" t="e">
        <f t="shared" ca="1" si="36"/>
        <v>#VALUE!</v>
      </c>
      <c r="X117" s="194" t="e">
        <f t="shared" ca="1" si="36"/>
        <v>#VALUE!</v>
      </c>
      <c r="Y117" s="194" t="e">
        <f t="shared" ca="1" si="36"/>
        <v>#VALUE!</v>
      </c>
      <c r="Z117" s="194" t="e">
        <f t="shared" ca="1" si="36"/>
        <v>#VALUE!</v>
      </c>
      <c r="AA117" s="194" t="e">
        <f t="shared" ca="1" si="37"/>
        <v>#VALUE!</v>
      </c>
      <c r="AB117" s="194" t="e">
        <f t="shared" ca="1" si="37"/>
        <v>#VALUE!</v>
      </c>
      <c r="AC117" s="194" t="e">
        <f t="shared" ca="1" si="37"/>
        <v>#VALUE!</v>
      </c>
      <c r="AD117" s="194" t="e">
        <f t="shared" ca="1" si="37"/>
        <v>#VALUE!</v>
      </c>
      <c r="AE117" s="194" t="e">
        <f t="shared" ca="1" si="37"/>
        <v>#VALUE!</v>
      </c>
      <c r="AF117" s="194" t="e">
        <f t="shared" ca="1" si="37"/>
        <v>#VALUE!</v>
      </c>
      <c r="AG117" s="194" t="e">
        <f t="shared" ca="1" si="37"/>
        <v>#VALUE!</v>
      </c>
      <c r="AH117" s="194" t="e">
        <f t="shared" ca="1" si="37"/>
        <v>#VALUE!</v>
      </c>
      <c r="AI117" s="194" t="e">
        <f t="shared" ca="1" si="37"/>
        <v>#VALUE!</v>
      </c>
      <c r="AJ117" s="194" t="e">
        <f t="shared" ca="1" si="37"/>
        <v>#VALUE!</v>
      </c>
      <c r="AK117" s="194" t="e">
        <f t="shared" ca="1" si="37"/>
        <v>#VALUE!</v>
      </c>
      <c r="AL117" s="194" t="e">
        <f t="shared" ca="1" si="37"/>
        <v>#VALUE!</v>
      </c>
      <c r="AM117" s="194" t="e">
        <f t="shared" ca="1" si="37"/>
        <v>#VALUE!</v>
      </c>
      <c r="AN117" s="194" t="e">
        <f t="shared" ca="1" si="37"/>
        <v>#VALUE!</v>
      </c>
      <c r="AO117" s="194" t="e">
        <f t="shared" ca="1" si="37"/>
        <v>#VALUE!</v>
      </c>
      <c r="AP117" s="194" t="e">
        <f t="shared" ca="1" si="37"/>
        <v>#VALUE!</v>
      </c>
    </row>
    <row r="118" spans="1:42">
      <c r="A118" s="59" t="str">
        <f>'[4]TS BYDem'!A57</f>
        <v>*</v>
      </c>
      <c r="B118" s="194" t="s">
        <v>288</v>
      </c>
      <c r="C118" s="194" t="s">
        <v>137</v>
      </c>
      <c r="D118" s="194" t="str">
        <f>'[4]TS BYDem'!D57</f>
        <v>IISP</v>
      </c>
      <c r="E118" s="194" t="s">
        <v>137</v>
      </c>
      <c r="F118" s="194" t="s">
        <v>137</v>
      </c>
      <c r="G118" s="194" t="s">
        <v>137</v>
      </c>
      <c r="H118" s="194" t="s">
        <v>137</v>
      </c>
      <c r="I118" s="194">
        <v>0</v>
      </c>
      <c r="J118" s="194" t="str">
        <f>INDEX('[4]TS BYDem'!$J$10:$J$203,MATCH(D118,'[4]TS BYDem'!$D$10:$D$203,0))</f>
        <v/>
      </c>
      <c r="K118" s="194" t="e">
        <f t="shared" ca="1" si="36"/>
        <v>#VALUE!</v>
      </c>
      <c r="L118" s="194" t="e">
        <f t="shared" ca="1" si="36"/>
        <v>#VALUE!</v>
      </c>
      <c r="M118" s="194" t="e">
        <f t="shared" ca="1" si="36"/>
        <v>#VALUE!</v>
      </c>
      <c r="N118" s="194" t="e">
        <f t="shared" ca="1" si="36"/>
        <v>#VALUE!</v>
      </c>
      <c r="O118" s="194" t="e">
        <f t="shared" ca="1" si="36"/>
        <v>#VALUE!</v>
      </c>
      <c r="P118" s="194" t="e">
        <f t="shared" ca="1" si="36"/>
        <v>#VALUE!</v>
      </c>
      <c r="Q118" s="194" t="e">
        <f t="shared" ca="1" si="36"/>
        <v>#VALUE!</v>
      </c>
      <c r="R118" s="194" t="e">
        <f t="shared" ca="1" si="36"/>
        <v>#VALUE!</v>
      </c>
      <c r="S118" s="194" t="e">
        <f t="shared" ca="1" si="36"/>
        <v>#VALUE!</v>
      </c>
      <c r="T118" s="194" t="e">
        <f t="shared" ca="1" si="36"/>
        <v>#VALUE!</v>
      </c>
      <c r="U118" s="194" t="e">
        <f t="shared" ca="1" si="36"/>
        <v>#VALUE!</v>
      </c>
      <c r="V118" s="194" t="e">
        <f t="shared" ca="1" si="36"/>
        <v>#VALUE!</v>
      </c>
      <c r="W118" s="194" t="e">
        <f t="shared" ca="1" si="36"/>
        <v>#VALUE!</v>
      </c>
      <c r="X118" s="194" t="e">
        <f t="shared" ca="1" si="36"/>
        <v>#VALUE!</v>
      </c>
      <c r="Y118" s="194" t="e">
        <f t="shared" ca="1" si="36"/>
        <v>#VALUE!</v>
      </c>
      <c r="Z118" s="194" t="e">
        <f t="shared" ca="1" si="36"/>
        <v>#VALUE!</v>
      </c>
      <c r="AA118" s="194" t="e">
        <f t="shared" ca="1" si="37"/>
        <v>#VALUE!</v>
      </c>
      <c r="AB118" s="194" t="e">
        <f t="shared" ca="1" si="37"/>
        <v>#VALUE!</v>
      </c>
      <c r="AC118" s="194" t="e">
        <f t="shared" ca="1" si="37"/>
        <v>#VALUE!</v>
      </c>
      <c r="AD118" s="194" t="e">
        <f t="shared" ca="1" si="37"/>
        <v>#VALUE!</v>
      </c>
      <c r="AE118" s="194" t="e">
        <f t="shared" ca="1" si="37"/>
        <v>#VALUE!</v>
      </c>
      <c r="AF118" s="194" t="e">
        <f t="shared" ca="1" si="37"/>
        <v>#VALUE!</v>
      </c>
      <c r="AG118" s="194" t="e">
        <f t="shared" ca="1" si="37"/>
        <v>#VALUE!</v>
      </c>
      <c r="AH118" s="194" t="e">
        <f t="shared" ca="1" si="37"/>
        <v>#VALUE!</v>
      </c>
      <c r="AI118" s="194" t="e">
        <f t="shared" ca="1" si="37"/>
        <v>#VALUE!</v>
      </c>
      <c r="AJ118" s="194" t="e">
        <f t="shared" ca="1" si="37"/>
        <v>#VALUE!</v>
      </c>
      <c r="AK118" s="194" t="e">
        <f t="shared" ca="1" si="37"/>
        <v>#VALUE!</v>
      </c>
      <c r="AL118" s="194" t="e">
        <f t="shared" ca="1" si="37"/>
        <v>#VALUE!</v>
      </c>
      <c r="AM118" s="194" t="e">
        <f t="shared" ca="1" si="37"/>
        <v>#VALUE!</v>
      </c>
      <c r="AN118" s="194" t="e">
        <f t="shared" ca="1" si="37"/>
        <v>#VALUE!</v>
      </c>
      <c r="AO118" s="194" t="e">
        <f t="shared" ca="1" si="37"/>
        <v>#VALUE!</v>
      </c>
      <c r="AP118" s="194" t="e">
        <f t="shared" ca="1" si="37"/>
        <v>#VALUE!</v>
      </c>
    </row>
    <row r="119" spans="1:42">
      <c r="A119" s="59" t="str">
        <f>'[4]TS BYDem'!A58</f>
        <v>*</v>
      </c>
      <c r="B119" s="194" t="s">
        <v>288</v>
      </c>
      <c r="C119" s="194" t="s">
        <v>137</v>
      </c>
      <c r="D119" s="194" t="str">
        <f>'[4]TS BYDem'!D58</f>
        <v>IISF</v>
      </c>
      <c r="E119" s="194" t="s">
        <v>137</v>
      </c>
      <c r="F119" s="194" t="s">
        <v>137</v>
      </c>
      <c r="G119" s="194" t="s">
        <v>137</v>
      </c>
      <c r="H119" s="194" t="s">
        <v>137</v>
      </c>
      <c r="I119" s="194">
        <v>0</v>
      </c>
      <c r="J119" s="194" t="str">
        <f>INDEX('[4]TS BYDem'!$J$10:$J$203,MATCH(D119,'[4]TS BYDem'!$D$10:$D$203,0))</f>
        <v/>
      </c>
      <c r="K119" s="194" t="e">
        <f t="shared" ca="1" si="36"/>
        <v>#VALUE!</v>
      </c>
      <c r="L119" s="194" t="e">
        <f t="shared" ca="1" si="36"/>
        <v>#VALUE!</v>
      </c>
      <c r="M119" s="194" t="e">
        <f t="shared" ca="1" si="36"/>
        <v>#VALUE!</v>
      </c>
      <c r="N119" s="194" t="e">
        <f t="shared" ca="1" si="36"/>
        <v>#VALUE!</v>
      </c>
      <c r="O119" s="194" t="e">
        <f t="shared" ca="1" si="36"/>
        <v>#VALUE!</v>
      </c>
      <c r="P119" s="194" t="e">
        <f t="shared" ca="1" si="36"/>
        <v>#VALUE!</v>
      </c>
      <c r="Q119" s="194" t="e">
        <f t="shared" ca="1" si="36"/>
        <v>#VALUE!</v>
      </c>
      <c r="R119" s="194" t="e">
        <f t="shared" ca="1" si="36"/>
        <v>#VALUE!</v>
      </c>
      <c r="S119" s="194" t="e">
        <f t="shared" ca="1" si="36"/>
        <v>#VALUE!</v>
      </c>
      <c r="T119" s="194" t="e">
        <f t="shared" ca="1" si="36"/>
        <v>#VALUE!</v>
      </c>
      <c r="U119" s="194" t="e">
        <f t="shared" ca="1" si="36"/>
        <v>#VALUE!</v>
      </c>
      <c r="V119" s="194" t="e">
        <f t="shared" ca="1" si="36"/>
        <v>#VALUE!</v>
      </c>
      <c r="W119" s="194" t="e">
        <f t="shared" ca="1" si="36"/>
        <v>#VALUE!</v>
      </c>
      <c r="X119" s="194" t="e">
        <f t="shared" ca="1" si="36"/>
        <v>#VALUE!</v>
      </c>
      <c r="Y119" s="194" t="e">
        <f t="shared" ca="1" si="36"/>
        <v>#VALUE!</v>
      </c>
      <c r="Z119" s="194" t="e">
        <f t="shared" ca="1" si="36"/>
        <v>#VALUE!</v>
      </c>
      <c r="AA119" s="194" t="e">
        <f t="shared" ca="1" si="37"/>
        <v>#VALUE!</v>
      </c>
      <c r="AB119" s="194" t="e">
        <f t="shared" ca="1" si="37"/>
        <v>#VALUE!</v>
      </c>
      <c r="AC119" s="194" t="e">
        <f t="shared" ca="1" si="37"/>
        <v>#VALUE!</v>
      </c>
      <c r="AD119" s="194" t="e">
        <f t="shared" ca="1" si="37"/>
        <v>#VALUE!</v>
      </c>
      <c r="AE119" s="194" t="e">
        <f t="shared" ca="1" si="37"/>
        <v>#VALUE!</v>
      </c>
      <c r="AF119" s="194" t="e">
        <f t="shared" ca="1" si="37"/>
        <v>#VALUE!</v>
      </c>
      <c r="AG119" s="194" t="e">
        <f t="shared" ca="1" si="37"/>
        <v>#VALUE!</v>
      </c>
      <c r="AH119" s="194" t="e">
        <f t="shared" ca="1" si="37"/>
        <v>#VALUE!</v>
      </c>
      <c r="AI119" s="194" t="e">
        <f t="shared" ca="1" si="37"/>
        <v>#VALUE!</v>
      </c>
      <c r="AJ119" s="194" t="e">
        <f t="shared" ca="1" si="37"/>
        <v>#VALUE!</v>
      </c>
      <c r="AK119" s="194" t="e">
        <f t="shared" ca="1" si="37"/>
        <v>#VALUE!</v>
      </c>
      <c r="AL119" s="194" t="e">
        <f t="shared" ca="1" si="37"/>
        <v>#VALUE!</v>
      </c>
      <c r="AM119" s="194" t="e">
        <f t="shared" ca="1" si="37"/>
        <v>#VALUE!</v>
      </c>
      <c r="AN119" s="194" t="e">
        <f t="shared" ca="1" si="37"/>
        <v>#VALUE!</v>
      </c>
      <c r="AO119" s="194" t="e">
        <f t="shared" ca="1" si="37"/>
        <v>#VALUE!</v>
      </c>
      <c r="AP119" s="194" t="e">
        <f t="shared" ca="1" si="37"/>
        <v>#VALUE!</v>
      </c>
    </row>
    <row r="120" spans="1:42">
      <c r="A120" s="59" t="str">
        <f>'[4]TS BYDem'!A59</f>
        <v>*</v>
      </c>
      <c r="B120" s="194" t="s">
        <v>288</v>
      </c>
      <c r="C120" s="194" t="s">
        <v>137</v>
      </c>
      <c r="D120" s="194" t="str">
        <f>'[4]TS BYDem'!D59</f>
        <v>IISO</v>
      </c>
      <c r="E120" s="194" t="s">
        <v>137</v>
      </c>
      <c r="F120" s="194" t="s">
        <v>137</v>
      </c>
      <c r="G120" s="194" t="s">
        <v>137</v>
      </c>
      <c r="H120" s="194" t="s">
        <v>137</v>
      </c>
      <c r="I120" s="194">
        <v>0</v>
      </c>
      <c r="J120" s="194" t="str">
        <f>INDEX('[4]TS BYDem'!$J$10:$J$203,MATCH(D120,'[4]TS BYDem'!$D$10:$D$203,0))</f>
        <v/>
      </c>
      <c r="K120" s="194" t="e">
        <f t="shared" ca="1" si="36"/>
        <v>#VALUE!</v>
      </c>
      <c r="L120" s="194" t="e">
        <f t="shared" ca="1" si="36"/>
        <v>#VALUE!</v>
      </c>
      <c r="M120" s="194" t="e">
        <f t="shared" ca="1" si="36"/>
        <v>#VALUE!</v>
      </c>
      <c r="N120" s="194" t="e">
        <f t="shared" ca="1" si="36"/>
        <v>#VALUE!</v>
      </c>
      <c r="O120" s="194" t="e">
        <f t="shared" ca="1" si="36"/>
        <v>#VALUE!</v>
      </c>
      <c r="P120" s="194" t="e">
        <f t="shared" ca="1" si="36"/>
        <v>#VALUE!</v>
      </c>
      <c r="Q120" s="194" t="e">
        <f t="shared" ca="1" si="36"/>
        <v>#VALUE!</v>
      </c>
      <c r="R120" s="194" t="e">
        <f t="shared" ca="1" si="36"/>
        <v>#VALUE!</v>
      </c>
      <c r="S120" s="194" t="e">
        <f t="shared" ca="1" si="36"/>
        <v>#VALUE!</v>
      </c>
      <c r="T120" s="194" t="e">
        <f t="shared" ca="1" si="36"/>
        <v>#VALUE!</v>
      </c>
      <c r="U120" s="194" t="e">
        <f t="shared" ca="1" si="36"/>
        <v>#VALUE!</v>
      </c>
      <c r="V120" s="194" t="e">
        <f t="shared" ca="1" si="36"/>
        <v>#VALUE!</v>
      </c>
      <c r="W120" s="194" t="e">
        <f t="shared" ca="1" si="36"/>
        <v>#VALUE!</v>
      </c>
      <c r="X120" s="194" t="e">
        <f t="shared" ca="1" si="36"/>
        <v>#VALUE!</v>
      </c>
      <c r="Y120" s="194" t="e">
        <f t="shared" ca="1" si="36"/>
        <v>#VALUE!</v>
      </c>
      <c r="Z120" s="194" t="e">
        <f t="shared" ca="1" si="36"/>
        <v>#VALUE!</v>
      </c>
      <c r="AA120" s="194" t="e">
        <f t="shared" ca="1" si="37"/>
        <v>#VALUE!</v>
      </c>
      <c r="AB120" s="194" t="e">
        <f t="shared" ca="1" si="37"/>
        <v>#VALUE!</v>
      </c>
      <c r="AC120" s="194" t="e">
        <f t="shared" ca="1" si="37"/>
        <v>#VALUE!</v>
      </c>
      <c r="AD120" s="194" t="e">
        <f t="shared" ca="1" si="37"/>
        <v>#VALUE!</v>
      </c>
      <c r="AE120" s="194" t="e">
        <f t="shared" ca="1" si="37"/>
        <v>#VALUE!</v>
      </c>
      <c r="AF120" s="194" t="e">
        <f t="shared" ca="1" si="37"/>
        <v>#VALUE!</v>
      </c>
      <c r="AG120" s="194" t="e">
        <f t="shared" ca="1" si="37"/>
        <v>#VALUE!</v>
      </c>
      <c r="AH120" s="194" t="e">
        <f t="shared" ca="1" si="37"/>
        <v>#VALUE!</v>
      </c>
      <c r="AI120" s="194" t="e">
        <f t="shared" ca="1" si="37"/>
        <v>#VALUE!</v>
      </c>
      <c r="AJ120" s="194" t="e">
        <f t="shared" ca="1" si="37"/>
        <v>#VALUE!</v>
      </c>
      <c r="AK120" s="194" t="e">
        <f t="shared" ca="1" si="37"/>
        <v>#VALUE!</v>
      </c>
      <c r="AL120" s="194" t="e">
        <f t="shared" ca="1" si="37"/>
        <v>#VALUE!</v>
      </c>
      <c r="AM120" s="194" t="e">
        <f t="shared" ca="1" si="37"/>
        <v>#VALUE!</v>
      </c>
      <c r="AN120" s="194" t="e">
        <f t="shared" ca="1" si="37"/>
        <v>#VALUE!</v>
      </c>
      <c r="AO120" s="194" t="e">
        <f t="shared" ca="1" si="37"/>
        <v>#VALUE!</v>
      </c>
      <c r="AP120" s="194" t="e">
        <f t="shared" ca="1" si="37"/>
        <v>#VALUE!</v>
      </c>
    </row>
    <row r="121" spans="1:42">
      <c r="A121" s="59" t="str">
        <f>'[4]TS BYDem'!A60</f>
        <v>*</v>
      </c>
      <c r="B121" s="194" t="s">
        <v>288</v>
      </c>
      <c r="C121" s="194" t="s">
        <v>137</v>
      </c>
      <c r="D121" s="194" t="str">
        <f>'[4]TS BYDem'!D60</f>
        <v>IISE</v>
      </c>
      <c r="E121" s="194" t="s">
        <v>137</v>
      </c>
      <c r="F121" s="194" t="s">
        <v>137</v>
      </c>
      <c r="G121" s="194" t="s">
        <v>137</v>
      </c>
      <c r="H121" s="194" t="s">
        <v>137</v>
      </c>
      <c r="I121" s="194">
        <v>0</v>
      </c>
      <c r="J121" s="194" t="str">
        <f>INDEX('[4]TS BYDem'!$J$10:$J$203,MATCH(D121,'[4]TS BYDem'!$D$10:$D$203,0))</f>
        <v/>
      </c>
      <c r="K121" s="194" t="e">
        <f t="shared" ca="1" si="36"/>
        <v>#VALUE!</v>
      </c>
      <c r="L121" s="194" t="e">
        <f t="shared" ca="1" si="36"/>
        <v>#VALUE!</v>
      </c>
      <c r="M121" s="194" t="e">
        <f t="shared" ca="1" si="36"/>
        <v>#VALUE!</v>
      </c>
      <c r="N121" s="194" t="e">
        <f t="shared" ca="1" si="36"/>
        <v>#VALUE!</v>
      </c>
      <c r="O121" s="194" t="e">
        <f t="shared" ca="1" si="36"/>
        <v>#VALUE!</v>
      </c>
      <c r="P121" s="194" t="e">
        <f t="shared" ca="1" si="36"/>
        <v>#VALUE!</v>
      </c>
      <c r="Q121" s="194" t="e">
        <f t="shared" ca="1" si="36"/>
        <v>#VALUE!</v>
      </c>
      <c r="R121" s="194" t="e">
        <f t="shared" ca="1" si="36"/>
        <v>#VALUE!</v>
      </c>
      <c r="S121" s="194" t="e">
        <f t="shared" ca="1" si="36"/>
        <v>#VALUE!</v>
      </c>
      <c r="T121" s="194" t="e">
        <f t="shared" ca="1" si="36"/>
        <v>#VALUE!</v>
      </c>
      <c r="U121" s="194" t="e">
        <f t="shared" ca="1" si="36"/>
        <v>#VALUE!</v>
      </c>
      <c r="V121" s="194" t="e">
        <f t="shared" ca="1" si="36"/>
        <v>#VALUE!</v>
      </c>
      <c r="W121" s="194" t="e">
        <f t="shared" ca="1" si="36"/>
        <v>#VALUE!</v>
      </c>
      <c r="X121" s="194" t="e">
        <f t="shared" ca="1" si="36"/>
        <v>#VALUE!</v>
      </c>
      <c r="Y121" s="194" t="e">
        <f t="shared" ca="1" si="36"/>
        <v>#VALUE!</v>
      </c>
      <c r="Z121" s="194" t="e">
        <f t="shared" ca="1" si="36"/>
        <v>#VALUE!</v>
      </c>
      <c r="AA121" s="194" t="e">
        <f t="shared" ca="1" si="37"/>
        <v>#VALUE!</v>
      </c>
      <c r="AB121" s="194" t="e">
        <f t="shared" ca="1" si="37"/>
        <v>#VALUE!</v>
      </c>
      <c r="AC121" s="194" t="e">
        <f t="shared" ca="1" si="37"/>
        <v>#VALUE!</v>
      </c>
      <c r="AD121" s="194" t="e">
        <f t="shared" ca="1" si="37"/>
        <v>#VALUE!</v>
      </c>
      <c r="AE121" s="194" t="e">
        <f t="shared" ca="1" si="37"/>
        <v>#VALUE!</v>
      </c>
      <c r="AF121" s="194" t="e">
        <f t="shared" ca="1" si="37"/>
        <v>#VALUE!</v>
      </c>
      <c r="AG121" s="194" t="e">
        <f t="shared" ca="1" si="37"/>
        <v>#VALUE!</v>
      </c>
      <c r="AH121" s="194" t="e">
        <f t="shared" ca="1" si="37"/>
        <v>#VALUE!</v>
      </c>
      <c r="AI121" s="194" t="e">
        <f t="shared" ca="1" si="37"/>
        <v>#VALUE!</v>
      </c>
      <c r="AJ121" s="194" t="e">
        <f t="shared" ca="1" si="37"/>
        <v>#VALUE!</v>
      </c>
      <c r="AK121" s="194" t="e">
        <f t="shared" ca="1" si="37"/>
        <v>#VALUE!</v>
      </c>
      <c r="AL121" s="194" t="e">
        <f t="shared" ca="1" si="37"/>
        <v>#VALUE!</v>
      </c>
      <c r="AM121" s="194" t="e">
        <f t="shared" ca="1" si="37"/>
        <v>#VALUE!</v>
      </c>
      <c r="AN121" s="194" t="e">
        <f t="shared" ca="1" si="37"/>
        <v>#VALUE!</v>
      </c>
      <c r="AO121" s="194" t="e">
        <f t="shared" ca="1" si="37"/>
        <v>#VALUE!</v>
      </c>
      <c r="AP121" s="194" t="e">
        <f t="shared" ca="1" si="37"/>
        <v>#VALUE!</v>
      </c>
    </row>
    <row r="122" spans="1:42">
      <c r="A122" s="59" t="str">
        <f>'[4]TS BYDem'!A61</f>
        <v>*</v>
      </c>
      <c r="B122" s="194" t="s">
        <v>288</v>
      </c>
      <c r="C122" s="194" t="s">
        <v>137</v>
      </c>
      <c r="D122" s="194" t="str">
        <f>'[4]TS BYDem'!D61</f>
        <v xml:space="preserve"> </v>
      </c>
      <c r="E122" s="194" t="s">
        <v>137</v>
      </c>
      <c r="F122" s="194" t="s">
        <v>137</v>
      </c>
      <c r="G122" s="194" t="s">
        <v>137</v>
      </c>
      <c r="H122" s="194" t="s">
        <v>137</v>
      </c>
      <c r="I122" s="194">
        <v>0</v>
      </c>
      <c r="J122" s="194" t="str">
        <f>INDEX('[4]TS BYDem'!$J$10:$J$203,MATCH(D122,'[4]TS BYDem'!$D$10:$D$203,0))</f>
        <v/>
      </c>
      <c r="K122" s="194" t="e">
        <f t="shared" ca="1" si="36"/>
        <v>#VALUE!</v>
      </c>
      <c r="L122" s="194" t="e">
        <f t="shared" ca="1" si="36"/>
        <v>#VALUE!</v>
      </c>
      <c r="M122" s="194" t="e">
        <f t="shared" ca="1" si="36"/>
        <v>#VALUE!</v>
      </c>
      <c r="N122" s="194" t="e">
        <f t="shared" ca="1" si="36"/>
        <v>#VALUE!</v>
      </c>
      <c r="O122" s="194" t="e">
        <f t="shared" ca="1" si="36"/>
        <v>#VALUE!</v>
      </c>
      <c r="P122" s="194" t="e">
        <f t="shared" ca="1" si="36"/>
        <v>#VALUE!</v>
      </c>
      <c r="Q122" s="194" t="e">
        <f t="shared" ca="1" si="36"/>
        <v>#VALUE!</v>
      </c>
      <c r="R122" s="194" t="e">
        <f t="shared" ca="1" si="36"/>
        <v>#VALUE!</v>
      </c>
      <c r="S122" s="194" t="e">
        <f t="shared" ca="1" si="36"/>
        <v>#VALUE!</v>
      </c>
      <c r="T122" s="194" t="e">
        <f t="shared" ca="1" si="36"/>
        <v>#VALUE!</v>
      </c>
      <c r="U122" s="194" t="e">
        <f t="shared" ca="1" si="36"/>
        <v>#VALUE!</v>
      </c>
      <c r="V122" s="194" t="e">
        <f t="shared" ca="1" si="36"/>
        <v>#VALUE!</v>
      </c>
      <c r="W122" s="194" t="e">
        <f t="shared" ca="1" si="36"/>
        <v>#VALUE!</v>
      </c>
      <c r="X122" s="194" t="e">
        <f t="shared" ca="1" si="36"/>
        <v>#VALUE!</v>
      </c>
      <c r="Y122" s="194" t="e">
        <f t="shared" ca="1" si="36"/>
        <v>#VALUE!</v>
      </c>
      <c r="Z122" s="194" t="e">
        <f t="shared" ca="1" si="36"/>
        <v>#VALUE!</v>
      </c>
      <c r="AA122" s="194" t="e">
        <f t="shared" ca="1" si="37"/>
        <v>#VALUE!</v>
      </c>
      <c r="AB122" s="194" t="e">
        <f t="shared" ca="1" si="37"/>
        <v>#VALUE!</v>
      </c>
      <c r="AC122" s="194" t="e">
        <f t="shared" ca="1" si="37"/>
        <v>#VALUE!</v>
      </c>
      <c r="AD122" s="194" t="e">
        <f t="shared" ca="1" si="37"/>
        <v>#VALUE!</v>
      </c>
      <c r="AE122" s="194" t="e">
        <f t="shared" ca="1" si="37"/>
        <v>#VALUE!</v>
      </c>
      <c r="AF122" s="194" t="e">
        <f t="shared" ca="1" si="37"/>
        <v>#VALUE!</v>
      </c>
      <c r="AG122" s="194" t="e">
        <f t="shared" ca="1" si="37"/>
        <v>#VALUE!</v>
      </c>
      <c r="AH122" s="194" t="e">
        <f t="shared" ca="1" si="37"/>
        <v>#VALUE!</v>
      </c>
      <c r="AI122" s="194" t="e">
        <f t="shared" ca="1" si="37"/>
        <v>#VALUE!</v>
      </c>
      <c r="AJ122" s="194" t="e">
        <f t="shared" ca="1" si="37"/>
        <v>#VALUE!</v>
      </c>
      <c r="AK122" s="194" t="e">
        <f t="shared" ca="1" si="37"/>
        <v>#VALUE!</v>
      </c>
      <c r="AL122" s="194" t="e">
        <f t="shared" ca="1" si="37"/>
        <v>#VALUE!</v>
      </c>
      <c r="AM122" s="194" t="e">
        <f t="shared" ca="1" si="37"/>
        <v>#VALUE!</v>
      </c>
      <c r="AN122" s="194" t="e">
        <f t="shared" ca="1" si="37"/>
        <v>#VALUE!</v>
      </c>
      <c r="AO122" s="194" t="e">
        <f t="shared" ca="1" si="37"/>
        <v>#VALUE!</v>
      </c>
      <c r="AP122" s="194" t="e">
        <f t="shared" ca="1" si="37"/>
        <v>#VALUE!</v>
      </c>
    </row>
    <row r="123" spans="1:42">
      <c r="A123" s="59" t="str">
        <f>'[4]TS BYDem'!A62</f>
        <v>*</v>
      </c>
      <c r="B123" s="194" t="s">
        <v>288</v>
      </c>
      <c r="C123" s="194" t="s">
        <v>137</v>
      </c>
      <c r="D123" s="194" t="str">
        <f>'[4]TS BYDem'!D62</f>
        <v>IISS</v>
      </c>
      <c r="E123" s="194" t="s">
        <v>137</v>
      </c>
      <c r="F123" s="194" t="s">
        <v>137</v>
      </c>
      <c r="G123" s="194" t="s">
        <v>137</v>
      </c>
      <c r="H123" s="194" t="s">
        <v>137</v>
      </c>
      <c r="I123" s="194">
        <v>0</v>
      </c>
      <c r="J123" s="194" t="str">
        <f>INDEX('[4]TS BYDem'!$J$10:$J$203,MATCH(D123,'[4]TS BYDem'!$D$10:$D$203,0))</f>
        <v/>
      </c>
      <c r="K123" s="194" t="e">
        <f t="shared" ca="1" si="36"/>
        <v>#VALUE!</v>
      </c>
      <c r="L123" s="194" t="e">
        <f t="shared" ca="1" si="36"/>
        <v>#VALUE!</v>
      </c>
      <c r="M123" s="194" t="e">
        <f t="shared" ca="1" si="36"/>
        <v>#VALUE!</v>
      </c>
      <c r="N123" s="194" t="e">
        <f t="shared" ca="1" si="36"/>
        <v>#VALUE!</v>
      </c>
      <c r="O123" s="194" t="e">
        <f t="shared" ca="1" si="36"/>
        <v>#VALUE!</v>
      </c>
      <c r="P123" s="194" t="e">
        <f t="shared" ca="1" si="36"/>
        <v>#VALUE!</v>
      </c>
      <c r="Q123" s="194" t="e">
        <f t="shared" ca="1" si="36"/>
        <v>#VALUE!</v>
      </c>
      <c r="R123" s="194" t="e">
        <f t="shared" ca="1" si="36"/>
        <v>#VALUE!</v>
      </c>
      <c r="S123" s="194" t="e">
        <f t="shared" ca="1" si="36"/>
        <v>#VALUE!</v>
      </c>
      <c r="T123" s="194" t="e">
        <f t="shared" ca="1" si="36"/>
        <v>#VALUE!</v>
      </c>
      <c r="U123" s="194" t="e">
        <f t="shared" ca="1" si="36"/>
        <v>#VALUE!</v>
      </c>
      <c r="V123" s="194" t="e">
        <f t="shared" ca="1" si="36"/>
        <v>#VALUE!</v>
      </c>
      <c r="W123" s="194" t="e">
        <f t="shared" ca="1" si="36"/>
        <v>#VALUE!</v>
      </c>
      <c r="X123" s="194" t="e">
        <f t="shared" ca="1" si="36"/>
        <v>#VALUE!</v>
      </c>
      <c r="Y123" s="194" t="e">
        <f t="shared" ca="1" si="36"/>
        <v>#VALUE!</v>
      </c>
      <c r="Z123" s="194" t="e">
        <f t="shared" ca="1" si="36"/>
        <v>#VALUE!</v>
      </c>
      <c r="AA123" s="194" t="e">
        <f t="shared" ca="1" si="37"/>
        <v>#VALUE!</v>
      </c>
      <c r="AB123" s="194" t="e">
        <f t="shared" ca="1" si="37"/>
        <v>#VALUE!</v>
      </c>
      <c r="AC123" s="194" t="e">
        <f t="shared" ca="1" si="37"/>
        <v>#VALUE!</v>
      </c>
      <c r="AD123" s="194" t="e">
        <f t="shared" ca="1" si="37"/>
        <v>#VALUE!</v>
      </c>
      <c r="AE123" s="194" t="e">
        <f t="shared" ca="1" si="37"/>
        <v>#VALUE!</v>
      </c>
      <c r="AF123" s="194" t="e">
        <f t="shared" ca="1" si="37"/>
        <v>#VALUE!</v>
      </c>
      <c r="AG123" s="194" t="e">
        <f t="shared" ca="1" si="37"/>
        <v>#VALUE!</v>
      </c>
      <c r="AH123" s="194" t="e">
        <f t="shared" ca="1" si="37"/>
        <v>#VALUE!</v>
      </c>
      <c r="AI123" s="194" t="e">
        <f t="shared" ca="1" si="37"/>
        <v>#VALUE!</v>
      </c>
      <c r="AJ123" s="194" t="e">
        <f t="shared" ca="1" si="37"/>
        <v>#VALUE!</v>
      </c>
      <c r="AK123" s="194" t="e">
        <f t="shared" ca="1" si="37"/>
        <v>#VALUE!</v>
      </c>
      <c r="AL123" s="194" t="e">
        <f t="shared" ca="1" si="37"/>
        <v>#VALUE!</v>
      </c>
      <c r="AM123" s="194" t="e">
        <f t="shared" ca="1" si="37"/>
        <v>#VALUE!</v>
      </c>
      <c r="AN123" s="194" t="e">
        <f t="shared" ca="1" si="37"/>
        <v>#VALUE!</v>
      </c>
      <c r="AO123" s="194" t="e">
        <f t="shared" ca="1" si="37"/>
        <v>#VALUE!</v>
      </c>
      <c r="AP123" s="194" t="e">
        <f t="shared" ca="1" si="37"/>
        <v>#VALUE!</v>
      </c>
    </row>
    <row r="124" spans="1:42">
      <c r="A124" s="59" t="str">
        <f>'[4]TS BYDem'!A63</f>
        <v>*</v>
      </c>
      <c r="B124" s="194" t="s">
        <v>288</v>
      </c>
      <c r="C124" s="194" t="s">
        <v>137</v>
      </c>
      <c r="D124" s="194" t="str">
        <f>'[4]TS BYDem'!D63</f>
        <v>IISS</v>
      </c>
      <c r="E124" s="194" t="s">
        <v>137</v>
      </c>
      <c r="F124" s="194" t="s">
        <v>137</v>
      </c>
      <c r="G124" s="194" t="s">
        <v>137</v>
      </c>
      <c r="H124" s="194" t="s">
        <v>137</v>
      </c>
      <c r="I124" s="194">
        <v>0</v>
      </c>
      <c r="J124" s="194" t="str">
        <f>INDEX('[4]TS BYDem'!$J$10:$J$203,MATCH(D124,'[4]TS BYDem'!$D$10:$D$203,0))</f>
        <v/>
      </c>
      <c r="K124" s="194" t="e">
        <f t="shared" ca="1" si="36"/>
        <v>#VALUE!</v>
      </c>
      <c r="L124" s="194" t="e">
        <f t="shared" ca="1" si="36"/>
        <v>#VALUE!</v>
      </c>
      <c r="M124" s="194" t="e">
        <f t="shared" ca="1" si="36"/>
        <v>#VALUE!</v>
      </c>
      <c r="N124" s="194" t="e">
        <f t="shared" ca="1" si="36"/>
        <v>#VALUE!</v>
      </c>
      <c r="O124" s="194" t="e">
        <f t="shared" ca="1" si="36"/>
        <v>#VALUE!</v>
      </c>
      <c r="P124" s="194" t="e">
        <f t="shared" ca="1" si="36"/>
        <v>#VALUE!</v>
      </c>
      <c r="Q124" s="194" t="e">
        <f t="shared" ca="1" si="36"/>
        <v>#VALUE!</v>
      </c>
      <c r="R124" s="194" t="e">
        <f t="shared" ca="1" si="36"/>
        <v>#VALUE!</v>
      </c>
      <c r="S124" s="194" t="e">
        <f t="shared" ca="1" si="36"/>
        <v>#VALUE!</v>
      </c>
      <c r="T124" s="194" t="e">
        <f t="shared" ca="1" si="36"/>
        <v>#VALUE!</v>
      </c>
      <c r="U124" s="194" t="e">
        <f t="shared" ca="1" si="36"/>
        <v>#VALUE!</v>
      </c>
      <c r="V124" s="194" t="e">
        <f t="shared" ca="1" si="36"/>
        <v>#VALUE!</v>
      </c>
      <c r="W124" s="194" t="e">
        <f t="shared" ca="1" si="36"/>
        <v>#VALUE!</v>
      </c>
      <c r="X124" s="194" t="e">
        <f t="shared" ca="1" si="36"/>
        <v>#VALUE!</v>
      </c>
      <c r="Y124" s="194" t="e">
        <f t="shared" ca="1" si="36"/>
        <v>#VALUE!</v>
      </c>
      <c r="Z124" s="194" t="e">
        <f t="shared" ca="1" si="36"/>
        <v>#VALUE!</v>
      </c>
      <c r="AA124" s="194" t="e">
        <f t="shared" ca="1" si="37"/>
        <v>#VALUE!</v>
      </c>
      <c r="AB124" s="194" t="e">
        <f t="shared" ca="1" si="37"/>
        <v>#VALUE!</v>
      </c>
      <c r="AC124" s="194" t="e">
        <f t="shared" ca="1" si="37"/>
        <v>#VALUE!</v>
      </c>
      <c r="AD124" s="194" t="e">
        <f t="shared" ca="1" si="37"/>
        <v>#VALUE!</v>
      </c>
      <c r="AE124" s="194" t="e">
        <f t="shared" ca="1" si="37"/>
        <v>#VALUE!</v>
      </c>
      <c r="AF124" s="194" t="e">
        <f t="shared" ca="1" si="37"/>
        <v>#VALUE!</v>
      </c>
      <c r="AG124" s="194" t="e">
        <f t="shared" ca="1" si="37"/>
        <v>#VALUE!</v>
      </c>
      <c r="AH124" s="194" t="e">
        <f t="shared" ca="1" si="37"/>
        <v>#VALUE!</v>
      </c>
      <c r="AI124" s="194" t="e">
        <f t="shared" ca="1" si="37"/>
        <v>#VALUE!</v>
      </c>
      <c r="AJ124" s="194" t="e">
        <f t="shared" ca="1" si="37"/>
        <v>#VALUE!</v>
      </c>
      <c r="AK124" s="194" t="e">
        <f t="shared" ca="1" si="37"/>
        <v>#VALUE!</v>
      </c>
      <c r="AL124" s="194" t="e">
        <f t="shared" ca="1" si="37"/>
        <v>#VALUE!</v>
      </c>
      <c r="AM124" s="194" t="e">
        <f t="shared" ca="1" si="37"/>
        <v>#VALUE!</v>
      </c>
      <c r="AN124" s="194" t="e">
        <f t="shared" ca="1" si="37"/>
        <v>#VALUE!</v>
      </c>
      <c r="AO124" s="194" t="e">
        <f t="shared" ca="1" si="37"/>
        <v>#VALUE!</v>
      </c>
      <c r="AP124" s="194" t="e">
        <f t="shared" ca="1" si="37"/>
        <v>#VALUE!</v>
      </c>
    </row>
    <row r="125" spans="1:42">
      <c r="A125" s="59" t="str">
        <f>'[4]TS BYDem'!A64</f>
        <v>*</v>
      </c>
      <c r="B125" s="194" t="s">
        <v>288</v>
      </c>
      <c r="C125" s="194" t="s">
        <v>137</v>
      </c>
      <c r="D125" s="194" t="str">
        <f>'[4]TS BYDem'!D64</f>
        <v>IISS</v>
      </c>
      <c r="E125" s="194" t="s">
        <v>137</v>
      </c>
      <c r="F125" s="194" t="s">
        <v>137</v>
      </c>
      <c r="G125" s="194" t="s">
        <v>137</v>
      </c>
      <c r="H125" s="194" t="s">
        <v>137</v>
      </c>
      <c r="I125" s="194">
        <v>0</v>
      </c>
      <c r="J125" s="194" t="str">
        <f>INDEX('[4]TS BYDem'!$J$10:$J$203,MATCH(D125,'[4]TS BYDem'!$D$10:$D$203,0))</f>
        <v/>
      </c>
      <c r="K125" s="194" t="e">
        <f t="shared" ca="1" si="36"/>
        <v>#VALUE!</v>
      </c>
      <c r="L125" s="194" t="e">
        <f t="shared" ca="1" si="36"/>
        <v>#VALUE!</v>
      </c>
      <c r="M125" s="194" t="e">
        <f t="shared" ca="1" si="36"/>
        <v>#VALUE!</v>
      </c>
      <c r="N125" s="194" t="e">
        <f t="shared" ca="1" si="36"/>
        <v>#VALUE!</v>
      </c>
      <c r="O125" s="194" t="e">
        <f t="shared" ca="1" si="36"/>
        <v>#VALUE!</v>
      </c>
      <c r="P125" s="194" t="e">
        <f t="shared" ca="1" si="36"/>
        <v>#VALUE!</v>
      </c>
      <c r="Q125" s="194" t="e">
        <f t="shared" ca="1" si="36"/>
        <v>#VALUE!</v>
      </c>
      <c r="R125" s="194" t="e">
        <f t="shared" ca="1" si="36"/>
        <v>#VALUE!</v>
      </c>
      <c r="S125" s="194" t="e">
        <f t="shared" ca="1" si="36"/>
        <v>#VALUE!</v>
      </c>
      <c r="T125" s="194" t="e">
        <f t="shared" ca="1" si="36"/>
        <v>#VALUE!</v>
      </c>
      <c r="U125" s="194" t="e">
        <f t="shared" ca="1" si="36"/>
        <v>#VALUE!</v>
      </c>
      <c r="V125" s="194" t="e">
        <f t="shared" ca="1" si="36"/>
        <v>#VALUE!</v>
      </c>
      <c r="W125" s="194" t="e">
        <f t="shared" ca="1" si="36"/>
        <v>#VALUE!</v>
      </c>
      <c r="X125" s="194" t="e">
        <f t="shared" ca="1" si="36"/>
        <v>#VALUE!</v>
      </c>
      <c r="Y125" s="194" t="e">
        <f t="shared" ca="1" si="36"/>
        <v>#VALUE!</v>
      </c>
      <c r="Z125" s="194" t="e">
        <f t="shared" ca="1" si="36"/>
        <v>#VALUE!</v>
      </c>
      <c r="AA125" s="194" t="e">
        <f t="shared" ca="1" si="37"/>
        <v>#VALUE!</v>
      </c>
      <c r="AB125" s="194" t="e">
        <f t="shared" ca="1" si="37"/>
        <v>#VALUE!</v>
      </c>
      <c r="AC125" s="194" t="e">
        <f t="shared" ca="1" si="37"/>
        <v>#VALUE!</v>
      </c>
      <c r="AD125" s="194" t="e">
        <f t="shared" ca="1" si="37"/>
        <v>#VALUE!</v>
      </c>
      <c r="AE125" s="194" t="e">
        <f t="shared" ca="1" si="37"/>
        <v>#VALUE!</v>
      </c>
      <c r="AF125" s="194" t="e">
        <f t="shared" ca="1" si="37"/>
        <v>#VALUE!</v>
      </c>
      <c r="AG125" s="194" t="e">
        <f t="shared" ca="1" si="37"/>
        <v>#VALUE!</v>
      </c>
      <c r="AH125" s="194" t="e">
        <f t="shared" ca="1" si="37"/>
        <v>#VALUE!</v>
      </c>
      <c r="AI125" s="194" t="e">
        <f t="shared" ca="1" si="37"/>
        <v>#VALUE!</v>
      </c>
      <c r="AJ125" s="194" t="e">
        <f t="shared" ca="1" si="37"/>
        <v>#VALUE!</v>
      </c>
      <c r="AK125" s="194" t="e">
        <f t="shared" ca="1" si="37"/>
        <v>#VALUE!</v>
      </c>
      <c r="AL125" s="194" t="e">
        <f t="shared" ca="1" si="37"/>
        <v>#VALUE!</v>
      </c>
      <c r="AM125" s="194" t="e">
        <f t="shared" ca="1" si="37"/>
        <v>#VALUE!</v>
      </c>
      <c r="AN125" s="194" t="e">
        <f t="shared" ca="1" si="37"/>
        <v>#VALUE!</v>
      </c>
      <c r="AO125" s="194" t="e">
        <f t="shared" ca="1" si="37"/>
        <v>#VALUE!</v>
      </c>
      <c r="AP125" s="194" t="e">
        <f t="shared" ca="1" si="37"/>
        <v>#VALUE!</v>
      </c>
    </row>
    <row r="126" spans="1:42">
      <c r="A126" s="59" t="str">
        <f>'[4]TS BYDem'!A65</f>
        <v>*</v>
      </c>
      <c r="B126" s="194" t="s">
        <v>288</v>
      </c>
      <c r="C126" s="194" t="s">
        <v>137</v>
      </c>
      <c r="D126" s="194" t="str">
        <f>'[4]TS BYDem'!D65</f>
        <v>IISS</v>
      </c>
      <c r="E126" s="194" t="s">
        <v>137</v>
      </c>
      <c r="F126" s="194" t="s">
        <v>137</v>
      </c>
      <c r="G126" s="194" t="s">
        <v>137</v>
      </c>
      <c r="H126" s="194" t="s">
        <v>137</v>
      </c>
      <c r="I126" s="194">
        <v>0</v>
      </c>
      <c r="J126" s="194" t="str">
        <f>INDEX('[4]TS BYDem'!$J$10:$J$203,MATCH(D126,'[4]TS BYDem'!$D$10:$D$203,0))</f>
        <v/>
      </c>
      <c r="K126" s="194" t="e">
        <f t="shared" ca="1" si="36"/>
        <v>#VALUE!</v>
      </c>
      <c r="L126" s="194" t="e">
        <f t="shared" ca="1" si="36"/>
        <v>#VALUE!</v>
      </c>
      <c r="M126" s="194" t="e">
        <f t="shared" ca="1" si="36"/>
        <v>#VALUE!</v>
      </c>
      <c r="N126" s="194" t="e">
        <f t="shared" ca="1" si="36"/>
        <v>#VALUE!</v>
      </c>
      <c r="O126" s="194" t="e">
        <f t="shared" ca="1" si="36"/>
        <v>#VALUE!</v>
      </c>
      <c r="P126" s="194" t="e">
        <f t="shared" ca="1" si="36"/>
        <v>#VALUE!</v>
      </c>
      <c r="Q126" s="194" t="e">
        <f t="shared" ca="1" si="36"/>
        <v>#VALUE!</v>
      </c>
      <c r="R126" s="194" t="e">
        <f t="shared" ca="1" si="36"/>
        <v>#VALUE!</v>
      </c>
      <c r="S126" s="194" t="e">
        <f t="shared" ca="1" si="36"/>
        <v>#VALUE!</v>
      </c>
      <c r="T126" s="194" t="e">
        <f t="shared" ca="1" si="36"/>
        <v>#VALUE!</v>
      </c>
      <c r="U126" s="194" t="e">
        <f t="shared" ca="1" si="36"/>
        <v>#VALUE!</v>
      </c>
      <c r="V126" s="194" t="e">
        <f t="shared" ca="1" si="36"/>
        <v>#VALUE!</v>
      </c>
      <c r="W126" s="194" t="e">
        <f t="shared" ca="1" si="36"/>
        <v>#VALUE!</v>
      </c>
      <c r="X126" s="194" t="e">
        <f t="shared" ca="1" si="36"/>
        <v>#VALUE!</v>
      </c>
      <c r="Y126" s="194" t="e">
        <f t="shared" ca="1" si="36"/>
        <v>#VALUE!</v>
      </c>
      <c r="Z126" s="194" t="e">
        <f t="shared" ca="1" si="36"/>
        <v>#VALUE!</v>
      </c>
      <c r="AA126" s="194" t="e">
        <f t="shared" ca="1" si="37"/>
        <v>#VALUE!</v>
      </c>
      <c r="AB126" s="194" t="e">
        <f t="shared" ca="1" si="37"/>
        <v>#VALUE!</v>
      </c>
      <c r="AC126" s="194" t="e">
        <f t="shared" ca="1" si="37"/>
        <v>#VALUE!</v>
      </c>
      <c r="AD126" s="194" t="e">
        <f t="shared" ca="1" si="37"/>
        <v>#VALUE!</v>
      </c>
      <c r="AE126" s="194" t="e">
        <f t="shared" ca="1" si="37"/>
        <v>#VALUE!</v>
      </c>
      <c r="AF126" s="194" t="e">
        <f t="shared" ca="1" si="37"/>
        <v>#VALUE!</v>
      </c>
      <c r="AG126" s="194" t="e">
        <f t="shared" ca="1" si="37"/>
        <v>#VALUE!</v>
      </c>
      <c r="AH126" s="194" t="e">
        <f t="shared" ca="1" si="37"/>
        <v>#VALUE!</v>
      </c>
      <c r="AI126" s="194" t="e">
        <f t="shared" ca="1" si="37"/>
        <v>#VALUE!</v>
      </c>
      <c r="AJ126" s="194" t="e">
        <f t="shared" ca="1" si="37"/>
        <v>#VALUE!</v>
      </c>
      <c r="AK126" s="194" t="e">
        <f t="shared" ca="1" si="37"/>
        <v>#VALUE!</v>
      </c>
      <c r="AL126" s="194" t="e">
        <f t="shared" ca="1" si="37"/>
        <v>#VALUE!</v>
      </c>
      <c r="AM126" s="194" t="e">
        <f t="shared" ca="1" si="37"/>
        <v>#VALUE!</v>
      </c>
      <c r="AN126" s="194" t="e">
        <f t="shared" ca="1" si="37"/>
        <v>#VALUE!</v>
      </c>
      <c r="AO126" s="194" t="e">
        <f t="shared" ca="1" si="37"/>
        <v>#VALUE!</v>
      </c>
      <c r="AP126" s="194" t="e">
        <f t="shared" ca="1" si="37"/>
        <v>#VALUE!</v>
      </c>
    </row>
    <row r="127" spans="1:42">
      <c r="A127" s="59" t="str">
        <f>'[4]TS BYDem'!A66</f>
        <v>*</v>
      </c>
      <c r="B127" s="194" t="s">
        <v>288</v>
      </c>
      <c r="C127" s="194" t="s">
        <v>137</v>
      </c>
      <c r="D127" s="194" t="str">
        <f>'[4]TS BYDem'!D66</f>
        <v>IISS</v>
      </c>
      <c r="E127" s="194" t="s">
        <v>137</v>
      </c>
      <c r="F127" s="194" t="s">
        <v>137</v>
      </c>
      <c r="G127" s="194" t="s">
        <v>137</v>
      </c>
      <c r="H127" s="194" t="s">
        <v>137</v>
      </c>
      <c r="I127" s="194">
        <v>0</v>
      </c>
      <c r="J127" s="194" t="str">
        <f>INDEX('[4]TS BYDem'!$J$10:$J$203,MATCH(D127,'[4]TS BYDem'!$D$10:$D$203,0))</f>
        <v/>
      </c>
      <c r="K127" s="194" t="e">
        <f t="shared" ca="1" si="36"/>
        <v>#VALUE!</v>
      </c>
      <c r="L127" s="194" t="e">
        <f t="shared" ca="1" si="36"/>
        <v>#VALUE!</v>
      </c>
      <c r="M127" s="194" t="e">
        <f t="shared" ca="1" si="36"/>
        <v>#VALUE!</v>
      </c>
      <c r="N127" s="194" t="e">
        <f t="shared" ca="1" si="36"/>
        <v>#VALUE!</v>
      </c>
      <c r="O127" s="194" t="e">
        <f t="shared" ca="1" si="36"/>
        <v>#VALUE!</v>
      </c>
      <c r="P127" s="194" t="e">
        <f t="shared" ca="1" si="36"/>
        <v>#VALUE!</v>
      </c>
      <c r="Q127" s="194" t="e">
        <f t="shared" ca="1" si="36"/>
        <v>#VALUE!</v>
      </c>
      <c r="R127" s="194" t="e">
        <f t="shared" ca="1" si="36"/>
        <v>#VALUE!</v>
      </c>
      <c r="S127" s="194" t="e">
        <f t="shared" ca="1" si="36"/>
        <v>#VALUE!</v>
      </c>
      <c r="T127" s="194" t="e">
        <f t="shared" ca="1" si="36"/>
        <v>#VALUE!</v>
      </c>
      <c r="U127" s="194" t="e">
        <f t="shared" ca="1" si="36"/>
        <v>#VALUE!</v>
      </c>
      <c r="V127" s="194" t="e">
        <f t="shared" ca="1" si="36"/>
        <v>#VALUE!</v>
      </c>
      <c r="W127" s="194" t="e">
        <f t="shared" ca="1" si="36"/>
        <v>#VALUE!</v>
      </c>
      <c r="X127" s="194" t="e">
        <f t="shared" ca="1" si="36"/>
        <v>#VALUE!</v>
      </c>
      <c r="Y127" s="194" t="e">
        <f t="shared" ca="1" si="36"/>
        <v>#VALUE!</v>
      </c>
      <c r="Z127" s="194" t="e">
        <f t="shared" ca="1" si="36"/>
        <v>#VALUE!</v>
      </c>
      <c r="AA127" s="194" t="e">
        <f t="shared" ca="1" si="37"/>
        <v>#VALUE!</v>
      </c>
      <c r="AB127" s="194" t="e">
        <f t="shared" ca="1" si="37"/>
        <v>#VALUE!</v>
      </c>
      <c r="AC127" s="194" t="e">
        <f t="shared" ca="1" si="37"/>
        <v>#VALUE!</v>
      </c>
      <c r="AD127" s="194" t="e">
        <f t="shared" ca="1" si="37"/>
        <v>#VALUE!</v>
      </c>
      <c r="AE127" s="194" t="e">
        <f t="shared" ca="1" si="37"/>
        <v>#VALUE!</v>
      </c>
      <c r="AF127" s="194" t="e">
        <f t="shared" ca="1" si="37"/>
        <v>#VALUE!</v>
      </c>
      <c r="AG127" s="194" t="e">
        <f t="shared" ca="1" si="37"/>
        <v>#VALUE!</v>
      </c>
      <c r="AH127" s="194" t="e">
        <f t="shared" ca="1" si="37"/>
        <v>#VALUE!</v>
      </c>
      <c r="AI127" s="194" t="e">
        <f t="shared" ca="1" si="37"/>
        <v>#VALUE!</v>
      </c>
      <c r="AJ127" s="194" t="e">
        <f t="shared" ca="1" si="37"/>
        <v>#VALUE!</v>
      </c>
      <c r="AK127" s="194" t="e">
        <f t="shared" ca="1" si="37"/>
        <v>#VALUE!</v>
      </c>
      <c r="AL127" s="194" t="e">
        <f t="shared" ca="1" si="37"/>
        <v>#VALUE!</v>
      </c>
      <c r="AM127" s="194" t="e">
        <f t="shared" ca="1" si="37"/>
        <v>#VALUE!</v>
      </c>
      <c r="AN127" s="194" t="e">
        <f t="shared" ca="1" si="37"/>
        <v>#VALUE!</v>
      </c>
      <c r="AO127" s="194" t="e">
        <f t="shared" ca="1" si="37"/>
        <v>#VALUE!</v>
      </c>
      <c r="AP127" s="194" t="e">
        <f t="shared" ca="1" si="37"/>
        <v>#VALUE!</v>
      </c>
    </row>
    <row r="128" spans="1:42">
      <c r="A128" s="59" t="str">
        <f>'[4]TS BYDem'!A67</f>
        <v>*</v>
      </c>
      <c r="B128" s="194" t="s">
        <v>288</v>
      </c>
      <c r="C128" s="194" t="s">
        <v>137</v>
      </c>
      <c r="D128" s="194" t="str">
        <f>'[4]TS BYDem'!D67</f>
        <v>IISS</v>
      </c>
      <c r="E128" s="194" t="s">
        <v>137</v>
      </c>
      <c r="F128" s="194" t="s">
        <v>137</v>
      </c>
      <c r="G128" s="194" t="s">
        <v>137</v>
      </c>
      <c r="H128" s="194" t="s">
        <v>137</v>
      </c>
      <c r="I128" s="194">
        <v>0</v>
      </c>
      <c r="J128" s="194" t="str">
        <f>INDEX('[4]TS BYDem'!$J$10:$J$203,MATCH(D128,'[4]TS BYDem'!$D$10:$D$203,0))</f>
        <v/>
      </c>
      <c r="K128" s="194" t="e">
        <f t="shared" ca="1" si="36"/>
        <v>#VALUE!</v>
      </c>
      <c r="L128" s="194" t="e">
        <f t="shared" ca="1" si="36"/>
        <v>#VALUE!</v>
      </c>
      <c r="M128" s="194" t="e">
        <f t="shared" ca="1" si="36"/>
        <v>#VALUE!</v>
      </c>
      <c r="N128" s="194" t="e">
        <f t="shared" ca="1" si="36"/>
        <v>#VALUE!</v>
      </c>
      <c r="O128" s="194" t="e">
        <f t="shared" ca="1" si="36"/>
        <v>#VALUE!</v>
      </c>
      <c r="P128" s="194" t="e">
        <f t="shared" ca="1" si="36"/>
        <v>#VALUE!</v>
      </c>
      <c r="Q128" s="194" t="e">
        <f t="shared" ca="1" si="36"/>
        <v>#VALUE!</v>
      </c>
      <c r="R128" s="194" t="e">
        <f t="shared" ca="1" si="36"/>
        <v>#VALUE!</v>
      </c>
      <c r="S128" s="194" t="e">
        <f t="shared" ca="1" si="36"/>
        <v>#VALUE!</v>
      </c>
      <c r="T128" s="194" t="e">
        <f t="shared" ca="1" si="36"/>
        <v>#VALUE!</v>
      </c>
      <c r="U128" s="194" t="e">
        <f t="shared" ca="1" si="36"/>
        <v>#VALUE!</v>
      </c>
      <c r="V128" s="194" t="e">
        <f t="shared" ca="1" si="36"/>
        <v>#VALUE!</v>
      </c>
      <c r="W128" s="194" t="e">
        <f t="shared" ca="1" si="36"/>
        <v>#VALUE!</v>
      </c>
      <c r="X128" s="194" t="e">
        <f t="shared" ca="1" si="36"/>
        <v>#VALUE!</v>
      </c>
      <c r="Y128" s="194" t="e">
        <f t="shared" ca="1" si="36"/>
        <v>#VALUE!</v>
      </c>
      <c r="Z128" s="194" t="e">
        <f t="shared" ref="Z128:AO132" ca="1" si="38">Z$112/Y$112*Y128</f>
        <v>#VALUE!</v>
      </c>
      <c r="AA128" s="194" t="e">
        <f t="shared" ca="1" si="37"/>
        <v>#VALUE!</v>
      </c>
      <c r="AB128" s="194" t="e">
        <f t="shared" ca="1" si="37"/>
        <v>#VALUE!</v>
      </c>
      <c r="AC128" s="194" t="e">
        <f t="shared" ca="1" si="37"/>
        <v>#VALUE!</v>
      </c>
      <c r="AD128" s="194" t="e">
        <f t="shared" ca="1" si="37"/>
        <v>#VALUE!</v>
      </c>
      <c r="AE128" s="194" t="e">
        <f t="shared" ca="1" si="37"/>
        <v>#VALUE!</v>
      </c>
      <c r="AF128" s="194" t="e">
        <f t="shared" ca="1" si="37"/>
        <v>#VALUE!</v>
      </c>
      <c r="AG128" s="194" t="e">
        <f t="shared" ca="1" si="37"/>
        <v>#VALUE!</v>
      </c>
      <c r="AH128" s="194" t="e">
        <f t="shared" ca="1" si="37"/>
        <v>#VALUE!</v>
      </c>
      <c r="AI128" s="194" t="e">
        <f t="shared" ca="1" si="37"/>
        <v>#VALUE!</v>
      </c>
      <c r="AJ128" s="194" t="e">
        <f t="shared" ca="1" si="37"/>
        <v>#VALUE!</v>
      </c>
      <c r="AK128" s="194" t="e">
        <f t="shared" ca="1" si="37"/>
        <v>#VALUE!</v>
      </c>
      <c r="AL128" s="194" t="e">
        <f t="shared" ca="1" si="37"/>
        <v>#VALUE!</v>
      </c>
      <c r="AM128" s="194" t="e">
        <f t="shared" ca="1" si="37"/>
        <v>#VALUE!</v>
      </c>
      <c r="AN128" s="194" t="e">
        <f t="shared" ca="1" si="37"/>
        <v>#VALUE!</v>
      </c>
      <c r="AO128" s="194" t="e">
        <f t="shared" ca="1" si="37"/>
        <v>#VALUE!</v>
      </c>
      <c r="AP128" s="194" t="e">
        <f t="shared" ref="AP128:AP132" ca="1" si="39">AP$112/AO$112*AO128</f>
        <v>#VALUE!</v>
      </c>
    </row>
    <row r="129" spans="1:42">
      <c r="A129" s="59" t="str">
        <f>'[4]TS BYDem'!A68</f>
        <v>*</v>
      </c>
      <c r="B129" s="194" t="s">
        <v>288</v>
      </c>
      <c r="C129" s="194" t="s">
        <v>137</v>
      </c>
      <c r="D129" s="194">
        <f>'[4]TS BYDem'!D68</f>
        <v>0</v>
      </c>
      <c r="E129" s="194" t="s">
        <v>137</v>
      </c>
      <c r="F129" s="194" t="s">
        <v>137</v>
      </c>
      <c r="G129" s="194" t="s">
        <v>137</v>
      </c>
      <c r="H129" s="194" t="s">
        <v>137</v>
      </c>
      <c r="I129" s="194">
        <v>0</v>
      </c>
      <c r="J129" s="194" t="str">
        <f>INDEX('[4]TS BYDem'!$J$10:$J$203,MATCH(D129,'[4]TS BYDem'!$D$10:$D$203,0))</f>
        <v/>
      </c>
      <c r="K129" s="194" t="e">
        <f t="shared" ref="K129:Z132" ca="1" si="40">K$112/J$112*J129</f>
        <v>#VALUE!</v>
      </c>
      <c r="L129" s="194" t="e">
        <f t="shared" ca="1" si="40"/>
        <v>#VALUE!</v>
      </c>
      <c r="M129" s="194" t="e">
        <f t="shared" ca="1" si="40"/>
        <v>#VALUE!</v>
      </c>
      <c r="N129" s="194" t="e">
        <f t="shared" ca="1" si="40"/>
        <v>#VALUE!</v>
      </c>
      <c r="O129" s="194" t="e">
        <f t="shared" ca="1" si="40"/>
        <v>#VALUE!</v>
      </c>
      <c r="P129" s="194" t="e">
        <f t="shared" ca="1" si="40"/>
        <v>#VALUE!</v>
      </c>
      <c r="Q129" s="194" t="e">
        <f t="shared" ca="1" si="40"/>
        <v>#VALUE!</v>
      </c>
      <c r="R129" s="194" t="e">
        <f t="shared" ca="1" si="40"/>
        <v>#VALUE!</v>
      </c>
      <c r="S129" s="194" t="e">
        <f t="shared" ca="1" si="40"/>
        <v>#VALUE!</v>
      </c>
      <c r="T129" s="194" t="e">
        <f t="shared" ca="1" si="40"/>
        <v>#VALUE!</v>
      </c>
      <c r="U129" s="194" t="e">
        <f t="shared" ca="1" si="40"/>
        <v>#VALUE!</v>
      </c>
      <c r="V129" s="194" t="e">
        <f t="shared" ca="1" si="40"/>
        <v>#VALUE!</v>
      </c>
      <c r="W129" s="194" t="e">
        <f t="shared" ca="1" si="40"/>
        <v>#VALUE!</v>
      </c>
      <c r="X129" s="194" t="e">
        <f t="shared" ca="1" si="40"/>
        <v>#VALUE!</v>
      </c>
      <c r="Y129" s="194" t="e">
        <f t="shared" ca="1" si="40"/>
        <v>#VALUE!</v>
      </c>
      <c r="Z129" s="194" t="e">
        <f t="shared" ca="1" si="38"/>
        <v>#VALUE!</v>
      </c>
      <c r="AA129" s="194" t="e">
        <f t="shared" ca="1" si="38"/>
        <v>#VALUE!</v>
      </c>
      <c r="AB129" s="194" t="e">
        <f t="shared" ca="1" si="38"/>
        <v>#VALUE!</v>
      </c>
      <c r="AC129" s="194" t="e">
        <f t="shared" ca="1" si="38"/>
        <v>#VALUE!</v>
      </c>
      <c r="AD129" s="194" t="e">
        <f t="shared" ca="1" si="38"/>
        <v>#VALUE!</v>
      </c>
      <c r="AE129" s="194" t="e">
        <f t="shared" ca="1" si="38"/>
        <v>#VALUE!</v>
      </c>
      <c r="AF129" s="194" t="e">
        <f t="shared" ca="1" si="38"/>
        <v>#VALUE!</v>
      </c>
      <c r="AG129" s="194" t="e">
        <f t="shared" ca="1" si="38"/>
        <v>#VALUE!</v>
      </c>
      <c r="AH129" s="194" t="e">
        <f t="shared" ca="1" si="38"/>
        <v>#VALUE!</v>
      </c>
      <c r="AI129" s="194" t="e">
        <f t="shared" ca="1" si="38"/>
        <v>#VALUE!</v>
      </c>
      <c r="AJ129" s="194" t="e">
        <f t="shared" ca="1" si="38"/>
        <v>#VALUE!</v>
      </c>
      <c r="AK129" s="194" t="e">
        <f t="shared" ca="1" si="38"/>
        <v>#VALUE!</v>
      </c>
      <c r="AL129" s="194" t="e">
        <f t="shared" ca="1" si="38"/>
        <v>#VALUE!</v>
      </c>
      <c r="AM129" s="194" t="e">
        <f t="shared" ca="1" si="38"/>
        <v>#VALUE!</v>
      </c>
      <c r="AN129" s="194" t="e">
        <f t="shared" ca="1" si="38"/>
        <v>#VALUE!</v>
      </c>
      <c r="AO129" s="194" t="e">
        <f t="shared" ca="1" si="38"/>
        <v>#VALUE!</v>
      </c>
      <c r="AP129" s="194" t="e">
        <f t="shared" ca="1" si="39"/>
        <v>#VALUE!</v>
      </c>
    </row>
    <row r="130" spans="1:42">
      <c r="A130" s="59" t="str">
        <f>'[4]TS BYDem'!A69</f>
        <v>*</v>
      </c>
      <c r="B130" s="194" t="s">
        <v>288</v>
      </c>
      <c r="C130" s="194" t="s">
        <v>137</v>
      </c>
      <c r="D130" s="194" t="str">
        <f>'[4]TS BYDem'!D69</f>
        <v>IIST</v>
      </c>
      <c r="E130" s="194" t="s">
        <v>137</v>
      </c>
      <c r="F130" s="194" t="s">
        <v>137</v>
      </c>
      <c r="G130" s="194" t="s">
        <v>137</v>
      </c>
      <c r="H130" s="194" t="s">
        <v>137</v>
      </c>
      <c r="I130" s="194">
        <v>0</v>
      </c>
      <c r="J130" s="194" t="str">
        <f>INDEX('[4]TS BYDem'!$J$10:$J$203,MATCH(D130,'[4]TS BYDem'!$D$10:$D$203,0))</f>
        <v/>
      </c>
      <c r="K130" s="194" t="e">
        <f t="shared" ca="1" si="40"/>
        <v>#VALUE!</v>
      </c>
      <c r="L130" s="194" t="e">
        <f t="shared" ca="1" si="40"/>
        <v>#VALUE!</v>
      </c>
      <c r="M130" s="194" t="e">
        <f t="shared" ca="1" si="40"/>
        <v>#VALUE!</v>
      </c>
      <c r="N130" s="194" t="e">
        <f t="shared" ca="1" si="40"/>
        <v>#VALUE!</v>
      </c>
      <c r="O130" s="194" t="e">
        <f t="shared" ca="1" si="40"/>
        <v>#VALUE!</v>
      </c>
      <c r="P130" s="194" t="e">
        <f t="shared" ca="1" si="40"/>
        <v>#VALUE!</v>
      </c>
      <c r="Q130" s="194" t="e">
        <f t="shared" ca="1" si="40"/>
        <v>#VALUE!</v>
      </c>
      <c r="R130" s="194" t="e">
        <f t="shared" ca="1" si="40"/>
        <v>#VALUE!</v>
      </c>
      <c r="S130" s="194" t="e">
        <f t="shared" ca="1" si="40"/>
        <v>#VALUE!</v>
      </c>
      <c r="T130" s="194" t="e">
        <f t="shared" ca="1" si="40"/>
        <v>#VALUE!</v>
      </c>
      <c r="U130" s="194" t="e">
        <f t="shared" ca="1" si="40"/>
        <v>#VALUE!</v>
      </c>
      <c r="V130" s="194" t="e">
        <f t="shared" ca="1" si="40"/>
        <v>#VALUE!</v>
      </c>
      <c r="W130" s="194" t="e">
        <f t="shared" ca="1" si="40"/>
        <v>#VALUE!</v>
      </c>
      <c r="X130" s="194" t="e">
        <f t="shared" ca="1" si="40"/>
        <v>#VALUE!</v>
      </c>
      <c r="Y130" s="194" t="e">
        <f t="shared" ca="1" si="40"/>
        <v>#VALUE!</v>
      </c>
      <c r="Z130" s="194" t="e">
        <f t="shared" ca="1" si="38"/>
        <v>#VALUE!</v>
      </c>
      <c r="AA130" s="194" t="e">
        <f t="shared" ca="1" si="38"/>
        <v>#VALUE!</v>
      </c>
      <c r="AB130" s="194" t="e">
        <f t="shared" ca="1" si="38"/>
        <v>#VALUE!</v>
      </c>
      <c r="AC130" s="194" t="e">
        <f t="shared" ca="1" si="38"/>
        <v>#VALUE!</v>
      </c>
      <c r="AD130" s="194" t="e">
        <f t="shared" ca="1" si="38"/>
        <v>#VALUE!</v>
      </c>
      <c r="AE130" s="194" t="e">
        <f t="shared" ca="1" si="38"/>
        <v>#VALUE!</v>
      </c>
      <c r="AF130" s="194" t="e">
        <f t="shared" ca="1" si="38"/>
        <v>#VALUE!</v>
      </c>
      <c r="AG130" s="194" t="e">
        <f t="shared" ca="1" si="38"/>
        <v>#VALUE!</v>
      </c>
      <c r="AH130" s="194" t="e">
        <f t="shared" ca="1" si="38"/>
        <v>#VALUE!</v>
      </c>
      <c r="AI130" s="194" t="e">
        <f t="shared" ca="1" si="38"/>
        <v>#VALUE!</v>
      </c>
      <c r="AJ130" s="194" t="e">
        <f t="shared" ca="1" si="38"/>
        <v>#VALUE!</v>
      </c>
      <c r="AK130" s="194" t="e">
        <f t="shared" ca="1" si="38"/>
        <v>#VALUE!</v>
      </c>
      <c r="AL130" s="194" t="e">
        <f t="shared" ca="1" si="38"/>
        <v>#VALUE!</v>
      </c>
      <c r="AM130" s="194" t="e">
        <f t="shared" ca="1" si="38"/>
        <v>#VALUE!</v>
      </c>
      <c r="AN130" s="194" t="e">
        <f t="shared" ca="1" si="38"/>
        <v>#VALUE!</v>
      </c>
      <c r="AO130" s="194" t="e">
        <f t="shared" ca="1" si="38"/>
        <v>#VALUE!</v>
      </c>
      <c r="AP130" s="194" t="e">
        <f t="shared" ca="1" si="39"/>
        <v>#VALUE!</v>
      </c>
    </row>
    <row r="131" spans="1:42">
      <c r="A131" s="59" t="str">
        <f>'[4]TS BYDem'!A70</f>
        <v>*</v>
      </c>
      <c r="B131" s="194" t="s">
        <v>288</v>
      </c>
      <c r="C131" s="194" t="s">
        <v>137</v>
      </c>
      <c r="D131" s="194" t="str">
        <f>'[4]TS BYDem'!D70</f>
        <v>Useful Energy Service</v>
      </c>
      <c r="E131" s="194" t="s">
        <v>137</v>
      </c>
      <c r="F131" s="194" t="s">
        <v>137</v>
      </c>
      <c r="G131" s="194" t="s">
        <v>137</v>
      </c>
      <c r="H131" s="194" t="s">
        <v>137</v>
      </c>
      <c r="I131" s="194">
        <v>0</v>
      </c>
      <c r="J131" s="194" t="str">
        <f>INDEX('[4]TS BYDem'!$J$10:$J$203,MATCH(D131,'[4]TS BYDem'!$D$10:$D$203,0))</f>
        <v/>
      </c>
      <c r="K131" s="194" t="e">
        <f t="shared" ca="1" si="40"/>
        <v>#VALUE!</v>
      </c>
      <c r="L131" s="194" t="e">
        <f t="shared" ca="1" si="40"/>
        <v>#VALUE!</v>
      </c>
      <c r="M131" s="194" t="e">
        <f t="shared" ca="1" si="40"/>
        <v>#VALUE!</v>
      </c>
      <c r="N131" s="194" t="e">
        <f t="shared" ca="1" si="40"/>
        <v>#VALUE!</v>
      </c>
      <c r="O131" s="194" t="e">
        <f t="shared" ca="1" si="40"/>
        <v>#VALUE!</v>
      </c>
      <c r="P131" s="194" t="e">
        <f t="shared" ca="1" si="40"/>
        <v>#VALUE!</v>
      </c>
      <c r="Q131" s="194" t="e">
        <f t="shared" ca="1" si="40"/>
        <v>#VALUE!</v>
      </c>
      <c r="R131" s="194" t="e">
        <f t="shared" ca="1" si="40"/>
        <v>#VALUE!</v>
      </c>
      <c r="S131" s="194" t="e">
        <f t="shared" ca="1" si="40"/>
        <v>#VALUE!</v>
      </c>
      <c r="T131" s="194" t="e">
        <f t="shared" ca="1" si="40"/>
        <v>#VALUE!</v>
      </c>
      <c r="U131" s="194" t="e">
        <f t="shared" ca="1" si="40"/>
        <v>#VALUE!</v>
      </c>
      <c r="V131" s="194" t="e">
        <f t="shared" ca="1" si="40"/>
        <v>#VALUE!</v>
      </c>
      <c r="W131" s="194" t="e">
        <f t="shared" ca="1" si="40"/>
        <v>#VALUE!</v>
      </c>
      <c r="X131" s="194" t="e">
        <f t="shared" ca="1" si="40"/>
        <v>#VALUE!</v>
      </c>
      <c r="Y131" s="194" t="e">
        <f t="shared" ca="1" si="40"/>
        <v>#VALUE!</v>
      </c>
      <c r="Z131" s="194" t="e">
        <f t="shared" ca="1" si="38"/>
        <v>#VALUE!</v>
      </c>
      <c r="AA131" s="194" t="e">
        <f t="shared" ca="1" si="38"/>
        <v>#VALUE!</v>
      </c>
      <c r="AB131" s="194" t="e">
        <f t="shared" ca="1" si="38"/>
        <v>#VALUE!</v>
      </c>
      <c r="AC131" s="194" t="e">
        <f t="shared" ca="1" si="38"/>
        <v>#VALUE!</v>
      </c>
      <c r="AD131" s="194" t="e">
        <f t="shared" ca="1" si="38"/>
        <v>#VALUE!</v>
      </c>
      <c r="AE131" s="194" t="e">
        <f t="shared" ca="1" si="38"/>
        <v>#VALUE!</v>
      </c>
      <c r="AF131" s="194" t="e">
        <f t="shared" ca="1" si="38"/>
        <v>#VALUE!</v>
      </c>
      <c r="AG131" s="194" t="e">
        <f t="shared" ca="1" si="38"/>
        <v>#VALUE!</v>
      </c>
      <c r="AH131" s="194" t="e">
        <f t="shared" ca="1" si="38"/>
        <v>#VALUE!</v>
      </c>
      <c r="AI131" s="194" t="e">
        <f t="shared" ca="1" si="38"/>
        <v>#VALUE!</v>
      </c>
      <c r="AJ131" s="194" t="e">
        <f t="shared" ca="1" si="38"/>
        <v>#VALUE!</v>
      </c>
      <c r="AK131" s="194" t="e">
        <f t="shared" ca="1" si="38"/>
        <v>#VALUE!</v>
      </c>
      <c r="AL131" s="194" t="e">
        <f t="shared" ca="1" si="38"/>
        <v>#VALUE!</v>
      </c>
      <c r="AM131" s="194" t="e">
        <f t="shared" ca="1" si="38"/>
        <v>#VALUE!</v>
      </c>
      <c r="AN131" s="194" t="e">
        <f t="shared" ca="1" si="38"/>
        <v>#VALUE!</v>
      </c>
      <c r="AO131" s="194" t="e">
        <f t="shared" ca="1" si="38"/>
        <v>#VALUE!</v>
      </c>
      <c r="AP131" s="194" t="e">
        <f t="shared" ca="1" si="39"/>
        <v>#VALUE!</v>
      </c>
    </row>
    <row r="132" spans="1:42">
      <c r="A132" s="59" t="str">
        <f>'[4]TS BYDem'!A71</f>
        <v>*</v>
      </c>
      <c r="B132" s="194" t="s">
        <v>288</v>
      </c>
      <c r="C132" s="194" t="s">
        <v>137</v>
      </c>
      <c r="D132" s="194">
        <f>'[4]TS BYDem'!D71</f>
        <v>0</v>
      </c>
      <c r="E132" s="194" t="s">
        <v>137</v>
      </c>
      <c r="F132" s="194" t="s">
        <v>137</v>
      </c>
      <c r="G132" s="194" t="s">
        <v>137</v>
      </c>
      <c r="H132" s="194" t="s">
        <v>137</v>
      </c>
      <c r="I132" s="194">
        <v>0</v>
      </c>
      <c r="J132" s="194" t="str">
        <f>INDEX('[4]TS BYDem'!$J$10:$J$203,MATCH(D132,'[4]TS BYDem'!$D$10:$D$203,0))</f>
        <v/>
      </c>
      <c r="K132" s="194" t="e">
        <f t="shared" ca="1" si="40"/>
        <v>#VALUE!</v>
      </c>
      <c r="L132" s="194" t="e">
        <f t="shared" ca="1" si="40"/>
        <v>#VALUE!</v>
      </c>
      <c r="M132" s="194" t="e">
        <f t="shared" ca="1" si="40"/>
        <v>#VALUE!</v>
      </c>
      <c r="N132" s="194" t="e">
        <f t="shared" ca="1" si="40"/>
        <v>#VALUE!</v>
      </c>
      <c r="O132" s="194" t="e">
        <f t="shared" ca="1" si="40"/>
        <v>#VALUE!</v>
      </c>
      <c r="P132" s="194" t="e">
        <f t="shared" ca="1" si="40"/>
        <v>#VALUE!</v>
      </c>
      <c r="Q132" s="194" t="e">
        <f t="shared" ca="1" si="40"/>
        <v>#VALUE!</v>
      </c>
      <c r="R132" s="194" t="e">
        <f t="shared" ca="1" si="40"/>
        <v>#VALUE!</v>
      </c>
      <c r="S132" s="194" t="e">
        <f t="shared" ca="1" si="40"/>
        <v>#VALUE!</v>
      </c>
      <c r="T132" s="194" t="e">
        <f t="shared" ca="1" si="40"/>
        <v>#VALUE!</v>
      </c>
      <c r="U132" s="194" t="e">
        <f t="shared" ca="1" si="40"/>
        <v>#VALUE!</v>
      </c>
      <c r="V132" s="194" t="e">
        <f t="shared" ca="1" si="40"/>
        <v>#VALUE!</v>
      </c>
      <c r="W132" s="194" t="e">
        <f t="shared" ca="1" si="40"/>
        <v>#VALUE!</v>
      </c>
      <c r="X132" s="194" t="e">
        <f t="shared" ca="1" si="40"/>
        <v>#VALUE!</v>
      </c>
      <c r="Y132" s="194" t="e">
        <f t="shared" ca="1" si="40"/>
        <v>#VALUE!</v>
      </c>
      <c r="Z132" s="194" t="e">
        <f t="shared" ca="1" si="40"/>
        <v>#VALUE!</v>
      </c>
      <c r="AA132" s="194" t="e">
        <f t="shared" ca="1" si="38"/>
        <v>#VALUE!</v>
      </c>
      <c r="AB132" s="194" t="e">
        <f t="shared" ca="1" si="38"/>
        <v>#VALUE!</v>
      </c>
      <c r="AC132" s="194" t="e">
        <f t="shared" ca="1" si="38"/>
        <v>#VALUE!</v>
      </c>
      <c r="AD132" s="194" t="e">
        <f t="shared" ca="1" si="38"/>
        <v>#VALUE!</v>
      </c>
      <c r="AE132" s="194" t="e">
        <f t="shared" ca="1" si="38"/>
        <v>#VALUE!</v>
      </c>
      <c r="AF132" s="194" t="e">
        <f t="shared" ca="1" si="38"/>
        <v>#VALUE!</v>
      </c>
      <c r="AG132" s="194" t="e">
        <f t="shared" ca="1" si="38"/>
        <v>#VALUE!</v>
      </c>
      <c r="AH132" s="194" t="e">
        <f t="shared" ca="1" si="38"/>
        <v>#VALUE!</v>
      </c>
      <c r="AI132" s="194" t="e">
        <f t="shared" ca="1" si="38"/>
        <v>#VALUE!</v>
      </c>
      <c r="AJ132" s="194" t="e">
        <f t="shared" ca="1" si="38"/>
        <v>#VALUE!</v>
      </c>
      <c r="AK132" s="194" t="e">
        <f t="shared" ca="1" si="38"/>
        <v>#VALUE!</v>
      </c>
      <c r="AL132" s="194" t="e">
        <f t="shared" ca="1" si="38"/>
        <v>#VALUE!</v>
      </c>
      <c r="AM132" s="194" t="e">
        <f t="shared" ca="1" si="38"/>
        <v>#VALUE!</v>
      </c>
      <c r="AN132" s="194" t="e">
        <f t="shared" ca="1" si="38"/>
        <v>#VALUE!</v>
      </c>
      <c r="AO132" s="194" t="e">
        <f t="shared" ca="1" si="38"/>
        <v>#VALUE!</v>
      </c>
      <c r="AP132" s="194" t="e">
        <f t="shared" ca="1" si="39"/>
        <v>#VALUE!</v>
      </c>
    </row>
    <row r="133" spans="1:42" s="5" customFormat="1">
      <c r="A133" s="59"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59" t="str">
        <f>'[4]TS BYDem'!A73</f>
        <v/>
      </c>
      <c r="B134" s="194" t="s">
        <v>288</v>
      </c>
      <c r="C134" s="194" t="s">
        <v>137</v>
      </c>
      <c r="D134" s="194" t="str">
        <f>'[4]TS BYDem'!D73</f>
        <v>ICPK</v>
      </c>
      <c r="E134" s="194" t="s">
        <v>137</v>
      </c>
      <c r="F134" s="194" t="s">
        <v>137</v>
      </c>
      <c r="G134" s="194" t="s">
        <v>137</v>
      </c>
      <c r="H134" s="194" t="s">
        <v>137</v>
      </c>
      <c r="I134" s="194">
        <v>0</v>
      </c>
      <c r="J134" s="194">
        <f>INDEX('[4]TS BYDem'!$J$10:$J$203,MATCH(D134,'[4]TS BYDem'!$D$10:$D$203,0))</f>
        <v>0.55647663194961794</v>
      </c>
      <c r="K134" s="194">
        <f ca="1">K$133/J$133*J134</f>
        <v>0.57228263361453802</v>
      </c>
      <c r="L134" s="194">
        <f t="shared" ref="L134:AA134" ca="1" si="42">L$133/K$133*K134</f>
        <v>0.58229310133565393</v>
      </c>
      <c r="M134" s="201">
        <f t="shared" ref="M134:M142" si="43">O134</f>
        <v>0.63970000000000005</v>
      </c>
      <c r="N134" s="201">
        <f t="shared" ref="N134:N142" si="44">O134</f>
        <v>0.63970000000000005</v>
      </c>
      <c r="O134" s="201">
        <f>INDEX('[4]TS BYDem'!$O$10:$O$203,MATCH(D134,'[4]TS BYDem'!$D$10:$D$203,0))</f>
        <v>0.63970000000000005</v>
      </c>
      <c r="P134" s="194">
        <f t="shared" ca="1" si="42"/>
        <v>0.64523803886925801</v>
      </c>
      <c r="Q134" s="194">
        <f t="shared" ca="1" si="42"/>
        <v>0.6437687632508835</v>
      </c>
      <c r="R134" s="194">
        <f t="shared" ca="1" si="42"/>
        <v>0.59189203180212024</v>
      </c>
      <c r="S134" s="194">
        <f t="shared" ca="1" si="42"/>
        <v>0.60760197879858668</v>
      </c>
      <c r="T134" s="194">
        <f t="shared" ca="1" si="42"/>
        <v>0.62184265017667861</v>
      </c>
      <c r="U134" s="194">
        <f t="shared" ca="1" si="42"/>
        <v>0.63529217314487652</v>
      </c>
      <c r="V134" s="194">
        <f t="shared" ca="1" si="42"/>
        <v>0.64817659010600726</v>
      </c>
      <c r="W134" s="194">
        <f t="shared" ca="1" si="42"/>
        <v>0.66219121908127232</v>
      </c>
      <c r="X134" s="194">
        <f t="shared" ca="1" si="42"/>
        <v>0.68004856890459386</v>
      </c>
      <c r="Y134" s="194">
        <f t="shared" ca="1" si="42"/>
        <v>0.69756685512367511</v>
      </c>
      <c r="Z134" s="194">
        <f t="shared" ca="1" si="42"/>
        <v>0.7155372261484102</v>
      </c>
      <c r="AA134" s="194">
        <f t="shared" ca="1" si="42"/>
        <v>0.73565500000000039</v>
      </c>
      <c r="AB134" s="194">
        <f t="shared" ref="AA134:AP149" ca="1" si="45">AB$133/AA$133*AA134</f>
        <v>0.75645090106007107</v>
      </c>
      <c r="AC134" s="194">
        <f t="shared" ca="1" si="45"/>
        <v>0.77792492932862223</v>
      </c>
      <c r="AD134" s="194">
        <f t="shared" ca="1" si="45"/>
        <v>0.7987208303886929</v>
      </c>
      <c r="AE134" s="194">
        <f t="shared" ca="1" si="45"/>
        <v>0.82155111307420525</v>
      </c>
      <c r="AF134" s="194">
        <f t="shared" ca="1" si="45"/>
        <v>0.84596369257950554</v>
      </c>
      <c r="AG134" s="194">
        <f t="shared" ca="1" si="45"/>
        <v>0.87286273851590146</v>
      </c>
      <c r="AH134" s="194">
        <f t="shared" ca="1" si="45"/>
        <v>0.90055293286219129</v>
      </c>
      <c r="AI134" s="194">
        <f t="shared" ca="1" si="45"/>
        <v>0.92903427561837504</v>
      </c>
      <c r="AJ134" s="194">
        <f t="shared" ca="1" si="45"/>
        <v>0.95785468197879908</v>
      </c>
      <c r="AK134" s="194">
        <f t="shared" ca="1" si="45"/>
        <v>0.98757925795053048</v>
      </c>
      <c r="AL134" s="194">
        <f t="shared" ca="1" si="45"/>
        <v>1.01888613074205</v>
      </c>
      <c r="AM134" s="194">
        <f t="shared" ca="1" si="45"/>
        <v>1.18672261484099</v>
      </c>
      <c r="AN134" s="194">
        <f t="shared" ca="1" si="45"/>
        <v>1.3923081802120147</v>
      </c>
      <c r="AO134" s="194">
        <f t="shared" ca="1" si="45"/>
        <v>1.7594387161366405</v>
      </c>
      <c r="AP134" s="194">
        <f t="shared" ca="1" si="45"/>
        <v>2.1328607656066052</v>
      </c>
    </row>
    <row r="135" spans="1:42">
      <c r="A135" s="59" t="str">
        <f>'[4]TS BYDem'!A74</f>
        <v/>
      </c>
      <c r="B135" s="194" t="s">
        <v>288</v>
      </c>
      <c r="C135" s="194" t="s">
        <v>137</v>
      </c>
      <c r="D135" s="194" t="str">
        <f>'[4]TS BYDem'!D74</f>
        <v>ICPA</v>
      </c>
      <c r="E135" s="194" t="s">
        <v>137</v>
      </c>
      <c r="F135" s="194" t="s">
        <v>137</v>
      </c>
      <c r="G135" s="194" t="s">
        <v>137</v>
      </c>
      <c r="H135" s="194" t="s">
        <v>137</v>
      </c>
      <c r="I135" s="194">
        <v>0</v>
      </c>
      <c r="J135" s="194">
        <f>INDEX('[4]TS BYDem'!$J$10:$J$203,MATCH(D135,'[4]TS BYDem'!$D$10:$D$203,0))</f>
        <v>0.2086787369811067</v>
      </c>
      <c r="K135" s="194">
        <f t="shared" ref="K135:Z150" ca="1" si="46">K$133/J$133*J135</f>
        <v>0.21460598760545171</v>
      </c>
      <c r="L135" s="194">
        <f t="shared" ca="1" si="46"/>
        <v>0.21835991300087018</v>
      </c>
      <c r="M135" s="201">
        <f t="shared" si="43"/>
        <v>0.2398875</v>
      </c>
      <c r="N135" s="201">
        <f t="shared" si="44"/>
        <v>0.2398875</v>
      </c>
      <c r="O135" s="201">
        <f>INDEX('[4]TS BYDem'!$O$10:$O$203,MATCH(D135,'[4]TS BYDem'!$D$10:$D$203,0))</f>
        <v>0.2398875</v>
      </c>
      <c r="P135" s="194">
        <f t="shared" ca="1" si="46"/>
        <v>0.24196426457597173</v>
      </c>
      <c r="Q135" s="194">
        <f t="shared" ca="1" si="46"/>
        <v>0.24141328621908126</v>
      </c>
      <c r="R135" s="194">
        <f t="shared" ca="1" si="46"/>
        <v>0.22195951192579502</v>
      </c>
      <c r="S135" s="194">
        <f t="shared" ca="1" si="46"/>
        <v>0.22785074204946992</v>
      </c>
      <c r="T135" s="194">
        <f t="shared" ca="1" si="46"/>
        <v>0.23319099381625438</v>
      </c>
      <c r="U135" s="194">
        <f t="shared" ca="1" si="46"/>
        <v>0.23823456492932857</v>
      </c>
      <c r="V135" s="194">
        <f t="shared" ca="1" si="46"/>
        <v>0.24306622128975261</v>
      </c>
      <c r="W135" s="194">
        <f t="shared" ca="1" si="46"/>
        <v>0.248321707155477</v>
      </c>
      <c r="X135" s="194">
        <f t="shared" ca="1" si="46"/>
        <v>0.25501821333922253</v>
      </c>
      <c r="Y135" s="194">
        <f t="shared" ca="1" si="46"/>
        <v>0.261587570671378</v>
      </c>
      <c r="Z135" s="194">
        <f t="shared" ca="1" si="46"/>
        <v>0.26832645980565367</v>
      </c>
      <c r="AA135" s="194">
        <f t="shared" ca="1" si="45"/>
        <v>0.27587062499999998</v>
      </c>
      <c r="AB135" s="194">
        <f t="shared" ca="1" si="45"/>
        <v>0.28366908789752648</v>
      </c>
      <c r="AC135" s="194">
        <f t="shared" ca="1" si="45"/>
        <v>0.29172184849823318</v>
      </c>
      <c r="AD135" s="194">
        <f t="shared" ca="1" si="45"/>
        <v>0.29952031139575969</v>
      </c>
      <c r="AE135" s="194">
        <f t="shared" ca="1" si="45"/>
        <v>0.30808166740282683</v>
      </c>
      <c r="AF135" s="194">
        <f t="shared" ca="1" si="45"/>
        <v>0.31723638471731441</v>
      </c>
      <c r="AG135" s="194">
        <f t="shared" ca="1" si="45"/>
        <v>0.32732352694346289</v>
      </c>
      <c r="AH135" s="194">
        <f t="shared" ca="1" si="45"/>
        <v>0.33770734982332157</v>
      </c>
      <c r="AI135" s="194">
        <f t="shared" ca="1" si="45"/>
        <v>0.34838785335689043</v>
      </c>
      <c r="AJ135" s="194">
        <f t="shared" ca="1" si="45"/>
        <v>0.35919550574204945</v>
      </c>
      <c r="AK135" s="194">
        <f t="shared" ca="1" si="45"/>
        <v>0.37034222173144871</v>
      </c>
      <c r="AL135" s="194">
        <f t="shared" ca="1" si="45"/>
        <v>0.38208229902826851</v>
      </c>
      <c r="AM135" s="194">
        <f t="shared" ca="1" si="45"/>
        <v>0.44502098056537093</v>
      </c>
      <c r="AN135" s="194">
        <f t="shared" ca="1" si="45"/>
        <v>0.52211556757950517</v>
      </c>
      <c r="AO135" s="194">
        <f t="shared" ca="1" si="45"/>
        <v>0.65978951855123968</v>
      </c>
      <c r="AP135" s="194">
        <f t="shared" ca="1" si="45"/>
        <v>0.79982278710247634</v>
      </c>
    </row>
    <row r="136" spans="1:42">
      <c r="A136" s="59" t="str">
        <f>'[4]TS BYDem'!A75</f>
        <v/>
      </c>
      <c r="B136" s="194" t="s">
        <v>288</v>
      </c>
      <c r="C136" s="194" t="s">
        <v>137</v>
      </c>
      <c r="D136" s="194" t="str">
        <f>'[4]TS BYDem'!D75</f>
        <v>ICPL</v>
      </c>
      <c r="E136" s="194" t="s">
        <v>137</v>
      </c>
      <c r="F136" s="194" t="s">
        <v>137</v>
      </c>
      <c r="G136" s="194" t="s">
        <v>137</v>
      </c>
      <c r="H136" s="194" t="s">
        <v>137</v>
      </c>
      <c r="I136" s="194">
        <v>0</v>
      </c>
      <c r="J136" s="194">
        <f>INDEX('[4]TS BYDem'!$J$10:$J$203,MATCH(D136,'[4]TS BYDem'!$D$10:$D$203,0))</f>
        <v>0.3338859791697707</v>
      </c>
      <c r="K136" s="194">
        <f t="shared" ca="1" si="46"/>
        <v>0.34336958016872271</v>
      </c>
      <c r="L136" s="194">
        <f t="shared" ca="1" si="46"/>
        <v>0.34937586080139227</v>
      </c>
      <c r="M136" s="201">
        <f t="shared" si="43"/>
        <v>0.38381999999999999</v>
      </c>
      <c r="N136" s="201">
        <f t="shared" si="44"/>
        <v>0.38381999999999999</v>
      </c>
      <c r="O136" s="201">
        <f>INDEX('[4]TS BYDem'!$O$10:$O$203,MATCH(D136,'[4]TS BYDem'!$D$10:$D$203,0))</f>
        <v>0.38381999999999999</v>
      </c>
      <c r="P136" s="194">
        <f t="shared" ca="1" si="46"/>
        <v>0.38714282332155475</v>
      </c>
      <c r="Q136" s="194">
        <f t="shared" ca="1" si="46"/>
        <v>0.38626125795053001</v>
      </c>
      <c r="R136" s="194">
        <f t="shared" ca="1" si="46"/>
        <v>0.35513521908127205</v>
      </c>
      <c r="S136" s="194">
        <f t="shared" ca="1" si="46"/>
        <v>0.36456118727915188</v>
      </c>
      <c r="T136" s="194">
        <f t="shared" ca="1" si="46"/>
        <v>0.37310559010600702</v>
      </c>
      <c r="U136" s="194">
        <f t="shared" ca="1" si="46"/>
        <v>0.38117530388692572</v>
      </c>
      <c r="V136" s="194">
        <f t="shared" ca="1" si="46"/>
        <v>0.38890595406360418</v>
      </c>
      <c r="W136" s="194">
        <f t="shared" ca="1" si="46"/>
        <v>0.39731473144876317</v>
      </c>
      <c r="X136" s="194">
        <f t="shared" ca="1" si="46"/>
        <v>0.40802914134275609</v>
      </c>
      <c r="Y136" s="194">
        <f t="shared" ca="1" si="46"/>
        <v>0.41854011307420486</v>
      </c>
      <c r="Z136" s="194">
        <f t="shared" ca="1" si="46"/>
        <v>0.42932233568904593</v>
      </c>
      <c r="AA136" s="194">
        <f t="shared" ca="1" si="45"/>
        <v>0.44139300000000004</v>
      </c>
      <c r="AB136" s="194">
        <f t="shared" ca="1" si="45"/>
        <v>0.45387054063604243</v>
      </c>
      <c r="AC136" s="194">
        <f t="shared" ca="1" si="45"/>
        <v>0.46675495759717311</v>
      </c>
      <c r="AD136" s="194">
        <f t="shared" ca="1" si="45"/>
        <v>0.47923249823321551</v>
      </c>
      <c r="AE136" s="194">
        <f t="shared" ca="1" si="45"/>
        <v>0.49293066784452294</v>
      </c>
      <c r="AF136" s="194">
        <f t="shared" ca="1" si="45"/>
        <v>0.5075782155477031</v>
      </c>
      <c r="AG136" s="194">
        <f t="shared" ca="1" si="45"/>
        <v>0.52371764310954072</v>
      </c>
      <c r="AH136" s="194">
        <f t="shared" ca="1" si="45"/>
        <v>0.54033175971731462</v>
      </c>
      <c r="AI136" s="194">
        <f t="shared" ca="1" si="45"/>
        <v>0.5574205653710248</v>
      </c>
      <c r="AJ136" s="194">
        <f t="shared" ca="1" si="45"/>
        <v>0.57471280918727929</v>
      </c>
      <c r="AK136" s="194">
        <f t="shared" ca="1" si="45"/>
        <v>0.59254755477031806</v>
      </c>
      <c r="AL136" s="194">
        <f t="shared" ca="1" si="45"/>
        <v>0.61133167844522984</v>
      </c>
      <c r="AM136" s="194">
        <f t="shared" ca="1" si="45"/>
        <v>0.71203356890459368</v>
      </c>
      <c r="AN136" s="194">
        <f t="shared" ca="1" si="45"/>
        <v>0.83538490812720845</v>
      </c>
      <c r="AO136" s="194">
        <f t="shared" ca="1" si="45"/>
        <v>1.0556632296819839</v>
      </c>
      <c r="AP136" s="194">
        <f t="shared" ca="1" si="45"/>
        <v>1.2797164593639625</v>
      </c>
    </row>
    <row r="137" spans="1:42">
      <c r="A137" s="59" t="str">
        <f>'[4]TS BYDem'!A76</f>
        <v/>
      </c>
      <c r="B137" s="194" t="s">
        <v>288</v>
      </c>
      <c r="C137" s="194" t="s">
        <v>137</v>
      </c>
      <c r="D137" s="194" t="str">
        <f>'[4]TS BYDem'!D76</f>
        <v>ICPC</v>
      </c>
      <c r="E137" s="194" t="s">
        <v>137</v>
      </c>
      <c r="F137" s="194" t="s">
        <v>137</v>
      </c>
      <c r="G137" s="194" t="s">
        <v>137</v>
      </c>
      <c r="H137" s="194" t="s">
        <v>137</v>
      </c>
      <c r="I137" s="194">
        <v>0</v>
      </c>
      <c r="J137" s="194">
        <f>INDEX('[4]TS BYDem'!$J$10:$J$203,MATCH(D137,'[4]TS BYDem'!$D$10:$D$203,0))</f>
        <v>2.7823831597480893</v>
      </c>
      <c r="K137" s="194">
        <f ca="1">K$133/J$133*J137</f>
        <v>2.8614131680726893</v>
      </c>
      <c r="L137" s="194">
        <f t="shared" ca="1" si="46"/>
        <v>2.9114655066782689</v>
      </c>
      <c r="M137" s="201">
        <f t="shared" si="43"/>
        <v>3.1985000000000001</v>
      </c>
      <c r="N137" s="201">
        <f t="shared" si="44"/>
        <v>3.1985000000000001</v>
      </c>
      <c r="O137" s="201">
        <f>INDEX('[4]TS BYDem'!$O$10:$O$203,MATCH(D137,'[4]TS BYDem'!$D$10:$D$203,0))</f>
        <v>3.1985000000000001</v>
      </c>
      <c r="P137" s="194">
        <f t="shared" ca="1" si="46"/>
        <v>3.2261901943462901</v>
      </c>
      <c r="Q137" s="194">
        <f t="shared" ca="1" si="46"/>
        <v>3.2188438162544171</v>
      </c>
      <c r="R137" s="194">
        <f t="shared" ca="1" si="46"/>
        <v>2.9594601590106007</v>
      </c>
      <c r="S137" s="194">
        <f t="shared" ca="1" si="46"/>
        <v>3.0380098939929328</v>
      </c>
      <c r="T137" s="194">
        <f t="shared" ca="1" si="46"/>
        <v>3.1092132508833923</v>
      </c>
      <c r="U137" s="194">
        <f t="shared" ca="1" si="46"/>
        <v>3.1764608657243816</v>
      </c>
      <c r="V137" s="194">
        <f t="shared" ca="1" si="46"/>
        <v>3.2408829505300356</v>
      </c>
      <c r="W137" s="194">
        <f t="shared" ca="1" si="46"/>
        <v>3.3109560954063606</v>
      </c>
      <c r="X137" s="194">
        <f t="shared" ca="1" si="46"/>
        <v>3.400242844522968</v>
      </c>
      <c r="Y137" s="194">
        <f t="shared" ca="1" si="46"/>
        <v>3.4878342756183742</v>
      </c>
      <c r="Z137" s="194">
        <f t="shared" ca="1" si="46"/>
        <v>3.5776861307420496</v>
      </c>
      <c r="AA137" s="194">
        <f t="shared" ca="1" si="45"/>
        <v>3.6782750000000006</v>
      </c>
      <c r="AB137" s="194">
        <f t="shared" ca="1" si="45"/>
        <v>3.782254505300354</v>
      </c>
      <c r="AC137" s="194">
        <f t="shared" ca="1" si="45"/>
        <v>3.8896246466431097</v>
      </c>
      <c r="AD137" s="194">
        <f t="shared" ca="1" si="45"/>
        <v>3.9936041519434631</v>
      </c>
      <c r="AE137" s="194">
        <f t="shared" ca="1" si="45"/>
        <v>4.1077555653710247</v>
      </c>
      <c r="AF137" s="194">
        <f t="shared" ca="1" si="45"/>
        <v>4.2298184628975264</v>
      </c>
      <c r="AG137" s="194">
        <f t="shared" ca="1" si="45"/>
        <v>4.3643136925795059</v>
      </c>
      <c r="AH137" s="194">
        <f t="shared" ca="1" si="45"/>
        <v>4.5027646643109547</v>
      </c>
      <c r="AI137" s="194">
        <f t="shared" ca="1" si="45"/>
        <v>4.6451713780918729</v>
      </c>
      <c r="AJ137" s="194">
        <f t="shared" ca="1" si="45"/>
        <v>4.7892734098939931</v>
      </c>
      <c r="AK137" s="194">
        <f t="shared" ca="1" si="45"/>
        <v>4.9378962897526497</v>
      </c>
      <c r="AL137" s="194">
        <f t="shared" ca="1" si="45"/>
        <v>5.0944306537102477</v>
      </c>
      <c r="AM137" s="194">
        <f t="shared" ca="1" si="45"/>
        <v>5.9336130742049464</v>
      </c>
      <c r="AN137" s="194">
        <f t="shared" ca="1" si="45"/>
        <v>6.9615409010600695</v>
      </c>
      <c r="AO137" s="194">
        <f t="shared" ca="1" si="45"/>
        <v>8.7971935806831976</v>
      </c>
      <c r="AP137" s="194">
        <f t="shared" ca="1" si="45"/>
        <v>10.66430382803302</v>
      </c>
    </row>
    <row r="138" spans="1:42">
      <c r="A138" s="59" t="str">
        <f>'[4]TS BYDem'!A77</f>
        <v/>
      </c>
      <c r="B138" s="194" t="s">
        <v>288</v>
      </c>
      <c r="C138" s="194" t="s">
        <v>137</v>
      </c>
      <c r="D138" s="194" t="str">
        <f>'[4]TS BYDem'!D77</f>
        <v>ICPH</v>
      </c>
      <c r="E138" s="194" t="s">
        <v>137</v>
      </c>
      <c r="F138" s="194" t="s">
        <v>137</v>
      </c>
      <c r="G138" s="194" t="s">
        <v>137</v>
      </c>
      <c r="H138" s="194" t="s">
        <v>137</v>
      </c>
      <c r="I138" s="194">
        <v>0</v>
      </c>
      <c r="J138" s="194">
        <f>INDEX('[4]TS BYDem'!$J$10:$J$203,MATCH(D138,'[4]TS BYDem'!$D$10:$D$203,0))</f>
        <v>0.5008289687546561</v>
      </c>
      <c r="K138" s="194">
        <f t="shared" ref="K138:O153" ca="1" si="47">K$133/J$133*J138</f>
        <v>0.51505437025308409</v>
      </c>
      <c r="L138" s="194">
        <f t="shared" ca="1" si="46"/>
        <v>0.52406379120208846</v>
      </c>
      <c r="M138" s="201">
        <f t="shared" si="43"/>
        <v>0.57573000000000008</v>
      </c>
      <c r="N138" s="201">
        <f t="shared" si="44"/>
        <v>0.57573000000000008</v>
      </c>
      <c r="O138" s="201">
        <f>INDEX('[4]TS BYDem'!$O$10:$O$203,MATCH(D138,'[4]TS BYDem'!$D$10:$D$203,0))</f>
        <v>0.57573000000000008</v>
      </c>
      <c r="P138" s="194">
        <f t="shared" ca="1" si="46"/>
        <v>0.58071423498233221</v>
      </c>
      <c r="Q138" s="194">
        <f t="shared" ca="1" si="46"/>
        <v>0.57939188692579513</v>
      </c>
      <c r="R138" s="194">
        <f t="shared" ca="1" si="46"/>
        <v>0.5327028286219081</v>
      </c>
      <c r="S138" s="194">
        <f t="shared" ca="1" si="46"/>
        <v>0.54684178091872793</v>
      </c>
      <c r="T138" s="194">
        <f t="shared" ca="1" si="46"/>
        <v>0.55965838515901056</v>
      </c>
      <c r="U138" s="194">
        <f t="shared" ca="1" si="46"/>
        <v>0.57176295583038861</v>
      </c>
      <c r="V138" s="194">
        <f t="shared" ca="1" si="46"/>
        <v>0.58335893109540626</v>
      </c>
      <c r="W138" s="194">
        <f t="shared" ca="1" si="46"/>
        <v>0.59597209717314481</v>
      </c>
      <c r="X138" s="194">
        <f t="shared" ca="1" si="46"/>
        <v>0.61204371201413421</v>
      </c>
      <c r="Y138" s="194">
        <f t="shared" ca="1" si="46"/>
        <v>0.62781016961130731</v>
      </c>
      <c r="Z138" s="194">
        <f t="shared" ca="1" si="46"/>
        <v>0.64398350353356892</v>
      </c>
      <c r="AA138" s="194">
        <f t="shared" ca="1" si="45"/>
        <v>0.66208950000000011</v>
      </c>
      <c r="AB138" s="194">
        <f t="shared" ca="1" si="45"/>
        <v>0.68080581095406367</v>
      </c>
      <c r="AC138" s="194">
        <f t="shared" ca="1" si="45"/>
        <v>0.70013243639575973</v>
      </c>
      <c r="AD138" s="194">
        <f t="shared" ca="1" si="45"/>
        <v>0.71884874734982329</v>
      </c>
      <c r="AE138" s="194">
        <f t="shared" ca="1" si="45"/>
        <v>0.73939600176678444</v>
      </c>
      <c r="AF138" s="194">
        <f t="shared" ca="1" si="45"/>
        <v>0.76136732332155466</v>
      </c>
      <c r="AG138" s="194">
        <f t="shared" ca="1" si="45"/>
        <v>0.78557646466431097</v>
      </c>
      <c r="AH138" s="194">
        <f t="shared" ca="1" si="45"/>
        <v>0.81049763957597176</v>
      </c>
      <c r="AI138" s="194">
        <f t="shared" ca="1" si="45"/>
        <v>0.83613084805653715</v>
      </c>
      <c r="AJ138" s="194">
        <f t="shared" ca="1" si="45"/>
        <v>0.86206921378091883</v>
      </c>
      <c r="AK138" s="194">
        <f t="shared" ca="1" si="45"/>
        <v>0.8888213321554771</v>
      </c>
      <c r="AL138" s="194">
        <f t="shared" ca="1" si="45"/>
        <v>0.91699751766784465</v>
      </c>
      <c r="AM138" s="194">
        <f t="shared" ca="1" si="45"/>
        <v>1.0680503533568906</v>
      </c>
      <c r="AN138" s="194">
        <f t="shared" ca="1" si="45"/>
        <v>1.2530773621908129</v>
      </c>
      <c r="AO138" s="194">
        <f t="shared" ca="1" si="45"/>
        <v>1.583494844522976</v>
      </c>
      <c r="AP138" s="194">
        <f t="shared" ca="1" si="45"/>
        <v>1.919574689045944</v>
      </c>
    </row>
    <row r="139" spans="1:42">
      <c r="A139" s="59" t="str">
        <f>'[4]TS BYDem'!A78</f>
        <v/>
      </c>
      <c r="B139" s="194" t="s">
        <v>288</v>
      </c>
      <c r="C139" s="194" t="s">
        <v>137</v>
      </c>
      <c r="D139" s="194" t="str">
        <f>'[4]TS BYDem'!D78</f>
        <v>ICPP</v>
      </c>
      <c r="E139" s="194" t="s">
        <v>137</v>
      </c>
      <c r="F139" s="194" t="s">
        <v>137</v>
      </c>
      <c r="G139" s="194" t="s">
        <v>137</v>
      </c>
      <c r="H139" s="194" t="s">
        <v>137</v>
      </c>
      <c r="I139" s="194">
        <v>0</v>
      </c>
      <c r="J139" s="194">
        <f>INDEX('[4]TS BYDem'!$J$10:$J$203,MATCH(D139,'[4]TS BYDem'!$D$10:$D$203,0))</f>
        <v>7.7906728472946494</v>
      </c>
      <c r="K139" s="194">
        <f t="shared" ca="1" si="47"/>
        <v>8.0119568706035302</v>
      </c>
      <c r="L139" s="194">
        <f t="shared" ca="1" si="46"/>
        <v>8.1521034186991539</v>
      </c>
      <c r="M139" s="201">
        <f t="shared" si="43"/>
        <v>8.9558</v>
      </c>
      <c r="N139" s="201">
        <f t="shared" si="44"/>
        <v>8.9558</v>
      </c>
      <c r="O139" s="201">
        <f>INDEX('[4]TS BYDem'!$O$10:$O$203,MATCH(D139,'[4]TS BYDem'!$D$10:$D$203,0))</f>
        <v>8.9558</v>
      </c>
      <c r="P139" s="194">
        <f t="shared" ca="1" si="46"/>
        <v>9.0333325441696122</v>
      </c>
      <c r="Q139" s="194">
        <f t="shared" ca="1" si="46"/>
        <v>9.012762685512369</v>
      </c>
      <c r="R139" s="194">
        <f t="shared" ca="1" si="46"/>
        <v>8.2864884452296828</v>
      </c>
      <c r="S139" s="194">
        <f t="shared" ca="1" si="46"/>
        <v>8.5064277031802131</v>
      </c>
      <c r="T139" s="194">
        <f t="shared" ca="1" si="46"/>
        <v>8.7057971024734986</v>
      </c>
      <c r="U139" s="194">
        <f t="shared" ca="1" si="46"/>
        <v>8.8940904240282688</v>
      </c>
      <c r="V139" s="194">
        <f t="shared" ca="1" si="46"/>
        <v>9.0744722614841002</v>
      </c>
      <c r="W139" s="194">
        <f t="shared" ca="1" si="46"/>
        <v>9.2706770671378109</v>
      </c>
      <c r="X139" s="194">
        <f t="shared" ca="1" si="46"/>
        <v>9.5206799646643123</v>
      </c>
      <c r="Y139" s="194">
        <f t="shared" ca="1" si="46"/>
        <v>9.7659359717314498</v>
      </c>
      <c r="Z139" s="194">
        <f t="shared" ca="1" si="46"/>
        <v>10.01752116607774</v>
      </c>
      <c r="AA139" s="194">
        <f t="shared" ca="1" si="45"/>
        <v>10.299170000000004</v>
      </c>
      <c r="AB139" s="194">
        <f t="shared" ca="1" si="45"/>
        <v>10.590312614840993</v>
      </c>
      <c r="AC139" s="194">
        <f t="shared" ca="1" si="45"/>
        <v>10.890949010600709</v>
      </c>
      <c r="AD139" s="194">
        <f t="shared" ca="1" si="45"/>
        <v>11.182091625441698</v>
      </c>
      <c r="AE139" s="194">
        <f t="shared" ca="1" si="45"/>
        <v>11.501715583038871</v>
      </c>
      <c r="AF139" s="194">
        <f t="shared" ca="1" si="45"/>
        <v>11.843491696113075</v>
      </c>
      <c r="AG139" s="194">
        <f t="shared" ca="1" si="45"/>
        <v>12.220078339222619</v>
      </c>
      <c r="AH139" s="194">
        <f t="shared" ca="1" si="45"/>
        <v>12.607741060070676</v>
      </c>
      <c r="AI139" s="194">
        <f t="shared" ca="1" si="45"/>
        <v>13.006479858657249</v>
      </c>
      <c r="AJ139" s="194">
        <f t="shared" ca="1" si="45"/>
        <v>13.409965547703186</v>
      </c>
      <c r="AK139" s="194">
        <f t="shared" ca="1" si="45"/>
        <v>13.826109611307425</v>
      </c>
      <c r="AL139" s="194">
        <f t="shared" ca="1" si="45"/>
        <v>14.264405830388698</v>
      </c>
      <c r="AM139" s="194">
        <f t="shared" ca="1" si="45"/>
        <v>16.614116607773855</v>
      </c>
      <c r="AN139" s="194">
        <f t="shared" ca="1" si="45"/>
        <v>19.492314522968201</v>
      </c>
      <c r="AO139" s="194">
        <f t="shared" ca="1" si="45"/>
        <v>24.632142025912959</v>
      </c>
      <c r="AP139" s="194">
        <f t="shared" ca="1" si="45"/>
        <v>29.86005071849246</v>
      </c>
    </row>
    <row r="140" spans="1:42">
      <c r="A140" s="59" t="str">
        <f>'[4]TS BYDem'!A79</f>
        <v/>
      </c>
      <c r="B140" s="194" t="s">
        <v>288</v>
      </c>
      <c r="C140" s="194" t="s">
        <v>137</v>
      </c>
      <c r="D140" s="194" t="str">
        <f>'[4]TS BYDem'!D79</f>
        <v>ICPF</v>
      </c>
      <c r="E140" s="194" t="s">
        <v>137</v>
      </c>
      <c r="F140" s="194" t="s">
        <v>137</v>
      </c>
      <c r="G140" s="194" t="s">
        <v>137</v>
      </c>
      <c r="H140" s="194" t="s">
        <v>137</v>
      </c>
      <c r="I140" s="194">
        <v>0</v>
      </c>
      <c r="J140" s="194">
        <f>INDEX('[4]TS BYDem'!$J$10:$J$203,MATCH(D140,'[4]TS BYDem'!$D$10:$D$203,0))</f>
        <v>1.7807252222387775</v>
      </c>
      <c r="K140" s="194">
        <f t="shared" ca="1" si="47"/>
        <v>1.8313044275665216</v>
      </c>
      <c r="L140" s="194">
        <f t="shared" ca="1" si="46"/>
        <v>1.8633379242740926</v>
      </c>
      <c r="M140" s="201">
        <f t="shared" si="43"/>
        <v>2.0470400000000004</v>
      </c>
      <c r="N140" s="201">
        <f t="shared" si="44"/>
        <v>2.0470400000000004</v>
      </c>
      <c r="O140" s="201">
        <f>INDEX('[4]TS BYDem'!$O$10:$O$203,MATCH(D140,'[4]TS BYDem'!$D$10:$D$203,0))</f>
        <v>2.0470400000000004</v>
      </c>
      <c r="P140" s="194">
        <f t="shared" ca="1" si="46"/>
        <v>2.0647617243816261</v>
      </c>
      <c r="Q140" s="194">
        <f t="shared" ca="1" si="46"/>
        <v>2.0600600424028275</v>
      </c>
      <c r="R140" s="194">
        <f t="shared" ca="1" si="46"/>
        <v>1.8940545017667849</v>
      </c>
      <c r="S140" s="194">
        <f t="shared" ca="1" si="46"/>
        <v>1.9443263321554776</v>
      </c>
      <c r="T140" s="194">
        <f t="shared" ca="1" si="46"/>
        <v>1.9898964805653716</v>
      </c>
      <c r="U140" s="194">
        <f t="shared" ca="1" si="46"/>
        <v>2.0329349540636046</v>
      </c>
      <c r="V140" s="194">
        <f t="shared" ca="1" si="46"/>
        <v>2.0741650883392229</v>
      </c>
      <c r="W140" s="194">
        <f t="shared" ca="1" si="46"/>
        <v>2.119011901060071</v>
      </c>
      <c r="X140" s="194">
        <f t="shared" ca="1" si="46"/>
        <v>2.1761554204946996</v>
      </c>
      <c r="Y140" s="194">
        <f t="shared" ca="1" si="46"/>
        <v>2.2322139363957594</v>
      </c>
      <c r="Z140" s="194">
        <f t="shared" ca="1" si="46"/>
        <v>2.2897191236749115</v>
      </c>
      <c r="AA140" s="194">
        <f t="shared" ca="1" si="45"/>
        <v>2.3540960000000002</v>
      </c>
      <c r="AB140" s="194">
        <f t="shared" ca="1" si="45"/>
        <v>2.4206428833922264</v>
      </c>
      <c r="AC140" s="194">
        <f t="shared" ca="1" si="45"/>
        <v>2.4893597738515902</v>
      </c>
      <c r="AD140" s="194">
        <f t="shared" ca="1" si="45"/>
        <v>2.5559066572438165</v>
      </c>
      <c r="AE140" s="194">
        <f t="shared" ca="1" si="45"/>
        <v>2.6289635618374563</v>
      </c>
      <c r="AF140" s="194">
        <f t="shared" ca="1" si="45"/>
        <v>2.7070838162544173</v>
      </c>
      <c r="AG140" s="194">
        <f t="shared" ca="1" si="45"/>
        <v>2.7931607632508846</v>
      </c>
      <c r="AH140" s="194">
        <f t="shared" ca="1" si="45"/>
        <v>2.881769385159012</v>
      </c>
      <c r="AI140" s="194">
        <f t="shared" ca="1" si="45"/>
        <v>2.9729096819788001</v>
      </c>
      <c r="AJ140" s="194">
        <f t="shared" ca="1" si="45"/>
        <v>3.065134982332157</v>
      </c>
      <c r="AK140" s="194">
        <f t="shared" ca="1" si="45"/>
        <v>3.1602536254416975</v>
      </c>
      <c r="AL140" s="194">
        <f t="shared" ca="1" si="45"/>
        <v>3.2604356183745602</v>
      </c>
      <c r="AM140" s="194">
        <f t="shared" ca="1" si="45"/>
        <v>3.7975123674911679</v>
      </c>
      <c r="AN140" s="194">
        <f t="shared" ca="1" si="45"/>
        <v>4.4553861766784468</v>
      </c>
      <c r="AO140" s="194">
        <f t="shared" ca="1" si="45"/>
        <v>5.6302038916372492</v>
      </c>
      <c r="AP140" s="194">
        <f t="shared" ca="1" si="45"/>
        <v>6.8251544499411354</v>
      </c>
    </row>
    <row r="141" spans="1:42">
      <c r="A141" s="59" t="str">
        <f>'[4]TS BYDem'!A80</f>
        <v/>
      </c>
      <c r="B141" s="194" t="s">
        <v>288</v>
      </c>
      <c r="C141" s="194" t="s">
        <v>137</v>
      </c>
      <c r="D141" s="194" t="str">
        <f>'[4]TS BYDem'!D80</f>
        <v>ICPO</v>
      </c>
      <c r="E141" s="194" t="s">
        <v>137</v>
      </c>
      <c r="F141" s="194" t="s">
        <v>137</v>
      </c>
      <c r="G141" s="194" t="s">
        <v>137</v>
      </c>
      <c r="H141" s="194" t="s">
        <v>137</v>
      </c>
      <c r="I141" s="194">
        <v>0</v>
      </c>
      <c r="J141" s="194">
        <f>INDEX('[4]TS BYDem'!$J$10:$J$203,MATCH(D141,'[4]TS BYDem'!$D$10:$D$203,0))</f>
        <v>4.4518130555969435</v>
      </c>
      <c r="K141" s="194">
        <f t="shared" ca="1" si="47"/>
        <v>4.5782610689163041</v>
      </c>
      <c r="L141" s="194">
        <f t="shared" ca="1" si="46"/>
        <v>4.6583448106852314</v>
      </c>
      <c r="M141" s="201">
        <f t="shared" si="43"/>
        <v>5.1176000000000004</v>
      </c>
      <c r="N141" s="201">
        <f t="shared" si="44"/>
        <v>5.1176000000000004</v>
      </c>
      <c r="O141" s="201">
        <f>INDEX('[4]TS BYDem'!$O$10:$O$203,MATCH(D141,'[4]TS BYDem'!$D$10:$D$203,0))</f>
        <v>5.1176000000000004</v>
      </c>
      <c r="P141" s="194">
        <f t="shared" ca="1" si="46"/>
        <v>5.1619043109540641</v>
      </c>
      <c r="Q141" s="194">
        <f t="shared" ca="1" si="46"/>
        <v>5.150150106007068</v>
      </c>
      <c r="R141" s="194">
        <f t="shared" ca="1" si="46"/>
        <v>4.735136254416962</v>
      </c>
      <c r="S141" s="194">
        <f t="shared" ca="1" si="46"/>
        <v>4.8608158303886935</v>
      </c>
      <c r="T141" s="194">
        <f t="shared" ca="1" si="46"/>
        <v>4.9747412014134289</v>
      </c>
      <c r="U141" s="194">
        <f t="shared" ca="1" si="46"/>
        <v>5.0823373851590121</v>
      </c>
      <c r="V141" s="194">
        <f t="shared" ca="1" si="46"/>
        <v>5.185412720848058</v>
      </c>
      <c r="W141" s="194">
        <f t="shared" ca="1" si="46"/>
        <v>5.2975297526501786</v>
      </c>
      <c r="X141" s="194">
        <f t="shared" ca="1" si="46"/>
        <v>5.4403885512367509</v>
      </c>
      <c r="Y141" s="194">
        <f t="shared" ca="1" si="46"/>
        <v>5.5805348409894009</v>
      </c>
      <c r="Z141" s="194">
        <f t="shared" ca="1" si="46"/>
        <v>5.7242978091872816</v>
      </c>
      <c r="AA141" s="194">
        <f t="shared" ca="1" si="45"/>
        <v>5.8852400000000031</v>
      </c>
      <c r="AB141" s="194">
        <f t="shared" ca="1" si="45"/>
        <v>6.0516072084805685</v>
      </c>
      <c r="AC141" s="194">
        <f t="shared" ca="1" si="45"/>
        <v>6.2233994346289778</v>
      </c>
      <c r="AD141" s="194">
        <f t="shared" ca="1" si="45"/>
        <v>6.3897666431095432</v>
      </c>
      <c r="AE141" s="194">
        <f t="shared" ca="1" si="45"/>
        <v>6.572408904593642</v>
      </c>
      <c r="AF141" s="194">
        <f t="shared" ca="1" si="45"/>
        <v>6.7677095406360444</v>
      </c>
      <c r="AG141" s="194">
        <f t="shared" ca="1" si="45"/>
        <v>6.9829019081272117</v>
      </c>
      <c r="AH141" s="194">
        <f t="shared" ca="1" si="45"/>
        <v>7.2044234628975303</v>
      </c>
      <c r="AI141" s="194">
        <f t="shared" ca="1" si="45"/>
        <v>7.4322742049470003</v>
      </c>
      <c r="AJ141" s="194">
        <f t="shared" ca="1" si="45"/>
        <v>7.6628374558303927</v>
      </c>
      <c r="AK141" s="194">
        <f t="shared" ca="1" si="45"/>
        <v>7.9006340636042438</v>
      </c>
      <c r="AL141" s="194">
        <f t="shared" ca="1" si="45"/>
        <v>8.1510890459364003</v>
      </c>
      <c r="AM141" s="194">
        <f t="shared" ca="1" si="45"/>
        <v>9.4937809187279196</v>
      </c>
      <c r="AN141" s="194">
        <f t="shared" ca="1" si="45"/>
        <v>11.138465441696118</v>
      </c>
      <c r="AO141" s="194">
        <f t="shared" ca="1" si="45"/>
        <v>14.075509729093124</v>
      </c>
      <c r="AP141" s="194">
        <f t="shared" ca="1" si="45"/>
        <v>17.062886124852842</v>
      </c>
    </row>
    <row r="142" spans="1:42">
      <c r="A142" s="59" t="str">
        <f>'[4]TS BYDem'!A81</f>
        <v/>
      </c>
      <c r="B142" s="194" t="s">
        <v>288</v>
      </c>
      <c r="C142" s="194" t="s">
        <v>137</v>
      </c>
      <c r="D142" s="194" t="str">
        <f>'[4]TS BYDem'!D81</f>
        <v>ICPE</v>
      </c>
      <c r="E142" s="194" t="s">
        <v>137</v>
      </c>
      <c r="F142" s="194" t="s">
        <v>137</v>
      </c>
      <c r="G142" s="194" t="s">
        <v>137</v>
      </c>
      <c r="H142" s="194" t="s">
        <v>137</v>
      </c>
      <c r="I142" s="194">
        <v>0</v>
      </c>
      <c r="J142" s="194">
        <f>INDEX('[4]TS BYDem'!$J$10:$J$203,MATCH(D142,'[4]TS BYDem'!$D$10:$D$203,0))</f>
        <v>1.6916889611268384</v>
      </c>
      <c r="K142" s="194">
        <f t="shared" ca="1" si="47"/>
        <v>1.7397392061881953</v>
      </c>
      <c r="L142" s="194">
        <f t="shared" ca="1" si="46"/>
        <v>1.7701710280603877</v>
      </c>
      <c r="M142" s="201">
        <f t="shared" si="43"/>
        <v>1.9446880000000002</v>
      </c>
      <c r="N142" s="201">
        <f t="shared" si="44"/>
        <v>1.9446880000000002</v>
      </c>
      <c r="O142" s="201">
        <f>INDEX('[4]TS BYDem'!$O$10:$O$203,MATCH(D142,'[4]TS BYDem'!$D$10:$D$203,0))</f>
        <v>1.9446880000000002</v>
      </c>
      <c r="P142" s="194">
        <f t="shared" ca="1" si="46"/>
        <v>1.9615236381625445</v>
      </c>
      <c r="Q142" s="194">
        <f t="shared" ca="1" si="46"/>
        <v>1.9570570402826859</v>
      </c>
      <c r="R142" s="194">
        <f t="shared" ca="1" si="46"/>
        <v>1.7993517766784455</v>
      </c>
      <c r="S142" s="194">
        <f t="shared" ca="1" si="46"/>
        <v>1.8471100155477034</v>
      </c>
      <c r="T142" s="194">
        <f t="shared" ca="1" si="46"/>
        <v>1.8904016565371027</v>
      </c>
      <c r="U142" s="194">
        <f t="shared" ca="1" si="46"/>
        <v>1.9312882063604242</v>
      </c>
      <c r="V142" s="194">
        <f t="shared" ca="1" si="46"/>
        <v>1.9704568339222617</v>
      </c>
      <c r="W142" s="194">
        <f t="shared" ca="1" si="46"/>
        <v>2.0130613060070672</v>
      </c>
      <c r="X142" s="194">
        <f t="shared" ca="1" si="46"/>
        <v>2.0673476494699647</v>
      </c>
      <c r="Y142" s="194">
        <f t="shared" ca="1" si="46"/>
        <v>2.120603239575972</v>
      </c>
      <c r="Z142" s="194">
        <f t="shared" ca="1" si="46"/>
        <v>2.1752331674911667</v>
      </c>
      <c r="AA142" s="194">
        <f t="shared" ca="1" si="45"/>
        <v>2.2363912000000008</v>
      </c>
      <c r="AB142" s="194">
        <f t="shared" ca="1" si="45"/>
        <v>2.2996107392226155</v>
      </c>
      <c r="AC142" s="194">
        <f t="shared" ca="1" si="45"/>
        <v>2.3648917851590108</v>
      </c>
      <c r="AD142" s="194">
        <f t="shared" ca="1" si="45"/>
        <v>2.4281113243816255</v>
      </c>
      <c r="AE142" s="194">
        <f t="shared" ca="1" si="45"/>
        <v>2.4975153837455832</v>
      </c>
      <c r="AF142" s="194">
        <f t="shared" ca="1" si="45"/>
        <v>2.5717296254416961</v>
      </c>
      <c r="AG142" s="194">
        <f t="shared" ca="1" si="45"/>
        <v>2.6535027250883401</v>
      </c>
      <c r="AH142" s="194">
        <f t="shared" ca="1" si="45"/>
        <v>2.7376809159010613</v>
      </c>
      <c r="AI142" s="194">
        <f t="shared" ca="1" si="45"/>
        <v>2.8242641978798599</v>
      </c>
      <c r="AJ142" s="194">
        <f t="shared" ca="1" si="45"/>
        <v>2.9118782332155493</v>
      </c>
      <c r="AK142" s="194">
        <f t="shared" ca="1" si="45"/>
        <v>3.0022409441696127</v>
      </c>
      <c r="AL142" s="194">
        <f t="shared" ca="1" si="45"/>
        <v>3.0974138374558322</v>
      </c>
      <c r="AM142" s="194">
        <f t="shared" ca="1" si="45"/>
        <v>3.6076367491166095</v>
      </c>
      <c r="AN142" s="194">
        <f t="shared" ca="1" si="45"/>
        <v>4.2326168678445244</v>
      </c>
      <c r="AO142" s="194">
        <f t="shared" ca="1" si="45"/>
        <v>5.3486936970553867</v>
      </c>
      <c r="AP142" s="194">
        <f t="shared" ca="1" si="45"/>
        <v>6.4838967274440789</v>
      </c>
    </row>
    <row r="143" spans="1:42">
      <c r="A143" s="59" t="str">
        <f>'[4]TS BYDem'!A82</f>
        <v>*</v>
      </c>
      <c r="B143" s="194" t="s">
        <v>288</v>
      </c>
      <c r="C143" s="194" t="s">
        <v>137</v>
      </c>
      <c r="D143" s="194" t="str">
        <f>'[4]TS BYDem'!D82</f>
        <v xml:space="preserve"> </v>
      </c>
      <c r="E143" s="194" t="s">
        <v>137</v>
      </c>
      <c r="F143" s="194" t="s">
        <v>137</v>
      </c>
      <c r="G143" s="194" t="s">
        <v>137</v>
      </c>
      <c r="H143" s="194" t="s">
        <v>137</v>
      </c>
      <c r="I143" s="194">
        <v>0</v>
      </c>
      <c r="J143" s="194" t="str">
        <f>INDEX('[4]TS BYDem'!$J$10:$J$203,MATCH(D143,'[4]TS BYDem'!$D$10:$D$203,0))</f>
        <v/>
      </c>
      <c r="K143" s="194" t="e">
        <f t="shared" ca="1" si="47"/>
        <v>#VALUE!</v>
      </c>
      <c r="L143" s="194" t="e">
        <f t="shared" ca="1" si="46"/>
        <v>#VALUE!</v>
      </c>
      <c r="M143" s="194" t="e">
        <f t="shared" ca="1" si="46"/>
        <v>#VALUE!</v>
      </c>
      <c r="N143" s="194" t="e">
        <f t="shared" ca="1" si="46"/>
        <v>#VALUE!</v>
      </c>
      <c r="O143" s="194" t="e">
        <f t="shared" ca="1" si="46"/>
        <v>#VALUE!</v>
      </c>
      <c r="P143" s="194" t="e">
        <f t="shared" ca="1" si="46"/>
        <v>#VALUE!</v>
      </c>
      <c r="Q143" s="194" t="e">
        <f t="shared" ca="1" si="46"/>
        <v>#VALUE!</v>
      </c>
      <c r="R143" s="194" t="e">
        <f t="shared" ca="1" si="46"/>
        <v>#VALUE!</v>
      </c>
      <c r="S143" s="194" t="e">
        <f t="shared" ca="1" si="46"/>
        <v>#VALUE!</v>
      </c>
      <c r="T143" s="194" t="e">
        <f t="shared" ca="1" si="46"/>
        <v>#VALUE!</v>
      </c>
      <c r="U143" s="194" t="e">
        <f t="shared" ca="1" si="46"/>
        <v>#VALUE!</v>
      </c>
      <c r="V143" s="194" t="e">
        <f t="shared" ca="1" si="46"/>
        <v>#VALUE!</v>
      </c>
      <c r="W143" s="194" t="e">
        <f t="shared" ca="1" si="46"/>
        <v>#VALUE!</v>
      </c>
      <c r="X143" s="194" t="e">
        <f t="shared" ca="1" si="46"/>
        <v>#VALUE!</v>
      </c>
      <c r="Y143" s="194" t="e">
        <f t="shared" ca="1" si="46"/>
        <v>#VALUE!</v>
      </c>
      <c r="Z143" s="194" t="e">
        <f t="shared" ca="1" si="46"/>
        <v>#VALUE!</v>
      </c>
      <c r="AA143" s="194" t="e">
        <f t="shared" ca="1" si="45"/>
        <v>#VALUE!</v>
      </c>
      <c r="AB143" s="194" t="e">
        <f t="shared" ca="1" si="45"/>
        <v>#VALUE!</v>
      </c>
      <c r="AC143" s="194" t="e">
        <f t="shared" ca="1" si="45"/>
        <v>#VALUE!</v>
      </c>
      <c r="AD143" s="194" t="e">
        <f t="shared" ca="1" si="45"/>
        <v>#VALUE!</v>
      </c>
      <c r="AE143" s="194" t="e">
        <f t="shared" ca="1" si="45"/>
        <v>#VALUE!</v>
      </c>
      <c r="AF143" s="194" t="e">
        <f t="shared" ca="1" si="45"/>
        <v>#VALUE!</v>
      </c>
      <c r="AG143" s="194" t="e">
        <f t="shared" ca="1" si="45"/>
        <v>#VALUE!</v>
      </c>
      <c r="AH143" s="194" t="e">
        <f t="shared" ca="1" si="45"/>
        <v>#VALUE!</v>
      </c>
      <c r="AI143" s="194" t="e">
        <f t="shared" ca="1" si="45"/>
        <v>#VALUE!</v>
      </c>
      <c r="AJ143" s="194" t="e">
        <f t="shared" ca="1" si="45"/>
        <v>#VALUE!</v>
      </c>
      <c r="AK143" s="194" t="e">
        <f t="shared" ca="1" si="45"/>
        <v>#VALUE!</v>
      </c>
      <c r="AL143" s="194" t="e">
        <f t="shared" ca="1" si="45"/>
        <v>#VALUE!</v>
      </c>
      <c r="AM143" s="194" t="e">
        <f t="shared" ca="1" si="45"/>
        <v>#VALUE!</v>
      </c>
      <c r="AN143" s="194" t="e">
        <f t="shared" ca="1" si="45"/>
        <v>#VALUE!</v>
      </c>
      <c r="AO143" s="194" t="e">
        <f t="shared" ca="1" si="45"/>
        <v>#VALUE!</v>
      </c>
      <c r="AP143" s="194" t="e">
        <f t="shared" ca="1" si="45"/>
        <v>#VALUE!</v>
      </c>
    </row>
    <row r="144" spans="1:42">
      <c r="A144" s="59" t="str">
        <f>'[4]TS BYDem'!A83</f>
        <v/>
      </c>
      <c r="B144" s="194" t="s">
        <v>288</v>
      </c>
      <c r="C144" s="194" t="s">
        <v>137</v>
      </c>
      <c r="D144" s="194" t="str">
        <f>'[4]TS BYDem'!D83</f>
        <v>ICPS</v>
      </c>
      <c r="E144" s="194" t="s">
        <v>137</v>
      </c>
      <c r="F144" s="194" t="s">
        <v>137</v>
      </c>
      <c r="G144" s="194" t="s">
        <v>137</v>
      </c>
      <c r="H144" s="194" t="s">
        <v>137</v>
      </c>
      <c r="I144" s="194">
        <v>0</v>
      </c>
      <c r="J144" s="194">
        <f>INDEX('[4]TS BYDem'!$J$10:$J$203,MATCH(D144,'[4]TS BYDem'!$D$10:$D$203,0))</f>
        <v>27.288197120140854</v>
      </c>
      <c r="K144" s="194">
        <f t="shared" ca="1" si="47"/>
        <v>28.063283196266802</v>
      </c>
      <c r="L144" s="194">
        <f t="shared" ca="1" si="46"/>
        <v>28.554171044479897</v>
      </c>
      <c r="M144" s="201">
        <f t="shared" ref="M144" si="48">O144</f>
        <v>20.990606000000003</v>
      </c>
      <c r="N144" s="201">
        <f t="shared" ref="N144" si="49">O144</f>
        <v>20.990606000000003</v>
      </c>
      <c r="O144" s="201">
        <f>INDEX('[4]TS BYDem'!$O$10:$O$203,MATCH(D144,'[4]TS BYDem'!$D$10:$D$203,0))</f>
        <v>20.990606000000003</v>
      </c>
      <c r="P144" s="194">
        <f t="shared" ca="1" si="46"/>
        <v>21.172326793992937</v>
      </c>
      <c r="Q144" s="194">
        <f t="shared" ca="1" si="46"/>
        <v>21.124115154770323</v>
      </c>
      <c r="R144" s="194">
        <f t="shared" ca="1" si="46"/>
        <v>19.421873431448766</v>
      </c>
      <c r="S144" s="194">
        <f t="shared" ca="1" si="46"/>
        <v>19.937367112367493</v>
      </c>
      <c r="T144" s="194">
        <f t="shared" ca="1" si="46"/>
        <v>20.404649154063605</v>
      </c>
      <c r="U144" s="194">
        <f t="shared" ca="1" si="46"/>
        <v>20.845971082332156</v>
      </c>
      <c r="V144" s="194">
        <f t="shared" ca="1" si="46"/>
        <v>21.268750072438163</v>
      </c>
      <c r="W144" s="194">
        <f t="shared" ca="1" si="46"/>
        <v>21.72861493886926</v>
      </c>
      <c r="X144" s="194">
        <f t="shared" ca="1" si="46"/>
        <v>22.314571784805654</v>
      </c>
      <c r="Y144" s="194">
        <f t="shared" ca="1" si="46"/>
        <v>22.889402867844524</v>
      </c>
      <c r="Z144" s="194">
        <f t="shared" ca="1" si="46"/>
        <v>23.479068301413431</v>
      </c>
      <c r="AA144" s="194">
        <f t="shared" ca="1" si="45"/>
        <v>24.139196900000005</v>
      </c>
      <c r="AB144" s="194">
        <f t="shared" ca="1" si="45"/>
        <v>24.821577024381629</v>
      </c>
      <c r="AC144" s="194">
        <f t="shared" ca="1" si="45"/>
        <v>25.526208674558305</v>
      </c>
      <c r="AD144" s="194">
        <f t="shared" ca="1" si="45"/>
        <v>26.208588798939932</v>
      </c>
      <c r="AE144" s="194">
        <f t="shared" ca="1" si="45"/>
        <v>26.957723500706717</v>
      </c>
      <c r="AF144" s="194">
        <f t="shared" ca="1" si="45"/>
        <v>27.758778429328622</v>
      </c>
      <c r="AG144" s="194">
        <f t="shared" ca="1" si="45"/>
        <v>28.64142228586573</v>
      </c>
      <c r="AH144" s="194">
        <f t="shared" ca="1" si="45"/>
        <v>29.550026255830396</v>
      </c>
      <c r="AI144" s="194">
        <f t="shared" ca="1" si="45"/>
        <v>30.484590339222621</v>
      </c>
      <c r="AJ144" s="194">
        <f t="shared" ca="1" si="45"/>
        <v>31.430280185512373</v>
      </c>
      <c r="AK144" s="194">
        <f t="shared" ca="1" si="45"/>
        <v>32.405638732862194</v>
      </c>
      <c r="AL144" s="194">
        <f t="shared" ca="1" si="45"/>
        <v>33.432917507067145</v>
      </c>
      <c r="AM144" s="194">
        <f t="shared" ca="1" si="45"/>
        <v>38.940170141342762</v>
      </c>
      <c r="AN144" s="194">
        <f t="shared" ca="1" si="45"/>
        <v>45.686091044876328</v>
      </c>
      <c r="AO144" s="194">
        <f t="shared" ca="1" si="45"/>
        <v>57.732819871142802</v>
      </c>
      <c r="AP144" s="194">
        <f t="shared" ca="1" si="45"/>
        <v>69.985993408951984</v>
      </c>
    </row>
    <row r="145" spans="1:42">
      <c r="A145" s="59" t="str">
        <f>'[4]TS BYDem'!A84</f>
        <v>*</v>
      </c>
      <c r="B145" s="194" t="s">
        <v>288</v>
      </c>
      <c r="C145" s="194" t="s">
        <v>137</v>
      </c>
      <c r="D145" s="194" t="str">
        <f>'[4]TS BYDem'!D84</f>
        <v>ICPS</v>
      </c>
      <c r="E145" s="194" t="s">
        <v>137</v>
      </c>
      <c r="F145" s="194" t="s">
        <v>137</v>
      </c>
      <c r="G145" s="194" t="s">
        <v>137</v>
      </c>
      <c r="H145" s="194" t="s">
        <v>137</v>
      </c>
      <c r="I145" s="194">
        <v>0</v>
      </c>
      <c r="J145" s="194">
        <f>INDEX('[4]TS BYDem'!$J$10:$J$203,MATCH(D145,'[4]TS BYDem'!$D$10:$D$203,0))</f>
        <v>27.288197120140854</v>
      </c>
      <c r="K145" s="194">
        <f t="shared" ca="1" si="47"/>
        <v>28.063283196266802</v>
      </c>
      <c r="L145" s="194">
        <f t="shared" ca="1" si="46"/>
        <v>28.554171044479897</v>
      </c>
      <c r="M145" s="194">
        <f t="shared" ca="1" si="46"/>
        <v>28.797031348332695</v>
      </c>
      <c r="N145" s="194">
        <f t="shared" ca="1" si="46"/>
        <v>29.091564057260552</v>
      </c>
      <c r="O145" s="194">
        <f t="shared" ca="1" si="46"/>
        <v>29.246581272485745</v>
      </c>
      <c r="P145" s="194">
        <f t="shared" ca="1" si="46"/>
        <v>29.499776057353554</v>
      </c>
      <c r="Q145" s="194">
        <f t="shared" ca="1" si="46"/>
        <v>29.432601930755972</v>
      </c>
      <c r="R145" s="194">
        <f t="shared" ca="1" si="46"/>
        <v>27.060838537810572</v>
      </c>
      <c r="S145" s="194">
        <f t="shared" ca="1" si="46"/>
        <v>27.779084968353949</v>
      </c>
      <c r="T145" s="194">
        <f t="shared" ca="1" si="46"/>
        <v>28.430157272299745</v>
      </c>
      <c r="U145" s="194">
        <f t="shared" ca="1" si="46"/>
        <v>29.045058892692996</v>
      </c>
      <c r="V145" s="194">
        <f t="shared" ca="1" si="46"/>
        <v>29.634124310548717</v>
      </c>
      <c r="W145" s="194">
        <f t="shared" ca="1" si="46"/>
        <v>30.274862133479502</v>
      </c>
      <c r="X145" s="194">
        <f t="shared" ca="1" si="46"/>
        <v>31.091286133665498</v>
      </c>
      <c r="Y145" s="194">
        <f t="shared" ca="1" si="46"/>
        <v>31.892208412328976</v>
      </c>
      <c r="Z145" s="194">
        <f t="shared" ca="1" si="46"/>
        <v>32.713799653022484</v>
      </c>
      <c r="AA145" s="194">
        <f t="shared" ca="1" si="45"/>
        <v>33.633568463358614</v>
      </c>
      <c r="AB145" s="194">
        <f t="shared" ca="1" si="45"/>
        <v>34.584340716739774</v>
      </c>
      <c r="AC145" s="194">
        <f t="shared" ca="1" si="45"/>
        <v>35.566116413165972</v>
      </c>
      <c r="AD145" s="194">
        <f t="shared" ca="1" si="45"/>
        <v>36.516888666547132</v>
      </c>
      <c r="AE145" s="194">
        <f t="shared" ca="1" si="45"/>
        <v>37.560671249063411</v>
      </c>
      <c r="AF145" s="194">
        <f t="shared" ca="1" si="45"/>
        <v>38.676795198684772</v>
      </c>
      <c r="AG145" s="194">
        <f t="shared" ca="1" si="45"/>
        <v>39.906598439471281</v>
      </c>
      <c r="AH145" s="194">
        <f t="shared" ca="1" si="45"/>
        <v>41.172572363810332</v>
      </c>
      <c r="AI145" s="194">
        <f t="shared" ca="1" si="45"/>
        <v>42.474716971701923</v>
      </c>
      <c r="AJ145" s="194">
        <f t="shared" ca="1" si="45"/>
        <v>43.792363301116033</v>
      </c>
      <c r="AK145" s="194">
        <f t="shared" ca="1" si="45"/>
        <v>45.151347554590188</v>
      </c>
      <c r="AL145" s="194">
        <f t="shared" ca="1" si="45"/>
        <v>46.58267317516944</v>
      </c>
      <c r="AM145" s="194">
        <f t="shared" ca="1" si="45"/>
        <v>54.256025328816314</v>
      </c>
      <c r="AN145" s="194">
        <f t="shared" ca="1" si="45"/>
        <v>63.6552358119703</v>
      </c>
      <c r="AO145" s="194">
        <f t="shared" ca="1" si="45"/>
        <v>80.440155393853701</v>
      </c>
      <c r="AP145" s="194">
        <f t="shared" ca="1" si="45"/>
        <v>97.512718030654554</v>
      </c>
    </row>
    <row r="146" spans="1:42">
      <c r="A146" s="59" t="str">
        <f>'[4]TS BYDem'!A85</f>
        <v>*</v>
      </c>
      <c r="B146" s="194" t="s">
        <v>288</v>
      </c>
      <c r="C146" s="194" t="s">
        <v>137</v>
      </c>
      <c r="D146" s="194" t="str">
        <f>'[4]TS BYDem'!D85</f>
        <v>ICPS</v>
      </c>
      <c r="E146" s="194" t="s">
        <v>137</v>
      </c>
      <c r="F146" s="194" t="s">
        <v>137</v>
      </c>
      <c r="G146" s="194" t="s">
        <v>137</v>
      </c>
      <c r="H146" s="194" t="s">
        <v>137</v>
      </c>
      <c r="I146" s="194">
        <v>0</v>
      </c>
      <c r="J146" s="194">
        <f>INDEX('[4]TS BYDem'!$J$10:$J$203,MATCH(D146,'[4]TS BYDem'!$D$10:$D$203,0))</f>
        <v>27.288197120140854</v>
      </c>
      <c r="K146" s="194">
        <f t="shared" ca="1" si="47"/>
        <v>28.063283196266802</v>
      </c>
      <c r="L146" s="194">
        <f t="shared" ca="1" si="46"/>
        <v>28.554171044479897</v>
      </c>
      <c r="M146" s="194">
        <f t="shared" ca="1" si="46"/>
        <v>28.797031348332695</v>
      </c>
      <c r="N146" s="194">
        <f t="shared" ca="1" si="46"/>
        <v>29.091564057260552</v>
      </c>
      <c r="O146" s="194">
        <f t="shared" ca="1" si="46"/>
        <v>29.246581272485745</v>
      </c>
      <c r="P146" s="194">
        <f t="shared" ca="1" si="46"/>
        <v>29.499776057353554</v>
      </c>
      <c r="Q146" s="194">
        <f t="shared" ca="1" si="46"/>
        <v>29.432601930755972</v>
      </c>
      <c r="R146" s="194">
        <f t="shared" ca="1" si="46"/>
        <v>27.060838537810572</v>
      </c>
      <c r="S146" s="194">
        <f t="shared" ca="1" si="46"/>
        <v>27.779084968353949</v>
      </c>
      <c r="T146" s="194">
        <f t="shared" ca="1" si="46"/>
        <v>28.430157272299745</v>
      </c>
      <c r="U146" s="194">
        <f t="shared" ca="1" si="46"/>
        <v>29.045058892692996</v>
      </c>
      <c r="V146" s="194">
        <f t="shared" ca="1" si="46"/>
        <v>29.634124310548717</v>
      </c>
      <c r="W146" s="194">
        <f t="shared" ca="1" si="46"/>
        <v>30.274862133479502</v>
      </c>
      <c r="X146" s="194">
        <f t="shared" ca="1" si="46"/>
        <v>31.091286133665498</v>
      </c>
      <c r="Y146" s="194">
        <f t="shared" ca="1" si="46"/>
        <v>31.892208412328976</v>
      </c>
      <c r="Z146" s="194">
        <f t="shared" ca="1" si="46"/>
        <v>32.713799653022484</v>
      </c>
      <c r="AA146" s="194">
        <f t="shared" ca="1" si="45"/>
        <v>33.633568463358614</v>
      </c>
      <c r="AB146" s="194">
        <f t="shared" ca="1" si="45"/>
        <v>34.584340716739774</v>
      </c>
      <c r="AC146" s="194">
        <f t="shared" ca="1" si="45"/>
        <v>35.566116413165972</v>
      </c>
      <c r="AD146" s="194">
        <f t="shared" ca="1" si="45"/>
        <v>36.516888666547132</v>
      </c>
      <c r="AE146" s="194">
        <f t="shared" ca="1" si="45"/>
        <v>37.560671249063411</v>
      </c>
      <c r="AF146" s="194">
        <f t="shared" ca="1" si="45"/>
        <v>38.676795198684772</v>
      </c>
      <c r="AG146" s="194">
        <f t="shared" ca="1" si="45"/>
        <v>39.906598439471281</v>
      </c>
      <c r="AH146" s="194">
        <f t="shared" ca="1" si="45"/>
        <v>41.172572363810332</v>
      </c>
      <c r="AI146" s="194">
        <f t="shared" ca="1" si="45"/>
        <v>42.474716971701923</v>
      </c>
      <c r="AJ146" s="194">
        <f t="shared" ca="1" si="45"/>
        <v>43.792363301116033</v>
      </c>
      <c r="AK146" s="194">
        <f t="shared" ca="1" si="45"/>
        <v>45.151347554590188</v>
      </c>
      <c r="AL146" s="194">
        <f t="shared" ca="1" si="45"/>
        <v>46.58267317516944</v>
      </c>
      <c r="AM146" s="194">
        <f t="shared" ca="1" si="45"/>
        <v>54.256025328816314</v>
      </c>
      <c r="AN146" s="194">
        <f t="shared" ca="1" si="45"/>
        <v>63.6552358119703</v>
      </c>
      <c r="AO146" s="194">
        <f t="shared" ca="1" si="45"/>
        <v>80.440155393853701</v>
      </c>
      <c r="AP146" s="194">
        <f t="shared" ca="1" si="45"/>
        <v>97.512718030654554</v>
      </c>
    </row>
    <row r="147" spans="1:42">
      <c r="A147" s="59" t="str">
        <f>'[4]TS BYDem'!A86</f>
        <v>*</v>
      </c>
      <c r="B147" s="194" t="s">
        <v>288</v>
      </c>
      <c r="C147" s="194" t="s">
        <v>137</v>
      </c>
      <c r="D147" s="194" t="str">
        <f>'[4]TS BYDem'!D86</f>
        <v>ICPS</v>
      </c>
      <c r="E147" s="194" t="s">
        <v>137</v>
      </c>
      <c r="F147" s="194" t="s">
        <v>137</v>
      </c>
      <c r="G147" s="194" t="s">
        <v>137</v>
      </c>
      <c r="H147" s="194" t="s">
        <v>137</v>
      </c>
      <c r="I147" s="194">
        <v>0</v>
      </c>
      <c r="J147" s="194">
        <f>INDEX('[4]TS BYDem'!$J$10:$J$203,MATCH(D147,'[4]TS BYDem'!$D$10:$D$203,0))</f>
        <v>27.288197120140854</v>
      </c>
      <c r="K147" s="194">
        <f t="shared" ca="1" si="47"/>
        <v>28.063283196266802</v>
      </c>
      <c r="L147" s="194">
        <f t="shared" ca="1" si="46"/>
        <v>28.554171044479897</v>
      </c>
      <c r="M147" s="194">
        <f t="shared" ca="1" si="46"/>
        <v>28.797031348332695</v>
      </c>
      <c r="N147" s="194">
        <f t="shared" ca="1" si="46"/>
        <v>29.091564057260552</v>
      </c>
      <c r="O147" s="194">
        <f t="shared" ca="1" si="46"/>
        <v>29.246581272485745</v>
      </c>
      <c r="P147" s="194">
        <f t="shared" ca="1" si="46"/>
        <v>29.499776057353554</v>
      </c>
      <c r="Q147" s="194">
        <f t="shared" ca="1" si="46"/>
        <v>29.432601930755972</v>
      </c>
      <c r="R147" s="194">
        <f t="shared" ca="1" si="46"/>
        <v>27.060838537810572</v>
      </c>
      <c r="S147" s="194">
        <f t="shared" ca="1" si="46"/>
        <v>27.779084968353949</v>
      </c>
      <c r="T147" s="194">
        <f t="shared" ca="1" si="46"/>
        <v>28.430157272299745</v>
      </c>
      <c r="U147" s="194">
        <f t="shared" ca="1" si="46"/>
        <v>29.045058892692996</v>
      </c>
      <c r="V147" s="194">
        <f t="shared" ca="1" si="46"/>
        <v>29.634124310548717</v>
      </c>
      <c r="W147" s="194">
        <f t="shared" ca="1" si="46"/>
        <v>30.274862133479502</v>
      </c>
      <c r="X147" s="194">
        <f t="shared" ca="1" si="46"/>
        <v>31.091286133665498</v>
      </c>
      <c r="Y147" s="194">
        <f t="shared" ca="1" si="46"/>
        <v>31.892208412328976</v>
      </c>
      <c r="Z147" s="194">
        <f t="shared" ca="1" si="46"/>
        <v>32.713799653022484</v>
      </c>
      <c r="AA147" s="194">
        <f t="shared" ca="1" si="45"/>
        <v>33.633568463358614</v>
      </c>
      <c r="AB147" s="194">
        <f t="shared" ca="1" si="45"/>
        <v>34.584340716739774</v>
      </c>
      <c r="AC147" s="194">
        <f t="shared" ca="1" si="45"/>
        <v>35.566116413165972</v>
      </c>
      <c r="AD147" s="194">
        <f t="shared" ca="1" si="45"/>
        <v>36.516888666547132</v>
      </c>
      <c r="AE147" s="194">
        <f t="shared" ca="1" si="45"/>
        <v>37.560671249063411</v>
      </c>
      <c r="AF147" s="194">
        <f t="shared" ca="1" si="45"/>
        <v>38.676795198684772</v>
      </c>
      <c r="AG147" s="194">
        <f t="shared" ca="1" si="45"/>
        <v>39.906598439471281</v>
      </c>
      <c r="AH147" s="194">
        <f t="shared" ca="1" si="45"/>
        <v>41.172572363810332</v>
      </c>
      <c r="AI147" s="194">
        <f t="shared" ca="1" si="45"/>
        <v>42.474716971701923</v>
      </c>
      <c r="AJ147" s="194">
        <f t="shared" ca="1" si="45"/>
        <v>43.792363301116033</v>
      </c>
      <c r="AK147" s="194">
        <f t="shared" ca="1" si="45"/>
        <v>45.151347554590188</v>
      </c>
      <c r="AL147" s="194">
        <f t="shared" ca="1" si="45"/>
        <v>46.58267317516944</v>
      </c>
      <c r="AM147" s="194">
        <f t="shared" ca="1" si="45"/>
        <v>54.256025328816314</v>
      </c>
      <c r="AN147" s="194">
        <f t="shared" ca="1" si="45"/>
        <v>63.6552358119703</v>
      </c>
      <c r="AO147" s="194">
        <f t="shared" ca="1" si="45"/>
        <v>80.440155393853701</v>
      </c>
      <c r="AP147" s="194">
        <f t="shared" ca="1" si="45"/>
        <v>97.512718030654554</v>
      </c>
    </row>
    <row r="148" spans="1:42">
      <c r="A148" s="59" t="str">
        <f>'[4]TS BYDem'!A87</f>
        <v>*</v>
      </c>
      <c r="B148" s="194" t="s">
        <v>288</v>
      </c>
      <c r="C148" s="194" t="s">
        <v>137</v>
      </c>
      <c r="D148" s="194" t="str">
        <f>'[4]TS BYDem'!D87</f>
        <v>ICPS</v>
      </c>
      <c r="E148" s="194" t="s">
        <v>137</v>
      </c>
      <c r="F148" s="194" t="s">
        <v>137</v>
      </c>
      <c r="G148" s="194" t="s">
        <v>137</v>
      </c>
      <c r="H148" s="194" t="s">
        <v>137</v>
      </c>
      <c r="I148" s="194">
        <v>0</v>
      </c>
      <c r="J148" s="194">
        <f>INDEX('[4]TS BYDem'!$J$10:$J$203,MATCH(D148,'[4]TS BYDem'!$D$10:$D$203,0))</f>
        <v>27.288197120140854</v>
      </c>
      <c r="K148" s="194">
        <f t="shared" ca="1" si="47"/>
        <v>28.063283196266802</v>
      </c>
      <c r="L148" s="194">
        <f t="shared" ca="1" si="46"/>
        <v>28.554171044479897</v>
      </c>
      <c r="M148" s="194">
        <f t="shared" ca="1" si="46"/>
        <v>28.797031348332695</v>
      </c>
      <c r="N148" s="194">
        <f t="shared" ca="1" si="46"/>
        <v>29.091564057260552</v>
      </c>
      <c r="O148" s="194">
        <f t="shared" ca="1" si="46"/>
        <v>29.246581272485745</v>
      </c>
      <c r="P148" s="194">
        <f t="shared" ca="1" si="46"/>
        <v>29.499776057353554</v>
      </c>
      <c r="Q148" s="194">
        <f t="shared" ca="1" si="46"/>
        <v>29.432601930755972</v>
      </c>
      <c r="R148" s="194">
        <f t="shared" ca="1" si="46"/>
        <v>27.060838537810572</v>
      </c>
      <c r="S148" s="194">
        <f t="shared" ca="1" si="46"/>
        <v>27.779084968353949</v>
      </c>
      <c r="T148" s="194">
        <f t="shared" ca="1" si="46"/>
        <v>28.430157272299745</v>
      </c>
      <c r="U148" s="194">
        <f t="shared" ca="1" si="46"/>
        <v>29.045058892692996</v>
      </c>
      <c r="V148" s="194">
        <f t="shared" ca="1" si="46"/>
        <v>29.634124310548717</v>
      </c>
      <c r="W148" s="194">
        <f t="shared" ca="1" si="46"/>
        <v>30.274862133479502</v>
      </c>
      <c r="X148" s="194">
        <f t="shared" ca="1" si="46"/>
        <v>31.091286133665498</v>
      </c>
      <c r="Y148" s="194">
        <f t="shared" ca="1" si="46"/>
        <v>31.892208412328976</v>
      </c>
      <c r="Z148" s="194">
        <f t="shared" ca="1" si="46"/>
        <v>32.713799653022484</v>
      </c>
      <c r="AA148" s="194">
        <f t="shared" ca="1" si="45"/>
        <v>33.633568463358614</v>
      </c>
      <c r="AB148" s="194">
        <f t="shared" ca="1" si="45"/>
        <v>34.584340716739774</v>
      </c>
      <c r="AC148" s="194">
        <f t="shared" ca="1" si="45"/>
        <v>35.566116413165972</v>
      </c>
      <c r="AD148" s="194">
        <f t="shared" ca="1" si="45"/>
        <v>36.516888666547132</v>
      </c>
      <c r="AE148" s="194">
        <f t="shared" ca="1" si="45"/>
        <v>37.560671249063411</v>
      </c>
      <c r="AF148" s="194">
        <f t="shared" ca="1" si="45"/>
        <v>38.676795198684772</v>
      </c>
      <c r="AG148" s="194">
        <f t="shared" ca="1" si="45"/>
        <v>39.906598439471281</v>
      </c>
      <c r="AH148" s="194">
        <f t="shared" ca="1" si="45"/>
        <v>41.172572363810332</v>
      </c>
      <c r="AI148" s="194">
        <f t="shared" ca="1" si="45"/>
        <v>42.474716971701923</v>
      </c>
      <c r="AJ148" s="194">
        <f t="shared" ca="1" si="45"/>
        <v>43.792363301116033</v>
      </c>
      <c r="AK148" s="194">
        <f t="shared" ca="1" si="45"/>
        <v>45.151347554590188</v>
      </c>
      <c r="AL148" s="194">
        <f t="shared" ca="1" si="45"/>
        <v>46.58267317516944</v>
      </c>
      <c r="AM148" s="194">
        <f t="shared" ca="1" si="45"/>
        <v>54.256025328816314</v>
      </c>
      <c r="AN148" s="194">
        <f t="shared" ca="1" si="45"/>
        <v>63.6552358119703</v>
      </c>
      <c r="AO148" s="194">
        <f t="shared" ca="1" si="45"/>
        <v>80.440155393853701</v>
      </c>
      <c r="AP148" s="194">
        <f t="shared" ca="1" si="45"/>
        <v>97.512718030654554</v>
      </c>
    </row>
    <row r="149" spans="1:42">
      <c r="A149" s="59" t="str">
        <f>'[4]TS BYDem'!A88</f>
        <v>*</v>
      </c>
      <c r="B149" s="194" t="s">
        <v>288</v>
      </c>
      <c r="C149" s="194" t="s">
        <v>137</v>
      </c>
      <c r="D149" s="194" t="str">
        <f>'[4]TS BYDem'!D88</f>
        <v>ICPS</v>
      </c>
      <c r="E149" s="194" t="s">
        <v>137</v>
      </c>
      <c r="F149" s="194" t="s">
        <v>137</v>
      </c>
      <c r="G149" s="194" t="s">
        <v>137</v>
      </c>
      <c r="H149" s="194" t="s">
        <v>137</v>
      </c>
      <c r="I149" s="194">
        <v>0</v>
      </c>
      <c r="J149" s="194">
        <f>INDEX('[4]TS BYDem'!$J$10:$J$203,MATCH(D149,'[4]TS BYDem'!$D$10:$D$203,0))</f>
        <v>27.288197120140854</v>
      </c>
      <c r="K149" s="194">
        <f t="shared" ca="1" si="47"/>
        <v>28.063283196266802</v>
      </c>
      <c r="L149" s="194">
        <f t="shared" ca="1" si="46"/>
        <v>28.554171044479897</v>
      </c>
      <c r="M149" s="194">
        <f t="shared" ca="1" si="46"/>
        <v>28.797031348332695</v>
      </c>
      <c r="N149" s="194">
        <f t="shared" ca="1" si="46"/>
        <v>29.091564057260552</v>
      </c>
      <c r="O149" s="194">
        <f t="shared" ca="1" si="46"/>
        <v>29.246581272485745</v>
      </c>
      <c r="P149" s="194">
        <f t="shared" ca="1" si="46"/>
        <v>29.499776057353554</v>
      </c>
      <c r="Q149" s="194">
        <f t="shared" ca="1" si="46"/>
        <v>29.432601930755972</v>
      </c>
      <c r="R149" s="194">
        <f t="shared" ca="1" si="46"/>
        <v>27.060838537810572</v>
      </c>
      <c r="S149" s="194">
        <f t="shared" ca="1" si="46"/>
        <v>27.779084968353949</v>
      </c>
      <c r="T149" s="194">
        <f t="shared" ca="1" si="46"/>
        <v>28.430157272299745</v>
      </c>
      <c r="U149" s="194">
        <f t="shared" ca="1" si="46"/>
        <v>29.045058892692996</v>
      </c>
      <c r="V149" s="194">
        <f t="shared" ca="1" si="46"/>
        <v>29.634124310548717</v>
      </c>
      <c r="W149" s="194">
        <f t="shared" ca="1" si="46"/>
        <v>30.274862133479502</v>
      </c>
      <c r="X149" s="194">
        <f t="shared" ca="1" si="46"/>
        <v>31.091286133665498</v>
      </c>
      <c r="Y149" s="194">
        <f t="shared" ca="1" si="46"/>
        <v>31.892208412328976</v>
      </c>
      <c r="Z149" s="194">
        <f t="shared" ca="1" si="46"/>
        <v>32.713799653022484</v>
      </c>
      <c r="AA149" s="194">
        <f t="shared" ca="1" si="45"/>
        <v>33.633568463358614</v>
      </c>
      <c r="AB149" s="194">
        <f t="shared" ca="1" si="45"/>
        <v>34.584340716739774</v>
      </c>
      <c r="AC149" s="194">
        <f t="shared" ca="1" si="45"/>
        <v>35.566116413165972</v>
      </c>
      <c r="AD149" s="194">
        <f t="shared" ca="1" si="45"/>
        <v>36.516888666547132</v>
      </c>
      <c r="AE149" s="194">
        <f t="shared" ca="1" si="45"/>
        <v>37.560671249063411</v>
      </c>
      <c r="AF149" s="194">
        <f t="shared" ca="1" si="45"/>
        <v>38.676795198684772</v>
      </c>
      <c r="AG149" s="194">
        <f t="shared" ca="1" si="45"/>
        <v>39.906598439471281</v>
      </c>
      <c r="AH149" s="194">
        <f t="shared" ca="1" si="45"/>
        <v>41.172572363810332</v>
      </c>
      <c r="AI149" s="194">
        <f t="shared" ca="1" si="45"/>
        <v>42.474716971701923</v>
      </c>
      <c r="AJ149" s="194">
        <f t="shared" ca="1" si="45"/>
        <v>43.792363301116033</v>
      </c>
      <c r="AK149" s="194">
        <f t="shared" ca="1" si="45"/>
        <v>45.151347554590188</v>
      </c>
      <c r="AL149" s="194">
        <f t="shared" ca="1" si="45"/>
        <v>46.58267317516944</v>
      </c>
      <c r="AM149" s="194">
        <f t="shared" ca="1" si="45"/>
        <v>54.256025328816314</v>
      </c>
      <c r="AN149" s="194">
        <f t="shared" ca="1" si="45"/>
        <v>63.6552358119703</v>
      </c>
      <c r="AO149" s="194">
        <f t="shared" ca="1" si="45"/>
        <v>80.440155393853701</v>
      </c>
      <c r="AP149" s="194">
        <f t="shared" ca="1" si="45"/>
        <v>97.512718030654554</v>
      </c>
    </row>
    <row r="150" spans="1:42">
      <c r="A150" s="59" t="str">
        <f>'[4]TS BYDem'!A89</f>
        <v>*</v>
      </c>
      <c r="B150" s="194" t="s">
        <v>288</v>
      </c>
      <c r="C150" s="194" t="s">
        <v>137</v>
      </c>
      <c r="D150" s="194">
        <f>'[4]TS BYDem'!D89</f>
        <v>0</v>
      </c>
      <c r="E150" s="194" t="s">
        <v>137</v>
      </c>
      <c r="F150" s="194" t="s">
        <v>137</v>
      </c>
      <c r="G150" s="194" t="s">
        <v>137</v>
      </c>
      <c r="H150" s="194" t="s">
        <v>137</v>
      </c>
      <c r="I150" s="194">
        <v>0</v>
      </c>
      <c r="J150" s="194" t="str">
        <f>INDEX('[4]TS BYDem'!$J$10:$J$203,MATCH(D150,'[4]TS BYDem'!$D$10:$D$203,0))</f>
        <v/>
      </c>
      <c r="K150" s="194" t="e">
        <f t="shared" ca="1" si="47"/>
        <v>#VALUE!</v>
      </c>
      <c r="L150" s="194" t="e">
        <f t="shared" ca="1" si="46"/>
        <v>#VALUE!</v>
      </c>
      <c r="M150" s="194" t="e">
        <f t="shared" ca="1" si="46"/>
        <v>#VALUE!</v>
      </c>
      <c r="N150" s="194" t="e">
        <f t="shared" ca="1" si="46"/>
        <v>#VALUE!</v>
      </c>
      <c r="O150" s="194" t="e">
        <f t="shared" ca="1" si="46"/>
        <v>#VALUE!</v>
      </c>
      <c r="P150" s="194" t="e">
        <f t="shared" ca="1" si="46"/>
        <v>#VALUE!</v>
      </c>
      <c r="Q150" s="194" t="e">
        <f t="shared" ca="1" si="46"/>
        <v>#VALUE!</v>
      </c>
      <c r="R150" s="194" t="e">
        <f t="shared" ca="1" si="46"/>
        <v>#VALUE!</v>
      </c>
      <c r="S150" s="194" t="e">
        <f t="shared" ca="1" si="46"/>
        <v>#VALUE!</v>
      </c>
      <c r="T150" s="194" t="e">
        <f t="shared" ca="1" si="46"/>
        <v>#VALUE!</v>
      </c>
      <c r="U150" s="194" t="e">
        <f t="shared" ca="1" si="46"/>
        <v>#VALUE!</v>
      </c>
      <c r="V150" s="194" t="e">
        <f t="shared" ca="1" si="46"/>
        <v>#VALUE!</v>
      </c>
      <c r="W150" s="194" t="e">
        <f t="shared" ca="1" si="46"/>
        <v>#VALUE!</v>
      </c>
      <c r="X150" s="194" t="e">
        <f t="shared" ca="1" si="46"/>
        <v>#VALUE!</v>
      </c>
      <c r="Y150" s="194" t="e">
        <f t="shared" ca="1" si="46"/>
        <v>#VALUE!</v>
      </c>
      <c r="Z150" s="194" t="e">
        <f t="shared" ca="1" si="46"/>
        <v>#VALUE!</v>
      </c>
      <c r="AA150" s="194" t="e">
        <f t="shared" ref="AA150:AP153" ca="1" si="50">AA$133/Z$133*Z150</f>
        <v>#VALUE!</v>
      </c>
      <c r="AB150" s="194" t="e">
        <f t="shared" ca="1" si="50"/>
        <v>#VALUE!</v>
      </c>
      <c r="AC150" s="194" t="e">
        <f t="shared" ca="1" si="50"/>
        <v>#VALUE!</v>
      </c>
      <c r="AD150" s="194" t="e">
        <f t="shared" ca="1" si="50"/>
        <v>#VALUE!</v>
      </c>
      <c r="AE150" s="194" t="e">
        <f t="shared" ca="1" si="50"/>
        <v>#VALUE!</v>
      </c>
      <c r="AF150" s="194" t="e">
        <f t="shared" ca="1" si="50"/>
        <v>#VALUE!</v>
      </c>
      <c r="AG150" s="194" t="e">
        <f t="shared" ca="1" si="50"/>
        <v>#VALUE!</v>
      </c>
      <c r="AH150" s="194" t="e">
        <f t="shared" ca="1" si="50"/>
        <v>#VALUE!</v>
      </c>
      <c r="AI150" s="194" t="e">
        <f t="shared" ca="1" si="50"/>
        <v>#VALUE!</v>
      </c>
      <c r="AJ150" s="194" t="e">
        <f t="shared" ca="1" si="50"/>
        <v>#VALUE!</v>
      </c>
      <c r="AK150" s="194" t="e">
        <f t="shared" ca="1" si="50"/>
        <v>#VALUE!</v>
      </c>
      <c r="AL150" s="194" t="e">
        <f t="shared" ca="1" si="50"/>
        <v>#VALUE!</v>
      </c>
      <c r="AM150" s="194" t="e">
        <f t="shared" ca="1" si="50"/>
        <v>#VALUE!</v>
      </c>
      <c r="AN150" s="194" t="e">
        <f t="shared" ca="1" si="50"/>
        <v>#VALUE!</v>
      </c>
      <c r="AO150" s="194" t="e">
        <f t="shared" ca="1" si="50"/>
        <v>#VALUE!</v>
      </c>
      <c r="AP150" s="194" t="e">
        <f t="shared" ca="1" si="50"/>
        <v>#VALUE!</v>
      </c>
    </row>
    <row r="151" spans="1:42">
      <c r="A151" s="59" t="str">
        <f>'[4]TS BYDem'!A90</f>
        <v/>
      </c>
      <c r="B151" s="194" t="s">
        <v>288</v>
      </c>
      <c r="C151" s="194" t="s">
        <v>137</v>
      </c>
      <c r="D151" s="194" t="str">
        <f>'[4]TS BYDem'!D90</f>
        <v>ICPT</v>
      </c>
      <c r="E151" s="194" t="s">
        <v>137</v>
      </c>
      <c r="F151" s="194" t="s">
        <v>137</v>
      </c>
      <c r="G151" s="194" t="s">
        <v>137</v>
      </c>
      <c r="H151" s="194" t="s">
        <v>137</v>
      </c>
      <c r="I151" s="194">
        <v>0</v>
      </c>
      <c r="J151" s="194">
        <f>INDEX('[4]TS BYDem'!$J$10:$J$203,MATCH(D151,'[4]TS BYDem'!$D$10:$D$203,0))</f>
        <v>39.004000030517574</v>
      </c>
      <c r="K151" s="194">
        <f t="shared" ca="1" si="47"/>
        <v>40.11185839154345</v>
      </c>
      <c r="L151" s="194">
        <f t="shared" ca="1" si="47"/>
        <v>40.813502020193162</v>
      </c>
      <c r="M151" s="201">
        <f t="shared" ref="M151" si="51">O151</f>
        <v>49.996000000000002</v>
      </c>
      <c r="N151" s="201">
        <f t="shared" ref="N151" si="52">O151</f>
        <v>49.996000000000002</v>
      </c>
      <c r="O151" s="201">
        <f>INDEX('[4]TS BYDem'!$O$10:$O$203,MATCH(D151,'[4]TS BYDem'!$D$10:$D$203,0))</f>
        <v>49.996000000000002</v>
      </c>
      <c r="P151" s="194">
        <f t="shared" ref="P151:Z153" ca="1" si="53">P$133/O$133*O151</f>
        <v>50.428827561837458</v>
      </c>
      <c r="Q151" s="194">
        <f t="shared" ca="1" si="53"/>
        <v>50.313995759717315</v>
      </c>
      <c r="R151" s="194">
        <f t="shared" ca="1" si="53"/>
        <v>46.259549823321549</v>
      </c>
      <c r="S151" s="194">
        <f t="shared" ca="1" si="53"/>
        <v>47.487366784452291</v>
      </c>
      <c r="T151" s="194">
        <f t="shared" ca="1" si="53"/>
        <v>48.60035194346289</v>
      </c>
      <c r="U151" s="194">
        <f t="shared" ca="1" si="53"/>
        <v>49.651504593639565</v>
      </c>
      <c r="V151" s="194">
        <f t="shared" ca="1" si="53"/>
        <v>50.658491166077731</v>
      </c>
      <c r="W151" s="194">
        <f t="shared" ca="1" si="53"/>
        <v>51.753809893992923</v>
      </c>
      <c r="X151" s="194">
        <f t="shared" ca="1" si="53"/>
        <v>53.149457950530021</v>
      </c>
      <c r="Y151" s="194">
        <f t="shared" ca="1" si="53"/>
        <v>54.518606360424009</v>
      </c>
      <c r="Z151" s="194">
        <f t="shared" ca="1" si="53"/>
        <v>55.923087632508825</v>
      </c>
      <c r="AA151" s="194">
        <f t="shared" ca="1" si="50"/>
        <v>57.495399999999997</v>
      </c>
      <c r="AB151" s="194">
        <f t="shared" ca="1" si="50"/>
        <v>59.120711660777381</v>
      </c>
      <c r="AC151" s="194">
        <f t="shared" ca="1" si="50"/>
        <v>60.799022614840979</v>
      </c>
      <c r="AD151" s="194">
        <f t="shared" ca="1" si="50"/>
        <v>62.424334275618364</v>
      </c>
      <c r="AE151" s="194">
        <f t="shared" ca="1" si="50"/>
        <v>64.208643816254408</v>
      </c>
      <c r="AF151" s="194">
        <f t="shared" ca="1" si="50"/>
        <v>66.116618374558286</v>
      </c>
      <c r="AG151" s="194">
        <f t="shared" ca="1" si="50"/>
        <v>68.218923674911665</v>
      </c>
      <c r="AH151" s="194">
        <f t="shared" ca="1" si="50"/>
        <v>70.383061484098945</v>
      </c>
      <c r="AI151" s="194">
        <f t="shared" ca="1" si="50"/>
        <v>72.609031802120143</v>
      </c>
      <c r="AJ151" s="194">
        <f t="shared" ca="1" si="50"/>
        <v>74.861501766784457</v>
      </c>
      <c r="AK151" s="194">
        <f t="shared" ca="1" si="50"/>
        <v>77.184637455830384</v>
      </c>
      <c r="AL151" s="194">
        <f t="shared" ca="1" si="50"/>
        <v>79.631438162544171</v>
      </c>
      <c r="AM151" s="194">
        <f t="shared" ca="1" si="50"/>
        <v>92.748763250883385</v>
      </c>
      <c r="AN151" s="194">
        <f t="shared" ca="1" si="50"/>
        <v>108.81638233215547</v>
      </c>
      <c r="AO151" s="194">
        <f t="shared" ca="1" si="50"/>
        <v>137.50961083627863</v>
      </c>
      <c r="AP151" s="194">
        <f t="shared" ca="1" si="50"/>
        <v>166.69455500588992</v>
      </c>
    </row>
    <row r="152" spans="1:42">
      <c r="A152" s="59" t="str">
        <f>'[4]TS BYDem'!A91</f>
        <v>*</v>
      </c>
      <c r="B152" s="194" t="s">
        <v>288</v>
      </c>
      <c r="C152" s="194" t="s">
        <v>137</v>
      </c>
      <c r="D152" s="194" t="str">
        <f>'[4]TS BYDem'!D91</f>
        <v>Useful Energy Service</v>
      </c>
      <c r="E152" s="194" t="s">
        <v>137</v>
      </c>
      <c r="F152" s="194" t="s">
        <v>137</v>
      </c>
      <c r="G152" s="194" t="s">
        <v>137</v>
      </c>
      <c r="H152" s="194" t="s">
        <v>137</v>
      </c>
      <c r="I152" s="194">
        <v>0</v>
      </c>
      <c r="J152" s="194" t="str">
        <f>INDEX('[4]TS BYDem'!$J$10:$J$203,MATCH(D152,'[4]TS BYDem'!$D$10:$D$203,0))</f>
        <v/>
      </c>
      <c r="K152" s="194" t="e">
        <f t="shared" ca="1" si="47"/>
        <v>#VALUE!</v>
      </c>
      <c r="L152" s="194" t="e">
        <f t="shared" ca="1" si="47"/>
        <v>#VALUE!</v>
      </c>
      <c r="M152" s="194" t="e">
        <f t="shared" ca="1" si="47"/>
        <v>#VALUE!</v>
      </c>
      <c r="N152" s="194" t="e">
        <f t="shared" ca="1" si="47"/>
        <v>#VALUE!</v>
      </c>
      <c r="O152" s="194" t="e">
        <f t="shared" ca="1" si="47"/>
        <v>#VALUE!</v>
      </c>
      <c r="P152" s="194" t="e">
        <f t="shared" ca="1" si="53"/>
        <v>#VALUE!</v>
      </c>
      <c r="Q152" s="194" t="e">
        <f t="shared" ca="1" si="53"/>
        <v>#VALUE!</v>
      </c>
      <c r="R152" s="194" t="e">
        <f t="shared" ca="1" si="53"/>
        <v>#VALUE!</v>
      </c>
      <c r="S152" s="194" t="e">
        <f t="shared" ca="1" si="53"/>
        <v>#VALUE!</v>
      </c>
      <c r="T152" s="194" t="e">
        <f t="shared" ca="1" si="53"/>
        <v>#VALUE!</v>
      </c>
      <c r="U152" s="194" t="e">
        <f t="shared" ca="1" si="53"/>
        <v>#VALUE!</v>
      </c>
      <c r="V152" s="194" t="e">
        <f t="shared" ca="1" si="53"/>
        <v>#VALUE!</v>
      </c>
      <c r="W152" s="194" t="e">
        <f t="shared" ca="1" si="53"/>
        <v>#VALUE!</v>
      </c>
      <c r="X152" s="194" t="e">
        <f t="shared" ca="1" si="53"/>
        <v>#VALUE!</v>
      </c>
      <c r="Y152" s="194" t="e">
        <f t="shared" ca="1" si="53"/>
        <v>#VALUE!</v>
      </c>
      <c r="Z152" s="194" t="e">
        <f t="shared" ca="1" si="53"/>
        <v>#VALUE!</v>
      </c>
      <c r="AA152" s="194" t="e">
        <f t="shared" ca="1" si="50"/>
        <v>#VALUE!</v>
      </c>
      <c r="AB152" s="194" t="e">
        <f t="shared" ca="1" si="50"/>
        <v>#VALUE!</v>
      </c>
      <c r="AC152" s="194" t="e">
        <f t="shared" ca="1" si="50"/>
        <v>#VALUE!</v>
      </c>
      <c r="AD152" s="194" t="e">
        <f t="shared" ca="1" si="50"/>
        <v>#VALUE!</v>
      </c>
      <c r="AE152" s="194" t="e">
        <f t="shared" ca="1" si="50"/>
        <v>#VALUE!</v>
      </c>
      <c r="AF152" s="194" t="e">
        <f t="shared" ca="1" si="50"/>
        <v>#VALUE!</v>
      </c>
      <c r="AG152" s="194" t="e">
        <f t="shared" ca="1" si="50"/>
        <v>#VALUE!</v>
      </c>
      <c r="AH152" s="194" t="e">
        <f t="shared" ca="1" si="50"/>
        <v>#VALUE!</v>
      </c>
      <c r="AI152" s="194" t="e">
        <f t="shared" ca="1" si="50"/>
        <v>#VALUE!</v>
      </c>
      <c r="AJ152" s="194" t="e">
        <f t="shared" ca="1" si="50"/>
        <v>#VALUE!</v>
      </c>
      <c r="AK152" s="194" t="e">
        <f t="shared" ca="1" si="50"/>
        <v>#VALUE!</v>
      </c>
      <c r="AL152" s="194" t="e">
        <f t="shared" ca="1" si="50"/>
        <v>#VALUE!</v>
      </c>
      <c r="AM152" s="194" t="e">
        <f t="shared" ca="1" si="50"/>
        <v>#VALUE!</v>
      </c>
      <c r="AN152" s="194" t="e">
        <f t="shared" ca="1" si="50"/>
        <v>#VALUE!</v>
      </c>
      <c r="AO152" s="194" t="e">
        <f t="shared" ca="1" si="50"/>
        <v>#VALUE!</v>
      </c>
      <c r="AP152" s="194" t="e">
        <f t="shared" ca="1" si="50"/>
        <v>#VALUE!</v>
      </c>
    </row>
    <row r="153" spans="1:42">
      <c r="A153" s="59" t="str">
        <f>'[4]TS BYDem'!A92</f>
        <v>*</v>
      </c>
      <c r="B153" s="194" t="s">
        <v>288</v>
      </c>
      <c r="C153" s="194" t="s">
        <v>137</v>
      </c>
      <c r="D153" s="194">
        <f>'[4]TS BYDem'!D92</f>
        <v>0</v>
      </c>
      <c r="E153" s="194" t="s">
        <v>137</v>
      </c>
      <c r="F153" s="194" t="s">
        <v>137</v>
      </c>
      <c r="G153" s="194" t="s">
        <v>137</v>
      </c>
      <c r="H153" s="194" t="s">
        <v>137</v>
      </c>
      <c r="I153" s="194">
        <v>0</v>
      </c>
      <c r="J153" s="194" t="str">
        <f>INDEX('[4]TS BYDem'!$J$10:$J$203,MATCH(D153,'[4]TS BYDem'!$D$10:$D$203,0))</f>
        <v/>
      </c>
      <c r="K153" s="194" t="e">
        <f t="shared" ca="1" si="47"/>
        <v>#VALUE!</v>
      </c>
      <c r="L153" s="194" t="e">
        <f t="shared" ca="1" si="47"/>
        <v>#VALUE!</v>
      </c>
      <c r="M153" s="194" t="e">
        <f t="shared" ca="1" si="47"/>
        <v>#VALUE!</v>
      </c>
      <c r="N153" s="194" t="e">
        <f t="shared" ca="1" si="47"/>
        <v>#VALUE!</v>
      </c>
      <c r="O153" s="194" t="e">
        <f t="shared" ca="1" si="47"/>
        <v>#VALUE!</v>
      </c>
      <c r="P153" s="194" t="e">
        <f t="shared" ca="1" si="53"/>
        <v>#VALUE!</v>
      </c>
      <c r="Q153" s="194" t="e">
        <f t="shared" ca="1" si="53"/>
        <v>#VALUE!</v>
      </c>
      <c r="R153" s="194" t="e">
        <f t="shared" ca="1" si="53"/>
        <v>#VALUE!</v>
      </c>
      <c r="S153" s="194" t="e">
        <f t="shared" ca="1" si="53"/>
        <v>#VALUE!</v>
      </c>
      <c r="T153" s="194" t="e">
        <f t="shared" ca="1" si="53"/>
        <v>#VALUE!</v>
      </c>
      <c r="U153" s="194" t="e">
        <f t="shared" ca="1" si="53"/>
        <v>#VALUE!</v>
      </c>
      <c r="V153" s="194" t="e">
        <f t="shared" ca="1" si="53"/>
        <v>#VALUE!</v>
      </c>
      <c r="W153" s="194" t="e">
        <f t="shared" ca="1" si="53"/>
        <v>#VALUE!</v>
      </c>
      <c r="X153" s="194" t="e">
        <f t="shared" ca="1" si="53"/>
        <v>#VALUE!</v>
      </c>
      <c r="Y153" s="194" t="e">
        <f t="shared" ca="1" si="53"/>
        <v>#VALUE!</v>
      </c>
      <c r="Z153" s="194" t="e">
        <f t="shared" ca="1" si="53"/>
        <v>#VALUE!</v>
      </c>
      <c r="AA153" s="194" t="e">
        <f t="shared" ca="1" si="50"/>
        <v>#VALUE!</v>
      </c>
      <c r="AB153" s="194" t="e">
        <f t="shared" ca="1" si="50"/>
        <v>#VALUE!</v>
      </c>
      <c r="AC153" s="194" t="e">
        <f t="shared" ca="1" si="50"/>
        <v>#VALUE!</v>
      </c>
      <c r="AD153" s="194" t="e">
        <f t="shared" ca="1" si="50"/>
        <v>#VALUE!</v>
      </c>
      <c r="AE153" s="194" t="e">
        <f t="shared" ca="1" si="50"/>
        <v>#VALUE!</v>
      </c>
      <c r="AF153" s="194" t="e">
        <f t="shared" ca="1" si="50"/>
        <v>#VALUE!</v>
      </c>
      <c r="AG153" s="194" t="e">
        <f t="shared" ca="1" si="50"/>
        <v>#VALUE!</v>
      </c>
      <c r="AH153" s="194" t="e">
        <f t="shared" ca="1" si="50"/>
        <v>#VALUE!</v>
      </c>
      <c r="AI153" s="194" t="e">
        <f t="shared" ca="1" si="50"/>
        <v>#VALUE!</v>
      </c>
      <c r="AJ153" s="194" t="e">
        <f t="shared" ca="1" si="50"/>
        <v>#VALUE!</v>
      </c>
      <c r="AK153" s="194" t="e">
        <f t="shared" ca="1" si="50"/>
        <v>#VALUE!</v>
      </c>
      <c r="AL153" s="194" t="e">
        <f t="shared" ca="1" si="50"/>
        <v>#VALUE!</v>
      </c>
      <c r="AM153" s="194" t="e">
        <f t="shared" ca="1" si="50"/>
        <v>#VALUE!</v>
      </c>
      <c r="AN153" s="194" t="e">
        <f t="shared" ca="1" si="50"/>
        <v>#VALUE!</v>
      </c>
      <c r="AO153" s="194" t="e">
        <f t="shared" ca="1" si="50"/>
        <v>#VALUE!</v>
      </c>
      <c r="AP153" s="194" t="e">
        <f t="shared" ca="1" si="50"/>
        <v>#VALUE!</v>
      </c>
    </row>
    <row r="154" spans="1:42" s="5" customFormat="1">
      <c r="A154" s="59"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59" t="str">
        <f>'[4]TS BYDem'!A94</f>
        <v/>
      </c>
      <c r="B155" s="194" t="s">
        <v>288</v>
      </c>
      <c r="C155" s="194" t="s">
        <v>137</v>
      </c>
      <c r="D155" s="194" t="str">
        <f>'[4]TS BYDem'!D94</f>
        <v>INFK</v>
      </c>
      <c r="E155" s="194" t="s">
        <v>137</v>
      </c>
      <c r="F155" s="194" t="s">
        <v>137</v>
      </c>
      <c r="G155" s="194" t="s">
        <v>137</v>
      </c>
      <c r="H155" s="194" t="s">
        <v>137</v>
      </c>
      <c r="I155" s="194">
        <v>0</v>
      </c>
      <c r="J155" s="194">
        <f>INDEX('[4]TS BYDem'!$J$10:$J$203,MATCH(D155,'[4]TS BYDem'!$D$10:$D$203,0))</f>
        <v>0.66789588210349726</v>
      </c>
      <c r="K155" s="194">
        <f ca="1">K$154/J$154*J155</f>
        <v>0.55691021623466685</v>
      </c>
      <c r="L155" s="194">
        <f t="shared" ref="L155:AP164" ca="1" si="55">L$154/K$154*K155</f>
        <v>0.47961662750458856</v>
      </c>
      <c r="M155" s="201">
        <f t="shared" ref="M155:M163" si="56">O155</f>
        <v>0.54078999999999999</v>
      </c>
      <c r="N155" s="201">
        <f t="shared" ref="N155:N163" si="57">O155</f>
        <v>0.54078999999999999</v>
      </c>
      <c r="O155" s="201">
        <f>INDEX('[4]TS BYDem'!$O$10:$O$203,MATCH(D155,'[4]TS BYDem'!$D$10:$D$203,0))</f>
        <v>0.54078999999999999</v>
      </c>
      <c r="P155" s="194">
        <f t="shared" ca="1" si="55"/>
        <v>0.52990161073825504</v>
      </c>
      <c r="Q155" s="194">
        <f t="shared" ca="1" si="55"/>
        <v>0.50086590604026848</v>
      </c>
      <c r="R155" s="194">
        <f t="shared" ca="1" si="55"/>
        <v>0.41103669463087256</v>
      </c>
      <c r="S155" s="194">
        <f t="shared" ca="1" si="55"/>
        <v>0.42555454697986583</v>
      </c>
      <c r="T155" s="194">
        <f t="shared" ca="1" si="55"/>
        <v>0.42736927852348994</v>
      </c>
      <c r="U155" s="194">
        <f t="shared" ca="1" si="55"/>
        <v>0.4300913758389262</v>
      </c>
      <c r="V155" s="194">
        <f t="shared" ca="1" si="55"/>
        <v>0.43281347315436236</v>
      </c>
      <c r="W155" s="194">
        <f t="shared" ca="1" si="55"/>
        <v>0.439165033557047</v>
      </c>
      <c r="X155" s="194">
        <f t="shared" ca="1" si="55"/>
        <v>0.45459025167785239</v>
      </c>
      <c r="Y155" s="194">
        <f t="shared" ca="1" si="55"/>
        <v>0.47273756711409398</v>
      </c>
      <c r="Z155" s="194">
        <f t="shared" ca="1" si="55"/>
        <v>0.4945143456375839</v>
      </c>
      <c r="AA155" s="194">
        <f t="shared" ca="1" si="55"/>
        <v>0.51175429530201333</v>
      </c>
      <c r="AB155" s="194">
        <f t="shared" ca="1" si="55"/>
        <v>0.53353107382550324</v>
      </c>
      <c r="AC155" s="194">
        <f t="shared" ca="1" si="55"/>
        <v>0.55167838926174484</v>
      </c>
      <c r="AD155" s="194">
        <f t="shared" ca="1" si="55"/>
        <v>0.56347414429530185</v>
      </c>
      <c r="AE155" s="194">
        <f t="shared" ca="1" si="55"/>
        <v>0.57708463087248307</v>
      </c>
      <c r="AF155" s="194">
        <f t="shared" ca="1" si="55"/>
        <v>0.59160248322147624</v>
      </c>
      <c r="AG155" s="194">
        <f t="shared" ca="1" si="55"/>
        <v>0.60430560402684541</v>
      </c>
      <c r="AH155" s="194">
        <f t="shared" ca="1" si="55"/>
        <v>0.61973082214765085</v>
      </c>
      <c r="AI155" s="194">
        <f t="shared" ca="1" si="55"/>
        <v>0.63515604026845618</v>
      </c>
      <c r="AJ155" s="194">
        <f t="shared" ca="1" si="55"/>
        <v>0.65058125838926151</v>
      </c>
      <c r="AK155" s="194">
        <f t="shared" ca="1" si="55"/>
        <v>0.66600647651006684</v>
      </c>
      <c r="AL155" s="194">
        <f t="shared" ca="1" si="55"/>
        <v>0.68233906040268433</v>
      </c>
      <c r="AM155" s="194">
        <f t="shared" ca="1" si="55"/>
        <v>0.73315154362416091</v>
      </c>
      <c r="AN155" s="194">
        <f t="shared" ca="1" si="55"/>
        <v>0.80029661073825487</v>
      </c>
      <c r="AO155" s="194">
        <f t="shared" ca="1" si="55"/>
        <v>0.9155320637583868</v>
      </c>
      <c r="AP155" s="194">
        <f t="shared" ca="1" si="55"/>
        <v>1.0334896140939582</v>
      </c>
    </row>
    <row r="156" spans="1:42">
      <c r="A156" s="59" t="str">
        <f>'[4]TS BYDem'!A95</f>
        <v/>
      </c>
      <c r="B156" s="194" t="s">
        <v>288</v>
      </c>
      <c r="C156" s="194" t="s">
        <v>137</v>
      </c>
      <c r="D156" s="194" t="str">
        <f>'[4]TS BYDem'!D95</f>
        <v>INFA</v>
      </c>
      <c r="E156" s="194" t="s">
        <v>137</v>
      </c>
      <c r="F156" s="194" t="s">
        <v>137</v>
      </c>
      <c r="G156" s="194" t="s">
        <v>137</v>
      </c>
      <c r="H156" s="194" t="s">
        <v>137</v>
      </c>
      <c r="I156" s="194">
        <v>0</v>
      </c>
      <c r="J156" s="194">
        <f>INDEX('[4]TS BYDem'!$J$10:$J$203,MATCH(D156,'[4]TS BYDem'!$D$10:$D$203,0))</f>
        <v>0</v>
      </c>
      <c r="K156" s="194">
        <f t="shared" ref="K156:N172" ca="1" si="58">K$154/J$154*J156</f>
        <v>0</v>
      </c>
      <c r="L156" s="194">
        <f t="shared" ca="1" si="55"/>
        <v>0</v>
      </c>
      <c r="M156" s="201">
        <f t="shared" si="56"/>
        <v>0</v>
      </c>
      <c r="N156" s="201">
        <f t="shared" si="57"/>
        <v>0</v>
      </c>
      <c r="O156" s="201">
        <f>INDEX('[4]TS BYDem'!$O$10:$O$203,MATCH(D156,'[4]TS BYDem'!$D$10:$D$203,0))</f>
        <v>0</v>
      </c>
      <c r="P156" s="194">
        <f t="shared" ca="1" si="55"/>
        <v>0</v>
      </c>
      <c r="Q156" s="194">
        <f t="shared" ca="1" si="55"/>
        <v>0</v>
      </c>
      <c r="R156" s="194">
        <f t="shared" ca="1" si="55"/>
        <v>0</v>
      </c>
      <c r="S156" s="194">
        <f t="shared" ca="1" si="55"/>
        <v>0</v>
      </c>
      <c r="T156" s="194">
        <f t="shared" ca="1" si="55"/>
        <v>0</v>
      </c>
      <c r="U156" s="194">
        <f t="shared" ca="1" si="55"/>
        <v>0</v>
      </c>
      <c r="V156" s="194">
        <f t="shared" ca="1" si="55"/>
        <v>0</v>
      </c>
      <c r="W156" s="194">
        <f t="shared" ca="1" si="55"/>
        <v>0</v>
      </c>
      <c r="X156" s="194">
        <f t="shared" ca="1" si="55"/>
        <v>0</v>
      </c>
      <c r="Y156" s="194">
        <f t="shared" ca="1" si="55"/>
        <v>0</v>
      </c>
      <c r="Z156" s="194">
        <f t="shared" ca="1" si="55"/>
        <v>0</v>
      </c>
      <c r="AA156" s="194">
        <f t="shared" ca="1" si="55"/>
        <v>0</v>
      </c>
      <c r="AB156" s="194">
        <f t="shared" ca="1" si="55"/>
        <v>0</v>
      </c>
      <c r="AC156" s="194">
        <f t="shared" ca="1" si="55"/>
        <v>0</v>
      </c>
      <c r="AD156" s="194">
        <f t="shared" ca="1" si="55"/>
        <v>0</v>
      </c>
      <c r="AE156" s="194">
        <f t="shared" ca="1" si="55"/>
        <v>0</v>
      </c>
      <c r="AF156" s="194">
        <f t="shared" ca="1" si="55"/>
        <v>0</v>
      </c>
      <c r="AG156" s="194">
        <f t="shared" ca="1" si="55"/>
        <v>0</v>
      </c>
      <c r="AH156" s="194">
        <f t="shared" ca="1" si="55"/>
        <v>0</v>
      </c>
      <c r="AI156" s="194">
        <f t="shared" ca="1" si="55"/>
        <v>0</v>
      </c>
      <c r="AJ156" s="194">
        <f t="shared" ca="1" si="55"/>
        <v>0</v>
      </c>
      <c r="AK156" s="194">
        <f t="shared" ca="1" si="55"/>
        <v>0</v>
      </c>
      <c r="AL156" s="194">
        <f t="shared" ca="1" si="55"/>
        <v>0</v>
      </c>
      <c r="AM156" s="194">
        <f t="shared" ca="1" si="55"/>
        <v>0</v>
      </c>
      <c r="AN156" s="194">
        <f t="shared" ca="1" si="55"/>
        <v>0</v>
      </c>
      <c r="AO156" s="194">
        <f t="shared" ca="1" si="55"/>
        <v>0</v>
      </c>
      <c r="AP156" s="194">
        <f t="shared" ca="1" si="55"/>
        <v>0</v>
      </c>
    </row>
    <row r="157" spans="1:42">
      <c r="A157" s="59" t="str">
        <f>'[4]TS BYDem'!A96</f>
        <v/>
      </c>
      <c r="B157" s="194" t="s">
        <v>288</v>
      </c>
      <c r="C157" s="194" t="s">
        <v>137</v>
      </c>
      <c r="D157" s="194" t="str">
        <f>'[4]TS BYDem'!D96</f>
        <v>INFL</v>
      </c>
      <c r="E157" s="194" t="s">
        <v>137</v>
      </c>
      <c r="F157" s="194" t="s">
        <v>137</v>
      </c>
      <c r="G157" s="194" t="s">
        <v>137</v>
      </c>
      <c r="H157" s="194" t="s">
        <v>137</v>
      </c>
      <c r="I157" s="194">
        <v>0</v>
      </c>
      <c r="J157" s="194">
        <f>INDEX('[4]TS BYDem'!$J$10:$J$203,MATCH(D157,'[4]TS BYDem'!$D$10:$D$203,0))</f>
        <v>0.20036876463104916</v>
      </c>
      <c r="K157" s="194">
        <f t="shared" ca="1" si="58"/>
        <v>0.16707306487040005</v>
      </c>
      <c r="L157" s="194">
        <f t="shared" ca="1" si="55"/>
        <v>0.14388498825137655</v>
      </c>
      <c r="M157" s="201">
        <f t="shared" si="56"/>
        <v>0.16223699999999999</v>
      </c>
      <c r="N157" s="201">
        <f t="shared" si="57"/>
        <v>0.16223699999999999</v>
      </c>
      <c r="O157" s="201">
        <f>INDEX('[4]TS BYDem'!$O$10:$O$203,MATCH(D157,'[4]TS BYDem'!$D$10:$D$203,0))</f>
        <v>0.16223699999999999</v>
      </c>
      <c r="P157" s="194">
        <f t="shared" ca="1" si="55"/>
        <v>0.1589704832214765</v>
      </c>
      <c r="Q157" s="194">
        <f t="shared" ca="1" si="55"/>
        <v>0.15025977181208053</v>
      </c>
      <c r="R157" s="194">
        <f t="shared" ca="1" si="55"/>
        <v>0.12331100838926175</v>
      </c>
      <c r="S157" s="194">
        <f t="shared" ca="1" si="55"/>
        <v>0.12766636409395973</v>
      </c>
      <c r="T157" s="194">
        <f t="shared" ca="1" si="55"/>
        <v>0.12821078355704696</v>
      </c>
      <c r="U157" s="194">
        <f t="shared" ca="1" si="55"/>
        <v>0.12902741275167784</v>
      </c>
      <c r="V157" s="194">
        <f t="shared" ca="1" si="55"/>
        <v>0.12984404194630869</v>
      </c>
      <c r="W157" s="194">
        <f t="shared" ca="1" si="55"/>
        <v>0.13174951006711408</v>
      </c>
      <c r="X157" s="194">
        <f t="shared" ca="1" si="55"/>
        <v>0.1363770755033557</v>
      </c>
      <c r="Y157" s="194">
        <f t="shared" ca="1" si="55"/>
        <v>0.14182127013422818</v>
      </c>
      <c r="Z157" s="194">
        <f t="shared" ca="1" si="55"/>
        <v>0.14835430369127517</v>
      </c>
      <c r="AA157" s="194">
        <f t="shared" ca="1" si="55"/>
        <v>0.15352628859060399</v>
      </c>
      <c r="AB157" s="194">
        <f t="shared" ca="1" si="55"/>
        <v>0.16005932214765098</v>
      </c>
      <c r="AC157" s="194">
        <f t="shared" ca="1" si="55"/>
        <v>0.16550351677852346</v>
      </c>
      <c r="AD157" s="194">
        <f t="shared" ca="1" si="55"/>
        <v>0.16904224328859055</v>
      </c>
      <c r="AE157" s="194">
        <f t="shared" ca="1" si="55"/>
        <v>0.17312538926174492</v>
      </c>
      <c r="AF157" s="194">
        <f t="shared" ca="1" si="55"/>
        <v>0.17748074496644287</v>
      </c>
      <c r="AG157" s="194">
        <f t="shared" ca="1" si="55"/>
        <v>0.18129168120805361</v>
      </c>
      <c r="AH157" s="194">
        <f t="shared" ca="1" si="55"/>
        <v>0.18591924664429524</v>
      </c>
      <c r="AI157" s="194">
        <f t="shared" ca="1" si="55"/>
        <v>0.19054681208053684</v>
      </c>
      <c r="AJ157" s="194">
        <f t="shared" ca="1" si="55"/>
        <v>0.19517437751677844</v>
      </c>
      <c r="AK157" s="194">
        <f t="shared" ca="1" si="55"/>
        <v>0.19980194295302003</v>
      </c>
      <c r="AL157" s="194">
        <f t="shared" ca="1" si="55"/>
        <v>0.20470171812080526</v>
      </c>
      <c r="AM157" s="194">
        <f t="shared" ca="1" si="55"/>
        <v>0.21994546308724822</v>
      </c>
      <c r="AN157" s="194">
        <f t="shared" ca="1" si="55"/>
        <v>0.24008898322147643</v>
      </c>
      <c r="AO157" s="194">
        <f t="shared" ca="1" si="55"/>
        <v>0.27465961912751602</v>
      </c>
      <c r="AP157" s="194">
        <f t="shared" ca="1" si="55"/>
        <v>0.31004688422818744</v>
      </c>
    </row>
    <row r="158" spans="1:42">
      <c r="A158" s="59" t="str">
        <f>'[4]TS BYDem'!A97</f>
        <v/>
      </c>
      <c r="B158" s="194" t="s">
        <v>288</v>
      </c>
      <c r="C158" s="194" t="s">
        <v>137</v>
      </c>
      <c r="D158" s="194" t="str">
        <f>'[4]TS BYDem'!D97</f>
        <v>INFC</v>
      </c>
      <c r="E158" s="194" t="s">
        <v>137</v>
      </c>
      <c r="F158" s="194" t="s">
        <v>137</v>
      </c>
      <c r="G158" s="194" t="s">
        <v>137</v>
      </c>
      <c r="H158" s="194" t="s">
        <v>137</v>
      </c>
      <c r="I158" s="194">
        <v>0</v>
      </c>
      <c r="J158" s="194">
        <f>INDEX('[4]TS BYDem'!$J$10:$J$203,MATCH(D158,'[4]TS BYDem'!$D$10:$D$203,0))</f>
        <v>0</v>
      </c>
      <c r="K158" s="194">
        <f t="shared" ca="1" si="58"/>
        <v>0</v>
      </c>
      <c r="L158" s="194">
        <f t="shared" ca="1" si="55"/>
        <v>0</v>
      </c>
      <c r="M158" s="201">
        <f t="shared" si="56"/>
        <v>0</v>
      </c>
      <c r="N158" s="201">
        <f t="shared" si="57"/>
        <v>0</v>
      </c>
      <c r="O158" s="201">
        <f>INDEX('[4]TS BYDem'!$O$10:$O$203,MATCH(D158,'[4]TS BYDem'!$D$10:$D$203,0))</f>
        <v>0</v>
      </c>
      <c r="P158" s="194">
        <f t="shared" ca="1" si="55"/>
        <v>0</v>
      </c>
      <c r="Q158" s="194">
        <f t="shared" ca="1" si="55"/>
        <v>0</v>
      </c>
      <c r="R158" s="194">
        <f t="shared" ca="1" si="55"/>
        <v>0</v>
      </c>
      <c r="S158" s="194">
        <f t="shared" ca="1" si="55"/>
        <v>0</v>
      </c>
      <c r="T158" s="194">
        <f t="shared" ca="1" si="55"/>
        <v>0</v>
      </c>
      <c r="U158" s="194">
        <f t="shared" ca="1" si="55"/>
        <v>0</v>
      </c>
      <c r="V158" s="194">
        <f t="shared" ca="1" si="55"/>
        <v>0</v>
      </c>
      <c r="W158" s="194">
        <f t="shared" ca="1" si="55"/>
        <v>0</v>
      </c>
      <c r="X158" s="194">
        <f t="shared" ca="1" si="55"/>
        <v>0</v>
      </c>
      <c r="Y158" s="194">
        <f t="shared" ca="1" si="55"/>
        <v>0</v>
      </c>
      <c r="Z158" s="194">
        <f t="shared" ca="1" si="55"/>
        <v>0</v>
      </c>
      <c r="AA158" s="194">
        <f t="shared" ca="1" si="55"/>
        <v>0</v>
      </c>
      <c r="AB158" s="194">
        <f t="shared" ca="1" si="55"/>
        <v>0</v>
      </c>
      <c r="AC158" s="194">
        <f t="shared" ca="1" si="55"/>
        <v>0</v>
      </c>
      <c r="AD158" s="194">
        <f t="shared" ca="1" si="55"/>
        <v>0</v>
      </c>
      <c r="AE158" s="194">
        <f t="shared" ca="1" si="55"/>
        <v>0</v>
      </c>
      <c r="AF158" s="194">
        <f t="shared" ca="1" si="55"/>
        <v>0</v>
      </c>
      <c r="AG158" s="194">
        <f t="shared" ca="1" si="55"/>
        <v>0</v>
      </c>
      <c r="AH158" s="194">
        <f t="shared" ca="1" si="55"/>
        <v>0</v>
      </c>
      <c r="AI158" s="194">
        <f t="shared" ca="1" si="55"/>
        <v>0</v>
      </c>
      <c r="AJ158" s="194">
        <f t="shared" ca="1" si="55"/>
        <v>0</v>
      </c>
      <c r="AK158" s="194">
        <f t="shared" ca="1" si="55"/>
        <v>0</v>
      </c>
      <c r="AL158" s="194">
        <f t="shared" ca="1" si="55"/>
        <v>0</v>
      </c>
      <c r="AM158" s="194">
        <f t="shared" ca="1" si="55"/>
        <v>0</v>
      </c>
      <c r="AN158" s="194">
        <f t="shared" ca="1" si="55"/>
        <v>0</v>
      </c>
      <c r="AO158" s="194">
        <f t="shared" ca="1" si="55"/>
        <v>0</v>
      </c>
      <c r="AP158" s="194">
        <f t="shared" ca="1" si="55"/>
        <v>0</v>
      </c>
    </row>
    <row r="159" spans="1:42">
      <c r="A159" s="59" t="str">
        <f>'[4]TS BYDem'!A98</f>
        <v/>
      </c>
      <c r="B159" s="194" t="s">
        <v>288</v>
      </c>
      <c r="C159" s="194" t="s">
        <v>137</v>
      </c>
      <c r="D159" s="194" t="str">
        <f>'[4]TS BYDem'!D98</f>
        <v>INFH</v>
      </c>
      <c r="E159" s="194" t="s">
        <v>137</v>
      </c>
      <c r="F159" s="194" t="s">
        <v>137</v>
      </c>
      <c r="G159" s="194" t="s">
        <v>137</v>
      </c>
      <c r="H159" s="194" t="s">
        <v>137</v>
      </c>
      <c r="I159" s="194">
        <v>0</v>
      </c>
      <c r="J159" s="194">
        <f>INDEX('[4]TS BYDem'!$J$10:$J$203,MATCH(D159,'[4]TS BYDem'!$D$10:$D$203,0))</f>
        <v>0.60110629389314751</v>
      </c>
      <c r="K159" s="194">
        <f t="shared" ca="1" si="58"/>
        <v>0.50121919461120013</v>
      </c>
      <c r="L159" s="194">
        <f t="shared" ca="1" si="55"/>
        <v>0.43165496475412962</v>
      </c>
      <c r="M159" s="201">
        <f t="shared" si="56"/>
        <v>0.486711</v>
      </c>
      <c r="N159" s="201">
        <f t="shared" si="57"/>
        <v>0.486711</v>
      </c>
      <c r="O159" s="201">
        <f>INDEX('[4]TS BYDem'!$O$10:$O$203,MATCH(D159,'[4]TS BYDem'!$D$10:$D$203,0))</f>
        <v>0.486711</v>
      </c>
      <c r="P159" s="194">
        <f t="shared" ca="1" si="55"/>
        <v>0.47691144966442955</v>
      </c>
      <c r="Q159" s="194">
        <f t="shared" ca="1" si="55"/>
        <v>0.45077931543624161</v>
      </c>
      <c r="R159" s="194">
        <f t="shared" ca="1" si="55"/>
        <v>0.36993302516778526</v>
      </c>
      <c r="S159" s="194">
        <f t="shared" ca="1" si="55"/>
        <v>0.38299909228187923</v>
      </c>
      <c r="T159" s="194">
        <f t="shared" ca="1" si="55"/>
        <v>0.38463235067114093</v>
      </c>
      <c r="U159" s="194">
        <f t="shared" ca="1" si="55"/>
        <v>0.38708223825503357</v>
      </c>
      <c r="V159" s="194">
        <f t="shared" ca="1" si="55"/>
        <v>0.3895321258389261</v>
      </c>
      <c r="W159" s="194">
        <f t="shared" ca="1" si="55"/>
        <v>0.39524853020134226</v>
      </c>
      <c r="X159" s="194">
        <f t="shared" ca="1" si="55"/>
        <v>0.40913122651006711</v>
      </c>
      <c r="Y159" s="194">
        <f t="shared" ca="1" si="55"/>
        <v>0.42546381040268455</v>
      </c>
      <c r="Z159" s="194">
        <f t="shared" ca="1" si="55"/>
        <v>0.44506291107382545</v>
      </c>
      <c r="AA159" s="194">
        <f t="shared" ca="1" si="55"/>
        <v>0.46057886577181195</v>
      </c>
      <c r="AB159" s="194">
        <f t="shared" ca="1" si="55"/>
        <v>0.48017796644295291</v>
      </c>
      <c r="AC159" s="194">
        <f t="shared" ca="1" si="55"/>
        <v>0.4965105503355704</v>
      </c>
      <c r="AD159" s="194">
        <f t="shared" ca="1" si="55"/>
        <v>0.50712672986577167</v>
      </c>
      <c r="AE159" s="194">
        <f t="shared" ca="1" si="55"/>
        <v>0.51937616778523477</v>
      </c>
      <c r="AF159" s="194">
        <f t="shared" ca="1" si="55"/>
        <v>0.53244223489932863</v>
      </c>
      <c r="AG159" s="194">
        <f t="shared" ca="1" si="55"/>
        <v>0.54387504362416084</v>
      </c>
      <c r="AH159" s="194">
        <f t="shared" ca="1" si="55"/>
        <v>0.55775773993288569</v>
      </c>
      <c r="AI159" s="194">
        <f t="shared" ca="1" si="55"/>
        <v>0.57164043624161043</v>
      </c>
      <c r="AJ159" s="194">
        <f t="shared" ca="1" si="55"/>
        <v>0.58552313255033528</v>
      </c>
      <c r="AK159" s="194">
        <f t="shared" ca="1" si="55"/>
        <v>0.59940582885906002</v>
      </c>
      <c r="AL159" s="194">
        <f t="shared" ca="1" si="55"/>
        <v>0.61410515436241575</v>
      </c>
      <c r="AM159" s="194">
        <f t="shared" ca="1" si="55"/>
        <v>0.65983638926174459</v>
      </c>
      <c r="AN159" s="194">
        <f t="shared" ca="1" si="55"/>
        <v>0.72026694966442917</v>
      </c>
      <c r="AO159" s="194">
        <f t="shared" ca="1" si="55"/>
        <v>0.82397885738254795</v>
      </c>
      <c r="AP159" s="194">
        <f t="shared" ca="1" si="55"/>
        <v>0.93014065268456214</v>
      </c>
    </row>
    <row r="160" spans="1:42">
      <c r="A160" s="59" t="str">
        <f>'[4]TS BYDem'!A99</f>
        <v/>
      </c>
      <c r="B160" s="194" t="s">
        <v>288</v>
      </c>
      <c r="C160" s="194" t="s">
        <v>137</v>
      </c>
      <c r="D160" s="194" t="str">
        <f>'[4]TS BYDem'!D99</f>
        <v>INFP</v>
      </c>
      <c r="E160" s="194" t="s">
        <v>137</v>
      </c>
      <c r="F160" s="194" t="s">
        <v>137</v>
      </c>
      <c r="G160" s="194" t="s">
        <v>137</v>
      </c>
      <c r="H160" s="194" t="s">
        <v>137</v>
      </c>
      <c r="I160" s="194">
        <v>0</v>
      </c>
      <c r="J160" s="194">
        <f>INDEX('[4]TS BYDem'!$J$10:$J$203,MATCH(D160,'[4]TS BYDem'!$D$10:$D$203,0))</f>
        <v>0</v>
      </c>
      <c r="K160" s="194">
        <f t="shared" ca="1" si="58"/>
        <v>0</v>
      </c>
      <c r="L160" s="194">
        <f t="shared" ca="1" si="55"/>
        <v>0</v>
      </c>
      <c r="M160" s="201">
        <f t="shared" si="56"/>
        <v>0</v>
      </c>
      <c r="N160" s="201">
        <f t="shared" si="57"/>
        <v>0</v>
      </c>
      <c r="O160" s="201">
        <f>INDEX('[4]TS BYDem'!$O$10:$O$203,MATCH(D160,'[4]TS BYDem'!$D$10:$D$203,0))</f>
        <v>0</v>
      </c>
      <c r="P160" s="194">
        <f t="shared" ca="1" si="55"/>
        <v>0</v>
      </c>
      <c r="Q160" s="194">
        <f t="shared" ca="1" si="55"/>
        <v>0</v>
      </c>
      <c r="R160" s="194">
        <f t="shared" ca="1" si="55"/>
        <v>0</v>
      </c>
      <c r="S160" s="194">
        <f t="shared" ca="1" si="55"/>
        <v>0</v>
      </c>
      <c r="T160" s="194">
        <f t="shared" ca="1" si="55"/>
        <v>0</v>
      </c>
      <c r="U160" s="194">
        <f t="shared" ca="1" si="55"/>
        <v>0</v>
      </c>
      <c r="V160" s="194">
        <f t="shared" ca="1" si="55"/>
        <v>0</v>
      </c>
      <c r="W160" s="194">
        <f t="shared" ca="1" si="55"/>
        <v>0</v>
      </c>
      <c r="X160" s="194">
        <f t="shared" ca="1" si="55"/>
        <v>0</v>
      </c>
      <c r="Y160" s="194">
        <f t="shared" ca="1" si="55"/>
        <v>0</v>
      </c>
      <c r="Z160" s="194">
        <f t="shared" ca="1" si="55"/>
        <v>0</v>
      </c>
      <c r="AA160" s="194">
        <f t="shared" ca="1" si="55"/>
        <v>0</v>
      </c>
      <c r="AB160" s="194">
        <f t="shared" ca="1" si="55"/>
        <v>0</v>
      </c>
      <c r="AC160" s="194">
        <f t="shared" ca="1" si="55"/>
        <v>0</v>
      </c>
      <c r="AD160" s="194">
        <f t="shared" ca="1" si="55"/>
        <v>0</v>
      </c>
      <c r="AE160" s="194">
        <f t="shared" ca="1" si="55"/>
        <v>0</v>
      </c>
      <c r="AF160" s="194">
        <f t="shared" ca="1" si="55"/>
        <v>0</v>
      </c>
      <c r="AG160" s="194">
        <f t="shared" ca="1" si="55"/>
        <v>0</v>
      </c>
      <c r="AH160" s="194">
        <f t="shared" ca="1" si="55"/>
        <v>0</v>
      </c>
      <c r="AI160" s="194">
        <f t="shared" ca="1" si="55"/>
        <v>0</v>
      </c>
      <c r="AJ160" s="194">
        <f t="shared" ca="1" si="55"/>
        <v>0</v>
      </c>
      <c r="AK160" s="194">
        <f t="shared" ca="1" si="55"/>
        <v>0</v>
      </c>
      <c r="AL160" s="194">
        <f t="shared" ca="1" si="55"/>
        <v>0</v>
      </c>
      <c r="AM160" s="194">
        <f t="shared" ca="1" si="55"/>
        <v>0</v>
      </c>
      <c r="AN160" s="194">
        <f t="shared" ca="1" si="55"/>
        <v>0</v>
      </c>
      <c r="AO160" s="194">
        <f t="shared" ca="1" si="55"/>
        <v>0</v>
      </c>
      <c r="AP160" s="194">
        <f t="shared" ca="1" si="55"/>
        <v>0</v>
      </c>
    </row>
    <row r="161" spans="1:42">
      <c r="A161" s="59" t="str">
        <f>'[4]TS BYDem'!A100</f>
        <v/>
      </c>
      <c r="B161" s="194" t="s">
        <v>288</v>
      </c>
      <c r="C161" s="194" t="s">
        <v>137</v>
      </c>
      <c r="D161" s="194" t="str">
        <f>'[4]TS BYDem'!D100</f>
        <v>INFF</v>
      </c>
      <c r="E161" s="194" t="s">
        <v>137</v>
      </c>
      <c r="F161" s="194" t="s">
        <v>137</v>
      </c>
      <c r="G161" s="194" t="s">
        <v>137</v>
      </c>
      <c r="H161" s="194" t="s">
        <v>137</v>
      </c>
      <c r="I161" s="194">
        <v>0</v>
      </c>
      <c r="J161" s="194">
        <f>INDEX('[4]TS BYDem'!$J$10:$J$203,MATCH(D161,'[4]TS BYDem'!$D$10:$D$203,0))</f>
        <v>0</v>
      </c>
      <c r="K161" s="194">
        <f t="shared" ca="1" si="58"/>
        <v>0</v>
      </c>
      <c r="L161" s="194">
        <f t="shared" ca="1" si="55"/>
        <v>0</v>
      </c>
      <c r="M161" s="201">
        <f t="shared" si="56"/>
        <v>0</v>
      </c>
      <c r="N161" s="201">
        <f t="shared" si="57"/>
        <v>0</v>
      </c>
      <c r="O161" s="201">
        <f>INDEX('[4]TS BYDem'!$O$10:$O$203,MATCH(D161,'[4]TS BYDem'!$D$10:$D$203,0))</f>
        <v>0</v>
      </c>
      <c r="P161" s="194">
        <f t="shared" ca="1" si="55"/>
        <v>0</v>
      </c>
      <c r="Q161" s="194">
        <f t="shared" ca="1" si="55"/>
        <v>0</v>
      </c>
      <c r="R161" s="194">
        <f t="shared" ca="1" si="55"/>
        <v>0</v>
      </c>
      <c r="S161" s="194">
        <f t="shared" ca="1" si="55"/>
        <v>0</v>
      </c>
      <c r="T161" s="194">
        <f t="shared" ca="1" si="55"/>
        <v>0</v>
      </c>
      <c r="U161" s="194">
        <f t="shared" ca="1" si="55"/>
        <v>0</v>
      </c>
      <c r="V161" s="194">
        <f t="shared" ca="1" si="55"/>
        <v>0</v>
      </c>
      <c r="W161" s="194">
        <f t="shared" ca="1" si="55"/>
        <v>0</v>
      </c>
      <c r="X161" s="194">
        <f t="shared" ca="1" si="55"/>
        <v>0</v>
      </c>
      <c r="Y161" s="194">
        <f t="shared" ca="1" si="55"/>
        <v>0</v>
      </c>
      <c r="Z161" s="194">
        <f t="shared" ca="1" si="55"/>
        <v>0</v>
      </c>
      <c r="AA161" s="194">
        <f t="shared" ca="1" si="55"/>
        <v>0</v>
      </c>
      <c r="AB161" s="194">
        <f t="shared" ca="1" si="55"/>
        <v>0</v>
      </c>
      <c r="AC161" s="194">
        <f t="shared" ca="1" si="55"/>
        <v>0</v>
      </c>
      <c r="AD161" s="194">
        <f t="shared" ca="1" si="55"/>
        <v>0</v>
      </c>
      <c r="AE161" s="194">
        <f t="shared" ca="1" si="55"/>
        <v>0</v>
      </c>
      <c r="AF161" s="194">
        <f t="shared" ca="1" si="55"/>
        <v>0</v>
      </c>
      <c r="AG161" s="194">
        <f t="shared" ca="1" si="55"/>
        <v>0</v>
      </c>
      <c r="AH161" s="194">
        <f t="shared" ca="1" si="55"/>
        <v>0</v>
      </c>
      <c r="AI161" s="194">
        <f t="shared" ca="1" si="55"/>
        <v>0</v>
      </c>
      <c r="AJ161" s="194">
        <f t="shared" ca="1" si="55"/>
        <v>0</v>
      </c>
      <c r="AK161" s="194">
        <f t="shared" ca="1" si="55"/>
        <v>0</v>
      </c>
      <c r="AL161" s="194">
        <f t="shared" ca="1" si="55"/>
        <v>0</v>
      </c>
      <c r="AM161" s="194">
        <f t="shared" ca="1" si="55"/>
        <v>0</v>
      </c>
      <c r="AN161" s="194">
        <f t="shared" ca="1" si="55"/>
        <v>0</v>
      </c>
      <c r="AO161" s="194">
        <f t="shared" ca="1" si="55"/>
        <v>0</v>
      </c>
      <c r="AP161" s="194">
        <f t="shared" ca="1" si="55"/>
        <v>0</v>
      </c>
    </row>
    <row r="162" spans="1:42">
      <c r="A162" s="59" t="str">
        <f>'[4]TS BYDem'!A101</f>
        <v/>
      </c>
      <c r="B162" s="194" t="s">
        <v>288</v>
      </c>
      <c r="C162" s="194" t="s">
        <v>137</v>
      </c>
      <c r="D162" s="194" t="str">
        <f>'[4]TS BYDem'!D101</f>
        <v>INFO</v>
      </c>
      <c r="E162" s="194" t="s">
        <v>137</v>
      </c>
      <c r="F162" s="194" t="s">
        <v>137</v>
      </c>
      <c r="G162" s="194" t="s">
        <v>137</v>
      </c>
      <c r="H162" s="194" t="s">
        <v>137</v>
      </c>
      <c r="I162" s="194">
        <v>0</v>
      </c>
      <c r="J162" s="194">
        <f>INDEX('[4]TS BYDem'!$J$10:$J$203,MATCH(D162,'[4]TS BYDem'!$D$10:$D$203,0))</f>
        <v>3.7402169397795855</v>
      </c>
      <c r="K162" s="194">
        <f t="shared" ca="1" si="58"/>
        <v>3.1186972109141351</v>
      </c>
      <c r="L162" s="194">
        <f t="shared" ca="1" si="55"/>
        <v>2.6858531140256963</v>
      </c>
      <c r="M162" s="201">
        <f t="shared" si="56"/>
        <v>3.0284240000000007</v>
      </c>
      <c r="N162" s="201">
        <f t="shared" si="57"/>
        <v>3.0284240000000007</v>
      </c>
      <c r="O162" s="201">
        <f>INDEX('[4]TS BYDem'!$O$10:$O$203,MATCH(D162,'[4]TS BYDem'!$D$10:$D$203,0))</f>
        <v>3.0284240000000007</v>
      </c>
      <c r="P162" s="194">
        <f t="shared" ca="1" si="55"/>
        <v>2.9674490201342287</v>
      </c>
      <c r="Q162" s="194">
        <f t="shared" ca="1" si="55"/>
        <v>2.8048490738255039</v>
      </c>
      <c r="R162" s="194">
        <f t="shared" ca="1" si="55"/>
        <v>2.3018054899328866</v>
      </c>
      <c r="S162" s="194">
        <f t="shared" ca="1" si="55"/>
        <v>2.383105463087249</v>
      </c>
      <c r="T162" s="194">
        <f t="shared" ca="1" si="55"/>
        <v>2.3932679597315443</v>
      </c>
      <c r="U162" s="194">
        <f t="shared" ca="1" si="55"/>
        <v>2.4085117046979874</v>
      </c>
      <c r="V162" s="194">
        <f t="shared" ca="1" si="55"/>
        <v>2.42375544966443</v>
      </c>
      <c r="W162" s="194">
        <f t="shared" ca="1" si="55"/>
        <v>2.4593241879194641</v>
      </c>
      <c r="X162" s="194">
        <f t="shared" ca="1" si="55"/>
        <v>2.5457054093959743</v>
      </c>
      <c r="Y162" s="194">
        <f t="shared" ca="1" si="55"/>
        <v>2.6473303758389273</v>
      </c>
      <c r="Z162" s="194">
        <f t="shared" ca="1" si="55"/>
        <v>2.7692803355704707</v>
      </c>
      <c r="AA162" s="194">
        <f t="shared" ca="1" si="55"/>
        <v>2.8658240536912758</v>
      </c>
      <c r="AB162" s="194">
        <f t="shared" ca="1" si="55"/>
        <v>2.9877740134228197</v>
      </c>
      <c r="AC162" s="194">
        <f t="shared" ca="1" si="55"/>
        <v>3.0893989798657731</v>
      </c>
      <c r="AD162" s="194">
        <f t="shared" ca="1" si="55"/>
        <v>3.1554552080536924</v>
      </c>
      <c r="AE162" s="194">
        <f t="shared" ca="1" si="55"/>
        <v>3.2316739328859074</v>
      </c>
      <c r="AF162" s="194">
        <f t="shared" ca="1" si="55"/>
        <v>3.312973906040269</v>
      </c>
      <c r="AG162" s="194">
        <f t="shared" ca="1" si="55"/>
        <v>3.3841113825503366</v>
      </c>
      <c r="AH162" s="194">
        <f t="shared" ca="1" si="55"/>
        <v>3.4704926040268469</v>
      </c>
      <c r="AI162" s="194">
        <f t="shared" ca="1" si="55"/>
        <v>3.5568738255033567</v>
      </c>
      <c r="AJ162" s="194">
        <f t="shared" ca="1" si="55"/>
        <v>3.6432550469798666</v>
      </c>
      <c r="AK162" s="194">
        <f t="shared" ca="1" si="55"/>
        <v>3.7296362684563764</v>
      </c>
      <c r="AL162" s="194">
        <f t="shared" ca="1" si="55"/>
        <v>3.8210987382550341</v>
      </c>
      <c r="AM162" s="194">
        <f t="shared" ca="1" si="55"/>
        <v>4.1056486442953029</v>
      </c>
      <c r="AN162" s="194">
        <f t="shared" ca="1" si="55"/>
        <v>4.4816610201342293</v>
      </c>
      <c r="AO162" s="194">
        <f t="shared" ca="1" si="55"/>
        <v>5.1269795570469689</v>
      </c>
      <c r="AP162" s="194">
        <f t="shared" ca="1" si="55"/>
        <v>5.7875418389261695</v>
      </c>
    </row>
    <row r="163" spans="1:42">
      <c r="A163" s="59" t="str">
        <f>'[4]TS BYDem'!A102</f>
        <v/>
      </c>
      <c r="B163" s="194" t="s">
        <v>288</v>
      </c>
      <c r="C163" s="194" t="s">
        <v>137</v>
      </c>
      <c r="D163" s="194" t="str">
        <f>'[4]TS BYDem'!D102</f>
        <v>INFE</v>
      </c>
      <c r="E163" s="194" t="s">
        <v>137</v>
      </c>
      <c r="F163" s="194" t="s">
        <v>137</v>
      </c>
      <c r="G163" s="194" t="s">
        <v>137</v>
      </c>
      <c r="H163" s="194" t="s">
        <v>137</v>
      </c>
      <c r="I163" s="194">
        <v>0</v>
      </c>
      <c r="J163" s="194">
        <f>INDEX('[4]TS BYDem'!$J$10:$J$203,MATCH(D163,'[4]TS BYDem'!$D$10:$D$203,0))</f>
        <v>45.684078335879221</v>
      </c>
      <c r="K163" s="194">
        <f t="shared" ca="1" si="58"/>
        <v>38.092658790451225</v>
      </c>
      <c r="L163" s="194">
        <f t="shared" ca="1" si="55"/>
        <v>32.805777321313869</v>
      </c>
      <c r="M163" s="201">
        <f t="shared" si="56"/>
        <v>36.990036000000003</v>
      </c>
      <c r="N163" s="201">
        <f t="shared" si="57"/>
        <v>36.990036000000003</v>
      </c>
      <c r="O163" s="201">
        <f>INDEX('[4]TS BYDem'!$O$10:$O$203,MATCH(D163,'[4]TS BYDem'!$D$10:$D$203,0))</f>
        <v>36.990036000000003</v>
      </c>
      <c r="P163" s="194">
        <f t="shared" ca="1" si="55"/>
        <v>36.245270174496646</v>
      </c>
      <c r="Q163" s="194">
        <f t="shared" ca="1" si="55"/>
        <v>34.259227973154367</v>
      </c>
      <c r="R163" s="194">
        <f t="shared" ca="1" si="55"/>
        <v>28.114909912751685</v>
      </c>
      <c r="S163" s="194">
        <f t="shared" ca="1" si="55"/>
        <v>29.107931013422824</v>
      </c>
      <c r="T163" s="194">
        <f t="shared" ca="1" si="55"/>
        <v>29.232058651006714</v>
      </c>
      <c r="U163" s="194">
        <f t="shared" ca="1" si="55"/>
        <v>29.418250107382551</v>
      </c>
      <c r="V163" s="194">
        <f t="shared" ca="1" si="55"/>
        <v>29.604441563758385</v>
      </c>
      <c r="W163" s="194">
        <f t="shared" ca="1" si="55"/>
        <v>30.038888295302012</v>
      </c>
      <c r="X163" s="194">
        <f t="shared" ca="1" si="55"/>
        <v>31.0939732147651</v>
      </c>
      <c r="Y163" s="194">
        <f t="shared" ca="1" si="55"/>
        <v>32.335249590604022</v>
      </c>
      <c r="Z163" s="194">
        <f t="shared" ca="1" si="55"/>
        <v>33.824781241610729</v>
      </c>
      <c r="AA163" s="194">
        <f t="shared" ca="1" si="55"/>
        <v>35.003993798657703</v>
      </c>
      <c r="AB163" s="194">
        <f t="shared" ca="1" si="55"/>
        <v>36.493525449664418</v>
      </c>
      <c r="AC163" s="194">
        <f t="shared" ca="1" si="55"/>
        <v>37.734801825503347</v>
      </c>
      <c r="AD163" s="194">
        <f t="shared" ca="1" si="55"/>
        <v>38.541631469798645</v>
      </c>
      <c r="AE163" s="194">
        <f t="shared" ca="1" si="55"/>
        <v>39.47258875167784</v>
      </c>
      <c r="AF163" s="194">
        <f t="shared" ca="1" si="55"/>
        <v>40.465609852348969</v>
      </c>
      <c r="AG163" s="194">
        <f t="shared" ca="1" si="55"/>
        <v>41.334503315436223</v>
      </c>
      <c r="AH163" s="194">
        <f t="shared" ca="1" si="55"/>
        <v>42.389588234899314</v>
      </c>
      <c r="AI163" s="194">
        <f t="shared" ca="1" si="55"/>
        <v>43.444673154362398</v>
      </c>
      <c r="AJ163" s="194">
        <f t="shared" ca="1" si="55"/>
        <v>44.499758073825483</v>
      </c>
      <c r="AK163" s="194">
        <f t="shared" ca="1" si="55"/>
        <v>45.554842993288567</v>
      </c>
      <c r="AL163" s="194">
        <f t="shared" ca="1" si="55"/>
        <v>46.671991731543599</v>
      </c>
      <c r="AM163" s="194">
        <f t="shared" ca="1" si="55"/>
        <v>50.147565583892593</v>
      </c>
      <c r="AN163" s="194">
        <f t="shared" ca="1" si="55"/>
        <v>54.740288174496619</v>
      </c>
      <c r="AO163" s="194">
        <f t="shared" ca="1" si="55"/>
        <v>62.622393161073646</v>
      </c>
      <c r="AP163" s="194">
        <f t="shared" ca="1" si="55"/>
        <v>70.69068960402673</v>
      </c>
    </row>
    <row r="164" spans="1:42">
      <c r="A164" s="59" t="str">
        <f>'[4]TS BYDem'!A103</f>
        <v>*</v>
      </c>
      <c r="B164" s="194" t="s">
        <v>288</v>
      </c>
      <c r="C164" s="194" t="s">
        <v>137</v>
      </c>
      <c r="D164" s="194" t="str">
        <f>'[4]TS BYDem'!D103</f>
        <v xml:space="preserve"> </v>
      </c>
      <c r="E164" s="194" t="s">
        <v>137</v>
      </c>
      <c r="F164" s="194" t="s">
        <v>137</v>
      </c>
      <c r="G164" s="194" t="s">
        <v>137</v>
      </c>
      <c r="H164" s="194" t="s">
        <v>137</v>
      </c>
      <c r="I164" s="194">
        <v>0</v>
      </c>
      <c r="J164" s="194" t="str">
        <f>INDEX('[4]TS BYDem'!$J$10:$J$203,MATCH(D164,'[4]TS BYDem'!$D$10:$D$203,0))</f>
        <v/>
      </c>
      <c r="K164" s="194" t="e">
        <f t="shared" ca="1" si="58"/>
        <v>#VALUE!</v>
      </c>
      <c r="L164" s="194" t="e">
        <f t="shared" ca="1" si="55"/>
        <v>#VALUE!</v>
      </c>
      <c r="M164" s="194" t="e">
        <f t="shared" ca="1" si="55"/>
        <v>#VALUE!</v>
      </c>
      <c r="N164" s="194" t="e">
        <f t="shared" ca="1" si="55"/>
        <v>#VALUE!</v>
      </c>
      <c r="O164" s="194" t="e">
        <f t="shared" ref="O164:AD172" ca="1" si="59">O$154/N$154*N164</f>
        <v>#VALUE!</v>
      </c>
      <c r="P164" s="194" t="e">
        <f t="shared" ca="1" si="59"/>
        <v>#VALUE!</v>
      </c>
      <c r="Q164" s="194" t="e">
        <f t="shared" ca="1" si="59"/>
        <v>#VALUE!</v>
      </c>
      <c r="R164" s="194" t="e">
        <f t="shared" ca="1" si="59"/>
        <v>#VALUE!</v>
      </c>
      <c r="S164" s="194" t="e">
        <f t="shared" ca="1" si="59"/>
        <v>#VALUE!</v>
      </c>
      <c r="T164" s="194" t="e">
        <f t="shared" ca="1" si="59"/>
        <v>#VALUE!</v>
      </c>
      <c r="U164" s="194" t="e">
        <f t="shared" ca="1" si="59"/>
        <v>#VALUE!</v>
      </c>
      <c r="V164" s="194" t="e">
        <f t="shared" ca="1" si="59"/>
        <v>#VALUE!</v>
      </c>
      <c r="W164" s="194" t="e">
        <f t="shared" ca="1" si="59"/>
        <v>#VALUE!</v>
      </c>
      <c r="X164" s="194" t="e">
        <f t="shared" ca="1" si="59"/>
        <v>#VALUE!</v>
      </c>
      <c r="Y164" s="194" t="e">
        <f t="shared" ca="1" si="59"/>
        <v>#VALUE!</v>
      </c>
      <c r="Z164" s="194" t="e">
        <f t="shared" ca="1" si="59"/>
        <v>#VALUE!</v>
      </c>
      <c r="AA164" s="194" t="e">
        <f t="shared" ca="1" si="59"/>
        <v>#VALUE!</v>
      </c>
      <c r="AB164" s="194" t="e">
        <f t="shared" ca="1" si="59"/>
        <v>#VALUE!</v>
      </c>
      <c r="AC164" s="194" t="e">
        <f t="shared" ca="1" si="59"/>
        <v>#VALUE!</v>
      </c>
      <c r="AD164" s="194" t="e">
        <f t="shared" ca="1" si="59"/>
        <v>#VALUE!</v>
      </c>
      <c r="AE164" s="194" t="e">
        <f t="shared" ref="AE164:AP172" ca="1" si="60">AE$154/AD$154*AD164</f>
        <v>#VALUE!</v>
      </c>
      <c r="AF164" s="194" t="e">
        <f t="shared" ca="1" si="60"/>
        <v>#VALUE!</v>
      </c>
      <c r="AG164" s="194" t="e">
        <f t="shared" ca="1" si="60"/>
        <v>#VALUE!</v>
      </c>
      <c r="AH164" s="194" t="e">
        <f t="shared" ca="1" si="60"/>
        <v>#VALUE!</v>
      </c>
      <c r="AI164" s="194" t="e">
        <f t="shared" ca="1" si="60"/>
        <v>#VALUE!</v>
      </c>
      <c r="AJ164" s="194" t="e">
        <f t="shared" ca="1" si="60"/>
        <v>#VALUE!</v>
      </c>
      <c r="AK164" s="194" t="e">
        <f t="shared" ca="1" si="60"/>
        <v>#VALUE!</v>
      </c>
      <c r="AL164" s="194" t="e">
        <f t="shared" ca="1" si="60"/>
        <v>#VALUE!</v>
      </c>
      <c r="AM164" s="194" t="e">
        <f t="shared" ca="1" si="60"/>
        <v>#VALUE!</v>
      </c>
      <c r="AN164" s="194" t="e">
        <f t="shared" ca="1" si="60"/>
        <v>#VALUE!</v>
      </c>
      <c r="AO164" s="194" t="e">
        <f t="shared" ca="1" si="60"/>
        <v>#VALUE!</v>
      </c>
      <c r="AP164" s="194" t="e">
        <f t="shared" ca="1" si="60"/>
        <v>#VALUE!</v>
      </c>
    </row>
    <row r="165" spans="1:42">
      <c r="A165" s="59" t="str">
        <f>'[4]TS BYDem'!A104</f>
        <v/>
      </c>
      <c r="B165" s="194" t="s">
        <v>288</v>
      </c>
      <c r="C165" s="194" t="s">
        <v>137</v>
      </c>
      <c r="D165" s="194" t="str">
        <f>'[4]TS BYDem'!D104</f>
        <v>INFS</v>
      </c>
      <c r="E165" s="194" t="s">
        <v>137</v>
      </c>
      <c r="F165" s="194" t="s">
        <v>137</v>
      </c>
      <c r="G165" s="194" t="s">
        <v>137</v>
      </c>
      <c r="H165" s="194" t="s">
        <v>137</v>
      </c>
      <c r="I165" s="194">
        <v>0</v>
      </c>
      <c r="J165" s="194">
        <f>INDEX('[4]TS BYDem'!$J$10:$J$203,MATCH(D165,'[4]TS BYDem'!$D$10:$D$203,0))</f>
        <v>2.487856608</v>
      </c>
      <c r="K165" s="194">
        <f t="shared" ca="1" si="58"/>
        <v>2.0744442339703264</v>
      </c>
      <c r="L165" s="194">
        <f t="shared" ca="1" si="58"/>
        <v>1.7865320449139466</v>
      </c>
      <c r="M165" s="201">
        <f t="shared" ref="M165" si="61">O165</f>
        <v>0.65368000000000004</v>
      </c>
      <c r="N165" s="201">
        <f t="shared" ref="N165" si="62">O165</f>
        <v>0.65368000000000004</v>
      </c>
      <c r="O165" s="201">
        <f>INDEX('[4]TS BYDem'!$O$10:$O$203,MATCH(D165,'[4]TS BYDem'!$D$10:$D$203,0))</f>
        <v>0.65368000000000004</v>
      </c>
      <c r="P165" s="194">
        <f t="shared" ca="1" si="59"/>
        <v>0.64051865771812089</v>
      </c>
      <c r="Q165" s="194">
        <f t="shared" ca="1" si="59"/>
        <v>0.60542174496644308</v>
      </c>
      <c r="R165" s="194">
        <f t="shared" ca="1" si="59"/>
        <v>0.49684067114093977</v>
      </c>
      <c r="S165" s="194">
        <f t="shared" ca="1" si="59"/>
        <v>0.51438912751677868</v>
      </c>
      <c r="T165" s="194">
        <f t="shared" ca="1" si="59"/>
        <v>0.51658268456375844</v>
      </c>
      <c r="U165" s="194">
        <f t="shared" ca="1" si="59"/>
        <v>0.5198730201342282</v>
      </c>
      <c r="V165" s="194">
        <f t="shared" ca="1" si="59"/>
        <v>0.52316335570469785</v>
      </c>
      <c r="W165" s="194">
        <f t="shared" ca="1" si="59"/>
        <v>0.53084080536912748</v>
      </c>
      <c r="X165" s="194">
        <f t="shared" ca="1" si="59"/>
        <v>0.54948604026845638</v>
      </c>
      <c r="Y165" s="194">
        <f t="shared" ca="1" si="59"/>
        <v>0.57142161073825504</v>
      </c>
      <c r="Z165" s="194">
        <f t="shared" ca="1" si="59"/>
        <v>0.59774429530201345</v>
      </c>
      <c r="AA165" s="194">
        <f t="shared" ca="1" si="59"/>
        <v>0.61858308724832212</v>
      </c>
      <c r="AB165" s="194">
        <f t="shared" ca="1" si="59"/>
        <v>0.64490577181208053</v>
      </c>
      <c r="AC165" s="194">
        <f t="shared" ca="1" si="59"/>
        <v>0.66684134228187919</v>
      </c>
      <c r="AD165" s="194">
        <f t="shared" ca="1" si="59"/>
        <v>0.68109946308724822</v>
      </c>
      <c r="AE165" s="194">
        <f t="shared" ca="1" si="60"/>
        <v>0.69755114093959725</v>
      </c>
      <c r="AF165" s="194">
        <f t="shared" ca="1" si="60"/>
        <v>0.71509959731543604</v>
      </c>
      <c r="AG165" s="194">
        <f t="shared" ca="1" si="60"/>
        <v>0.73045449664429518</v>
      </c>
      <c r="AH165" s="194">
        <f t="shared" ca="1" si="60"/>
        <v>0.74909973154362408</v>
      </c>
      <c r="AI165" s="194">
        <f t="shared" ca="1" si="60"/>
        <v>0.76774496644295287</v>
      </c>
      <c r="AJ165" s="194">
        <f t="shared" ca="1" si="60"/>
        <v>0.78639020134228166</v>
      </c>
      <c r="AK165" s="194">
        <f t="shared" ca="1" si="60"/>
        <v>0.80503543624161045</v>
      </c>
      <c r="AL165" s="194">
        <f t="shared" ca="1" si="60"/>
        <v>0.82477744966442923</v>
      </c>
      <c r="AM165" s="194">
        <f t="shared" ca="1" si="60"/>
        <v>0.88619704697986545</v>
      </c>
      <c r="AN165" s="194">
        <f t="shared" ca="1" si="60"/>
        <v>0.96735865771812057</v>
      </c>
      <c r="AO165" s="194">
        <f t="shared" ca="1" si="60"/>
        <v>1.1066495302013393</v>
      </c>
      <c r="AP165" s="194">
        <f t="shared" ca="1" si="60"/>
        <v>1.2492307382550316</v>
      </c>
    </row>
    <row r="166" spans="1:42">
      <c r="A166" s="59" t="str">
        <f>'[4]TS BYDem'!A105</f>
        <v>*</v>
      </c>
      <c r="B166" s="194" t="s">
        <v>288</v>
      </c>
      <c r="C166" s="194" t="s">
        <v>137</v>
      </c>
      <c r="D166" s="194" t="str">
        <f>'[4]TS BYDem'!D105</f>
        <v>INFS</v>
      </c>
      <c r="E166" s="194" t="s">
        <v>137</v>
      </c>
      <c r="F166" s="194" t="s">
        <v>137</v>
      </c>
      <c r="G166" s="194" t="s">
        <v>137</v>
      </c>
      <c r="H166" s="194" t="s">
        <v>137</v>
      </c>
      <c r="I166" s="194">
        <v>0</v>
      </c>
      <c r="J166" s="194">
        <f>INDEX('[4]TS BYDem'!$J$10:$J$203,MATCH(D166,'[4]TS BYDem'!$D$10:$D$203,0))</f>
        <v>2.487856608</v>
      </c>
      <c r="K166" s="194">
        <f t="shared" ca="1" si="58"/>
        <v>2.0744442339703264</v>
      </c>
      <c r="L166" s="194">
        <f t="shared" ca="1" si="58"/>
        <v>1.7865320449139466</v>
      </c>
      <c r="M166" s="194">
        <f t="shared" ca="1" si="58"/>
        <v>1.6856397393471809</v>
      </c>
      <c r="N166" s="194">
        <f t="shared" ca="1" si="58"/>
        <v>1.5822866458397624</v>
      </c>
      <c r="O166" s="194">
        <f t="shared" ca="1" si="59"/>
        <v>1.4666296126290801</v>
      </c>
      <c r="P166" s="194">
        <f t="shared" ca="1" si="59"/>
        <v>1.4371001573412463</v>
      </c>
      <c r="Q166" s="194">
        <f t="shared" ca="1" si="59"/>
        <v>1.3583549432403561</v>
      </c>
      <c r="R166" s="194">
        <f t="shared" ca="1" si="59"/>
        <v>1.1147369371157272</v>
      </c>
      <c r="S166" s="194">
        <f t="shared" ca="1" si="59"/>
        <v>1.1541095441661722</v>
      </c>
      <c r="T166" s="194">
        <f t="shared" ca="1" si="59"/>
        <v>1.1590311200474777</v>
      </c>
      <c r="U166" s="194">
        <f t="shared" ca="1" si="59"/>
        <v>1.1664134838694362</v>
      </c>
      <c r="V166" s="194">
        <f t="shared" ca="1" si="59"/>
        <v>1.1737958476913946</v>
      </c>
      <c r="W166" s="194">
        <f t="shared" ca="1" si="59"/>
        <v>1.1910213632759645</v>
      </c>
      <c r="X166" s="194">
        <f t="shared" ca="1" si="59"/>
        <v>1.2328547582670626</v>
      </c>
      <c r="Y166" s="194">
        <f t="shared" ca="1" si="59"/>
        <v>1.282070517080119</v>
      </c>
      <c r="Z166" s="194">
        <f t="shared" ca="1" si="59"/>
        <v>1.3411294276557866</v>
      </c>
      <c r="AA166" s="194">
        <f t="shared" ca="1" si="59"/>
        <v>1.3878843985281899</v>
      </c>
      <c r="AB166" s="194">
        <f t="shared" ca="1" si="59"/>
        <v>1.4469433091038577</v>
      </c>
      <c r="AC166" s="194">
        <f t="shared" ca="1" si="59"/>
        <v>1.4961590679169141</v>
      </c>
      <c r="AD166" s="194">
        <f t="shared" ca="1" si="59"/>
        <v>1.5281493111454008</v>
      </c>
      <c r="AE166" s="194">
        <f t="shared" ca="1" si="60"/>
        <v>1.5650611302551931</v>
      </c>
      <c r="AF166" s="194">
        <f t="shared" ca="1" si="60"/>
        <v>1.6044337373056379</v>
      </c>
      <c r="AG166" s="194">
        <f t="shared" ca="1" si="60"/>
        <v>1.6388847684747776</v>
      </c>
      <c r="AH166" s="194">
        <f t="shared" ca="1" si="60"/>
        <v>1.6807181634658757</v>
      </c>
      <c r="AI166" s="194">
        <f t="shared" ca="1" si="60"/>
        <v>1.7225515584569735</v>
      </c>
      <c r="AJ166" s="194">
        <f t="shared" ca="1" si="60"/>
        <v>1.7643849534480713</v>
      </c>
      <c r="AK166" s="194">
        <f t="shared" ca="1" si="60"/>
        <v>1.8062183484391692</v>
      </c>
      <c r="AL166" s="194">
        <f t="shared" ca="1" si="60"/>
        <v>1.8505125313709199</v>
      </c>
      <c r="AM166" s="194">
        <f t="shared" ca="1" si="60"/>
        <v>1.9883166560474779</v>
      </c>
      <c r="AN166" s="194">
        <f t="shared" ca="1" si="60"/>
        <v>2.1704149636557868</v>
      </c>
      <c r="AO166" s="194">
        <f t="shared" ca="1" si="60"/>
        <v>2.4829350321186889</v>
      </c>
      <c r="AP166" s="194">
        <f t="shared" ca="1" si="60"/>
        <v>2.8028374644035581</v>
      </c>
    </row>
    <row r="167" spans="1:42">
      <c r="A167" s="59" t="str">
        <f>'[4]TS BYDem'!A106</f>
        <v>*</v>
      </c>
      <c r="B167" s="194" t="s">
        <v>288</v>
      </c>
      <c r="C167" s="194" t="s">
        <v>137</v>
      </c>
      <c r="D167" s="194" t="str">
        <f>'[4]TS BYDem'!D106</f>
        <v>INFS</v>
      </c>
      <c r="E167" s="194" t="s">
        <v>137</v>
      </c>
      <c r="F167" s="194" t="s">
        <v>137</v>
      </c>
      <c r="G167" s="194" t="s">
        <v>137</v>
      </c>
      <c r="H167" s="194" t="s">
        <v>137</v>
      </c>
      <c r="I167" s="194">
        <v>0</v>
      </c>
      <c r="J167" s="194">
        <f>INDEX('[4]TS BYDem'!$J$10:$J$203,MATCH(D167,'[4]TS BYDem'!$D$10:$D$203,0))</f>
        <v>2.487856608</v>
      </c>
      <c r="K167" s="194">
        <f t="shared" ca="1" si="58"/>
        <v>2.0744442339703264</v>
      </c>
      <c r="L167" s="194">
        <f t="shared" ca="1" si="58"/>
        <v>1.7865320449139466</v>
      </c>
      <c r="M167" s="194">
        <f t="shared" ca="1" si="58"/>
        <v>1.6856397393471809</v>
      </c>
      <c r="N167" s="194">
        <f t="shared" ca="1" si="58"/>
        <v>1.5822866458397624</v>
      </c>
      <c r="O167" s="194">
        <f t="shared" ca="1" si="59"/>
        <v>1.4666296126290801</v>
      </c>
      <c r="P167" s="194">
        <f t="shared" ca="1" si="59"/>
        <v>1.4371001573412463</v>
      </c>
      <c r="Q167" s="194">
        <f t="shared" ca="1" si="59"/>
        <v>1.3583549432403561</v>
      </c>
      <c r="R167" s="194">
        <f t="shared" ca="1" si="59"/>
        <v>1.1147369371157272</v>
      </c>
      <c r="S167" s="194">
        <f t="shared" ca="1" si="59"/>
        <v>1.1541095441661722</v>
      </c>
      <c r="T167" s="194">
        <f t="shared" ca="1" si="59"/>
        <v>1.1590311200474777</v>
      </c>
      <c r="U167" s="194">
        <f t="shared" ca="1" si="59"/>
        <v>1.1664134838694362</v>
      </c>
      <c r="V167" s="194">
        <f t="shared" ca="1" si="59"/>
        <v>1.1737958476913946</v>
      </c>
      <c r="W167" s="194">
        <f t="shared" ca="1" si="59"/>
        <v>1.1910213632759645</v>
      </c>
      <c r="X167" s="194">
        <f t="shared" ca="1" si="59"/>
        <v>1.2328547582670626</v>
      </c>
      <c r="Y167" s="194">
        <f t="shared" ca="1" si="59"/>
        <v>1.282070517080119</v>
      </c>
      <c r="Z167" s="194">
        <f t="shared" ca="1" si="59"/>
        <v>1.3411294276557866</v>
      </c>
      <c r="AA167" s="194">
        <f t="shared" ca="1" si="59"/>
        <v>1.3878843985281899</v>
      </c>
      <c r="AB167" s="194">
        <f t="shared" ca="1" si="59"/>
        <v>1.4469433091038577</v>
      </c>
      <c r="AC167" s="194">
        <f t="shared" ca="1" si="59"/>
        <v>1.4961590679169141</v>
      </c>
      <c r="AD167" s="194">
        <f t="shared" ca="1" si="59"/>
        <v>1.5281493111454008</v>
      </c>
      <c r="AE167" s="194">
        <f t="shared" ca="1" si="60"/>
        <v>1.5650611302551931</v>
      </c>
      <c r="AF167" s="194">
        <f t="shared" ca="1" si="60"/>
        <v>1.6044337373056379</v>
      </c>
      <c r="AG167" s="194">
        <f t="shared" ca="1" si="60"/>
        <v>1.6388847684747776</v>
      </c>
      <c r="AH167" s="194">
        <f t="shared" ca="1" si="60"/>
        <v>1.6807181634658757</v>
      </c>
      <c r="AI167" s="194">
        <f t="shared" ca="1" si="60"/>
        <v>1.7225515584569735</v>
      </c>
      <c r="AJ167" s="194">
        <f t="shared" ca="1" si="60"/>
        <v>1.7643849534480713</v>
      </c>
      <c r="AK167" s="194">
        <f t="shared" ca="1" si="60"/>
        <v>1.8062183484391692</v>
      </c>
      <c r="AL167" s="194">
        <f t="shared" ca="1" si="60"/>
        <v>1.8505125313709199</v>
      </c>
      <c r="AM167" s="194">
        <f t="shared" ca="1" si="60"/>
        <v>1.9883166560474779</v>
      </c>
      <c r="AN167" s="194">
        <f t="shared" ca="1" si="60"/>
        <v>2.1704149636557868</v>
      </c>
      <c r="AO167" s="194">
        <f t="shared" ca="1" si="60"/>
        <v>2.4829350321186889</v>
      </c>
      <c r="AP167" s="194">
        <f t="shared" ca="1" si="60"/>
        <v>2.8028374644035581</v>
      </c>
    </row>
    <row r="168" spans="1:42">
      <c r="A168" s="59" t="str">
        <f>'[4]TS BYDem'!A107</f>
        <v>*</v>
      </c>
      <c r="B168" s="194" t="s">
        <v>288</v>
      </c>
      <c r="C168" s="194" t="s">
        <v>137</v>
      </c>
      <c r="D168" s="194" t="str">
        <f>'[4]TS BYDem'!D107</f>
        <v>INFS</v>
      </c>
      <c r="E168" s="194" t="s">
        <v>137</v>
      </c>
      <c r="F168" s="194" t="s">
        <v>137</v>
      </c>
      <c r="G168" s="194" t="s">
        <v>137</v>
      </c>
      <c r="H168" s="194" t="s">
        <v>137</v>
      </c>
      <c r="I168" s="194">
        <v>0</v>
      </c>
      <c r="J168" s="194">
        <f>INDEX('[4]TS BYDem'!$J$10:$J$203,MATCH(D168,'[4]TS BYDem'!$D$10:$D$203,0))</f>
        <v>2.487856608</v>
      </c>
      <c r="K168" s="194">
        <f t="shared" ca="1" si="58"/>
        <v>2.0744442339703264</v>
      </c>
      <c r="L168" s="194">
        <f t="shared" ca="1" si="58"/>
        <v>1.7865320449139466</v>
      </c>
      <c r="M168" s="194">
        <f t="shared" ca="1" si="58"/>
        <v>1.6856397393471809</v>
      </c>
      <c r="N168" s="194">
        <f t="shared" ca="1" si="58"/>
        <v>1.5822866458397624</v>
      </c>
      <c r="O168" s="194">
        <f t="shared" ca="1" si="59"/>
        <v>1.4666296126290801</v>
      </c>
      <c r="P168" s="194">
        <f t="shared" ca="1" si="59"/>
        <v>1.4371001573412463</v>
      </c>
      <c r="Q168" s="194">
        <f t="shared" ca="1" si="59"/>
        <v>1.3583549432403561</v>
      </c>
      <c r="R168" s="194">
        <f t="shared" ca="1" si="59"/>
        <v>1.1147369371157272</v>
      </c>
      <c r="S168" s="194">
        <f t="shared" ca="1" si="59"/>
        <v>1.1541095441661722</v>
      </c>
      <c r="T168" s="194">
        <f t="shared" ca="1" si="59"/>
        <v>1.1590311200474777</v>
      </c>
      <c r="U168" s="194">
        <f t="shared" ca="1" si="59"/>
        <v>1.1664134838694362</v>
      </c>
      <c r="V168" s="194">
        <f t="shared" ca="1" si="59"/>
        <v>1.1737958476913946</v>
      </c>
      <c r="W168" s="194">
        <f t="shared" ca="1" si="59"/>
        <v>1.1910213632759645</v>
      </c>
      <c r="X168" s="194">
        <f t="shared" ca="1" si="59"/>
        <v>1.2328547582670626</v>
      </c>
      <c r="Y168" s="194">
        <f t="shared" ca="1" si="59"/>
        <v>1.282070517080119</v>
      </c>
      <c r="Z168" s="194">
        <f t="shared" ca="1" si="59"/>
        <v>1.3411294276557866</v>
      </c>
      <c r="AA168" s="194">
        <f t="shared" ca="1" si="59"/>
        <v>1.3878843985281899</v>
      </c>
      <c r="AB168" s="194">
        <f t="shared" ca="1" si="59"/>
        <v>1.4469433091038577</v>
      </c>
      <c r="AC168" s="194">
        <f t="shared" ca="1" si="59"/>
        <v>1.4961590679169141</v>
      </c>
      <c r="AD168" s="194">
        <f t="shared" ca="1" si="59"/>
        <v>1.5281493111454008</v>
      </c>
      <c r="AE168" s="194">
        <f t="shared" ca="1" si="60"/>
        <v>1.5650611302551931</v>
      </c>
      <c r="AF168" s="194">
        <f t="shared" ca="1" si="60"/>
        <v>1.6044337373056379</v>
      </c>
      <c r="AG168" s="194">
        <f t="shared" ca="1" si="60"/>
        <v>1.6388847684747776</v>
      </c>
      <c r="AH168" s="194">
        <f t="shared" ca="1" si="60"/>
        <v>1.6807181634658757</v>
      </c>
      <c r="AI168" s="194">
        <f t="shared" ca="1" si="60"/>
        <v>1.7225515584569735</v>
      </c>
      <c r="AJ168" s="194">
        <f t="shared" ca="1" si="60"/>
        <v>1.7643849534480713</v>
      </c>
      <c r="AK168" s="194">
        <f t="shared" ca="1" si="60"/>
        <v>1.8062183484391692</v>
      </c>
      <c r="AL168" s="194">
        <f t="shared" ca="1" si="60"/>
        <v>1.8505125313709199</v>
      </c>
      <c r="AM168" s="194">
        <f t="shared" ca="1" si="60"/>
        <v>1.9883166560474779</v>
      </c>
      <c r="AN168" s="194">
        <f t="shared" ca="1" si="60"/>
        <v>2.1704149636557868</v>
      </c>
      <c r="AO168" s="194">
        <f t="shared" ca="1" si="60"/>
        <v>2.4829350321186889</v>
      </c>
      <c r="AP168" s="194">
        <f t="shared" ca="1" si="60"/>
        <v>2.8028374644035581</v>
      </c>
    </row>
    <row r="169" spans="1:42">
      <c r="A169" s="59" t="str">
        <f>'[4]TS BYDem'!A108</f>
        <v>*</v>
      </c>
      <c r="B169" s="194" t="s">
        <v>288</v>
      </c>
      <c r="C169" s="194" t="s">
        <v>137</v>
      </c>
      <c r="D169" s="194" t="str">
        <f>'[4]TS BYDem'!D108</f>
        <v>INFS</v>
      </c>
      <c r="E169" s="194" t="s">
        <v>137</v>
      </c>
      <c r="F169" s="194" t="s">
        <v>137</v>
      </c>
      <c r="G169" s="194" t="s">
        <v>137</v>
      </c>
      <c r="H169" s="194" t="s">
        <v>137</v>
      </c>
      <c r="I169" s="194">
        <v>0</v>
      </c>
      <c r="J169" s="194">
        <f>INDEX('[4]TS BYDem'!$J$10:$J$203,MATCH(D169,'[4]TS BYDem'!$D$10:$D$203,0))</f>
        <v>2.487856608</v>
      </c>
      <c r="K169" s="194">
        <f t="shared" ca="1" si="58"/>
        <v>2.0744442339703264</v>
      </c>
      <c r="L169" s="194">
        <f t="shared" ca="1" si="58"/>
        <v>1.7865320449139466</v>
      </c>
      <c r="M169" s="194">
        <f t="shared" ca="1" si="58"/>
        <v>1.6856397393471809</v>
      </c>
      <c r="N169" s="194">
        <f t="shared" ca="1" si="58"/>
        <v>1.5822866458397624</v>
      </c>
      <c r="O169" s="194">
        <f t="shared" ca="1" si="59"/>
        <v>1.4666296126290801</v>
      </c>
      <c r="P169" s="194">
        <f t="shared" ca="1" si="59"/>
        <v>1.4371001573412463</v>
      </c>
      <c r="Q169" s="194">
        <f t="shared" ca="1" si="59"/>
        <v>1.3583549432403561</v>
      </c>
      <c r="R169" s="194">
        <f t="shared" ca="1" si="59"/>
        <v>1.1147369371157272</v>
      </c>
      <c r="S169" s="194">
        <f t="shared" ca="1" si="59"/>
        <v>1.1541095441661722</v>
      </c>
      <c r="T169" s="194">
        <f t="shared" ca="1" si="59"/>
        <v>1.1590311200474777</v>
      </c>
      <c r="U169" s="194">
        <f t="shared" ca="1" si="59"/>
        <v>1.1664134838694362</v>
      </c>
      <c r="V169" s="194">
        <f t="shared" ca="1" si="59"/>
        <v>1.1737958476913946</v>
      </c>
      <c r="W169" s="194">
        <f t="shared" ca="1" si="59"/>
        <v>1.1910213632759645</v>
      </c>
      <c r="X169" s="194">
        <f t="shared" ca="1" si="59"/>
        <v>1.2328547582670626</v>
      </c>
      <c r="Y169" s="194">
        <f t="shared" ca="1" si="59"/>
        <v>1.282070517080119</v>
      </c>
      <c r="Z169" s="194">
        <f t="shared" ca="1" si="59"/>
        <v>1.3411294276557866</v>
      </c>
      <c r="AA169" s="194">
        <f t="shared" ca="1" si="59"/>
        <v>1.3878843985281899</v>
      </c>
      <c r="AB169" s="194">
        <f t="shared" ca="1" si="59"/>
        <v>1.4469433091038577</v>
      </c>
      <c r="AC169" s="194">
        <f t="shared" ca="1" si="59"/>
        <v>1.4961590679169141</v>
      </c>
      <c r="AD169" s="194">
        <f t="shared" ca="1" si="59"/>
        <v>1.5281493111454008</v>
      </c>
      <c r="AE169" s="194">
        <f t="shared" ca="1" si="60"/>
        <v>1.5650611302551931</v>
      </c>
      <c r="AF169" s="194">
        <f t="shared" ca="1" si="60"/>
        <v>1.6044337373056379</v>
      </c>
      <c r="AG169" s="194">
        <f t="shared" ca="1" si="60"/>
        <v>1.6388847684747776</v>
      </c>
      <c r="AH169" s="194">
        <f t="shared" ca="1" si="60"/>
        <v>1.6807181634658757</v>
      </c>
      <c r="AI169" s="194">
        <f t="shared" ca="1" si="60"/>
        <v>1.7225515584569735</v>
      </c>
      <c r="AJ169" s="194">
        <f t="shared" ca="1" si="60"/>
        <v>1.7643849534480713</v>
      </c>
      <c r="AK169" s="194">
        <f t="shared" ca="1" si="60"/>
        <v>1.8062183484391692</v>
      </c>
      <c r="AL169" s="194">
        <f t="shared" ca="1" si="60"/>
        <v>1.8505125313709199</v>
      </c>
      <c r="AM169" s="194">
        <f t="shared" ca="1" si="60"/>
        <v>1.9883166560474779</v>
      </c>
      <c r="AN169" s="194">
        <f t="shared" ca="1" si="60"/>
        <v>2.1704149636557868</v>
      </c>
      <c r="AO169" s="194">
        <f t="shared" ca="1" si="60"/>
        <v>2.4829350321186889</v>
      </c>
      <c r="AP169" s="194">
        <f t="shared" ca="1" si="60"/>
        <v>2.8028374644035581</v>
      </c>
    </row>
    <row r="170" spans="1:42">
      <c r="A170" s="59" t="str">
        <f>'[4]TS BYDem'!A109</f>
        <v>*</v>
      </c>
      <c r="B170" s="194" t="s">
        <v>288</v>
      </c>
      <c r="C170" s="194" t="s">
        <v>137</v>
      </c>
      <c r="D170" s="194" t="str">
        <f>'[4]TS BYDem'!D109</f>
        <v>INFS</v>
      </c>
      <c r="E170" s="194" t="s">
        <v>137</v>
      </c>
      <c r="F170" s="194" t="s">
        <v>137</v>
      </c>
      <c r="G170" s="194" t="s">
        <v>137</v>
      </c>
      <c r="H170" s="194" t="s">
        <v>137</v>
      </c>
      <c r="I170" s="194">
        <v>0</v>
      </c>
      <c r="J170" s="194">
        <f>INDEX('[4]TS BYDem'!$J$10:$J$203,MATCH(D170,'[4]TS BYDem'!$D$10:$D$203,0))</f>
        <v>2.487856608</v>
      </c>
      <c r="K170" s="194">
        <f t="shared" ca="1" si="58"/>
        <v>2.0744442339703264</v>
      </c>
      <c r="L170" s="194">
        <f t="shared" ca="1" si="58"/>
        <v>1.7865320449139466</v>
      </c>
      <c r="M170" s="194">
        <f t="shared" ca="1" si="58"/>
        <v>1.6856397393471809</v>
      </c>
      <c r="N170" s="194">
        <f t="shared" ca="1" si="58"/>
        <v>1.5822866458397624</v>
      </c>
      <c r="O170" s="194">
        <f t="shared" ca="1" si="59"/>
        <v>1.4666296126290801</v>
      </c>
      <c r="P170" s="194">
        <f t="shared" ca="1" si="59"/>
        <v>1.4371001573412463</v>
      </c>
      <c r="Q170" s="194">
        <f t="shared" ca="1" si="59"/>
        <v>1.3583549432403561</v>
      </c>
      <c r="R170" s="194">
        <f t="shared" ca="1" si="59"/>
        <v>1.1147369371157272</v>
      </c>
      <c r="S170" s="194">
        <f t="shared" ca="1" si="59"/>
        <v>1.1541095441661722</v>
      </c>
      <c r="T170" s="194">
        <f t="shared" ca="1" si="59"/>
        <v>1.1590311200474777</v>
      </c>
      <c r="U170" s="194">
        <f t="shared" ca="1" si="59"/>
        <v>1.1664134838694362</v>
      </c>
      <c r="V170" s="194">
        <f t="shared" ca="1" si="59"/>
        <v>1.1737958476913946</v>
      </c>
      <c r="W170" s="194">
        <f t="shared" ca="1" si="59"/>
        <v>1.1910213632759645</v>
      </c>
      <c r="X170" s="194">
        <f t="shared" ca="1" si="59"/>
        <v>1.2328547582670626</v>
      </c>
      <c r="Y170" s="194">
        <f t="shared" ca="1" si="59"/>
        <v>1.282070517080119</v>
      </c>
      <c r="Z170" s="194">
        <f t="shared" ca="1" si="59"/>
        <v>1.3411294276557866</v>
      </c>
      <c r="AA170" s="194">
        <f t="shared" ca="1" si="59"/>
        <v>1.3878843985281899</v>
      </c>
      <c r="AB170" s="194">
        <f t="shared" ca="1" si="59"/>
        <v>1.4469433091038577</v>
      </c>
      <c r="AC170" s="194">
        <f t="shared" ca="1" si="59"/>
        <v>1.4961590679169141</v>
      </c>
      <c r="AD170" s="194">
        <f t="shared" ca="1" si="59"/>
        <v>1.5281493111454008</v>
      </c>
      <c r="AE170" s="194">
        <f t="shared" ca="1" si="60"/>
        <v>1.5650611302551931</v>
      </c>
      <c r="AF170" s="194">
        <f t="shared" ca="1" si="60"/>
        <v>1.6044337373056379</v>
      </c>
      <c r="AG170" s="194">
        <f t="shared" ca="1" si="60"/>
        <v>1.6388847684747776</v>
      </c>
      <c r="AH170" s="194">
        <f t="shared" ca="1" si="60"/>
        <v>1.6807181634658757</v>
      </c>
      <c r="AI170" s="194">
        <f t="shared" ca="1" si="60"/>
        <v>1.7225515584569735</v>
      </c>
      <c r="AJ170" s="194">
        <f t="shared" ca="1" si="60"/>
        <v>1.7643849534480713</v>
      </c>
      <c r="AK170" s="194">
        <f t="shared" ca="1" si="60"/>
        <v>1.8062183484391692</v>
      </c>
      <c r="AL170" s="194">
        <f t="shared" ca="1" si="60"/>
        <v>1.8505125313709199</v>
      </c>
      <c r="AM170" s="194">
        <f t="shared" ca="1" si="60"/>
        <v>1.9883166560474779</v>
      </c>
      <c r="AN170" s="194">
        <f t="shared" ca="1" si="60"/>
        <v>2.1704149636557868</v>
      </c>
      <c r="AO170" s="194">
        <f t="shared" ca="1" si="60"/>
        <v>2.4829350321186889</v>
      </c>
      <c r="AP170" s="194">
        <f t="shared" ca="1" si="60"/>
        <v>2.8028374644035581</v>
      </c>
    </row>
    <row r="171" spans="1:42">
      <c r="A171" s="59" t="str">
        <f>'[4]TS BYDem'!A110</f>
        <v>*</v>
      </c>
      <c r="B171" s="194" t="s">
        <v>288</v>
      </c>
      <c r="C171" s="194" t="s">
        <v>137</v>
      </c>
      <c r="D171" s="194" t="str">
        <f>'[4]TS BYDem'!D110</f>
        <v>Useful Energy Service</v>
      </c>
      <c r="E171" s="194" t="s">
        <v>137</v>
      </c>
      <c r="F171" s="194" t="s">
        <v>137</v>
      </c>
      <c r="G171" s="194" t="s">
        <v>137</v>
      </c>
      <c r="H171" s="194" t="s">
        <v>137</v>
      </c>
      <c r="I171" s="194">
        <v>0</v>
      </c>
      <c r="J171" s="194" t="str">
        <f>INDEX('[4]TS BYDem'!$J$10:$J$203,MATCH(D171,'[4]TS BYDem'!$D$10:$D$203,0))</f>
        <v/>
      </c>
      <c r="K171" s="194" t="e">
        <f t="shared" ca="1" si="58"/>
        <v>#VALUE!</v>
      </c>
      <c r="L171" s="194" t="e">
        <f t="shared" ca="1" si="58"/>
        <v>#VALUE!</v>
      </c>
      <c r="M171" s="194" t="e">
        <f t="shared" ca="1" si="58"/>
        <v>#VALUE!</v>
      </c>
      <c r="N171" s="194" t="e">
        <f t="shared" ca="1" si="58"/>
        <v>#VALUE!</v>
      </c>
      <c r="O171" s="194" t="e">
        <f t="shared" ca="1" si="59"/>
        <v>#VALUE!</v>
      </c>
      <c r="P171" s="194" t="e">
        <f t="shared" ca="1" si="59"/>
        <v>#VALUE!</v>
      </c>
      <c r="Q171" s="194" t="e">
        <f t="shared" ca="1" si="59"/>
        <v>#VALUE!</v>
      </c>
      <c r="R171" s="194" t="e">
        <f t="shared" ca="1" si="59"/>
        <v>#VALUE!</v>
      </c>
      <c r="S171" s="194" t="e">
        <f t="shared" ca="1" si="59"/>
        <v>#VALUE!</v>
      </c>
      <c r="T171" s="194" t="e">
        <f t="shared" ca="1" si="59"/>
        <v>#VALUE!</v>
      </c>
      <c r="U171" s="194" t="e">
        <f t="shared" ca="1" si="59"/>
        <v>#VALUE!</v>
      </c>
      <c r="V171" s="194" t="e">
        <f t="shared" ca="1" si="59"/>
        <v>#VALUE!</v>
      </c>
      <c r="W171" s="194" t="e">
        <f t="shared" ca="1" si="59"/>
        <v>#VALUE!</v>
      </c>
      <c r="X171" s="194" t="e">
        <f t="shared" ca="1" si="59"/>
        <v>#VALUE!</v>
      </c>
      <c r="Y171" s="194" t="e">
        <f t="shared" ca="1" si="59"/>
        <v>#VALUE!</v>
      </c>
      <c r="Z171" s="194" t="e">
        <f t="shared" ca="1" si="59"/>
        <v>#VALUE!</v>
      </c>
      <c r="AA171" s="194" t="e">
        <f t="shared" ca="1" si="59"/>
        <v>#VALUE!</v>
      </c>
      <c r="AB171" s="194" t="e">
        <f t="shared" ca="1" si="59"/>
        <v>#VALUE!</v>
      </c>
      <c r="AC171" s="194" t="e">
        <f t="shared" ca="1" si="59"/>
        <v>#VALUE!</v>
      </c>
      <c r="AD171" s="194" t="e">
        <f t="shared" ca="1" si="59"/>
        <v>#VALUE!</v>
      </c>
      <c r="AE171" s="194" t="e">
        <f t="shared" ca="1" si="60"/>
        <v>#VALUE!</v>
      </c>
      <c r="AF171" s="194" t="e">
        <f t="shared" ca="1" si="60"/>
        <v>#VALUE!</v>
      </c>
      <c r="AG171" s="194" t="e">
        <f t="shared" ca="1" si="60"/>
        <v>#VALUE!</v>
      </c>
      <c r="AH171" s="194" t="e">
        <f t="shared" ca="1" si="60"/>
        <v>#VALUE!</v>
      </c>
      <c r="AI171" s="194" t="e">
        <f t="shared" ca="1" si="60"/>
        <v>#VALUE!</v>
      </c>
      <c r="AJ171" s="194" t="e">
        <f t="shared" ca="1" si="60"/>
        <v>#VALUE!</v>
      </c>
      <c r="AK171" s="194" t="e">
        <f t="shared" ca="1" si="60"/>
        <v>#VALUE!</v>
      </c>
      <c r="AL171" s="194" t="e">
        <f t="shared" ca="1" si="60"/>
        <v>#VALUE!</v>
      </c>
      <c r="AM171" s="194" t="e">
        <f t="shared" ca="1" si="60"/>
        <v>#VALUE!</v>
      </c>
      <c r="AN171" s="194" t="e">
        <f t="shared" ca="1" si="60"/>
        <v>#VALUE!</v>
      </c>
      <c r="AO171" s="194" t="e">
        <f t="shared" ca="1" si="60"/>
        <v>#VALUE!</v>
      </c>
      <c r="AP171" s="194" t="e">
        <f t="shared" ca="1" si="60"/>
        <v>#VALUE!</v>
      </c>
    </row>
    <row r="172" spans="1:42">
      <c r="A172" s="59" t="str">
        <f>'[4]TS BYDem'!A111</f>
        <v>*</v>
      </c>
      <c r="B172" s="194" t="s">
        <v>288</v>
      </c>
      <c r="C172" s="194" t="s">
        <v>137</v>
      </c>
      <c r="D172" s="194">
        <f>'[4]TS BYDem'!D111</f>
        <v>0</v>
      </c>
      <c r="E172" s="194" t="s">
        <v>137</v>
      </c>
      <c r="F172" s="194" t="s">
        <v>137</v>
      </c>
      <c r="G172" s="194" t="s">
        <v>137</v>
      </c>
      <c r="H172" s="194" t="s">
        <v>137</v>
      </c>
      <c r="I172" s="194">
        <v>0</v>
      </c>
      <c r="J172" s="194" t="str">
        <f>INDEX('[4]TS BYDem'!$J$10:$J$203,MATCH(D172,'[4]TS BYDem'!$D$10:$D$203,0))</f>
        <v/>
      </c>
      <c r="K172" s="194" t="e">
        <f t="shared" ca="1" si="58"/>
        <v>#VALUE!</v>
      </c>
      <c r="L172" s="194" t="e">
        <f t="shared" ca="1" si="58"/>
        <v>#VALUE!</v>
      </c>
      <c r="M172" s="194" t="e">
        <f t="shared" ca="1" si="58"/>
        <v>#VALUE!</v>
      </c>
      <c r="N172" s="194" t="e">
        <f t="shared" ca="1" si="58"/>
        <v>#VALUE!</v>
      </c>
      <c r="O172" s="194" t="e">
        <f t="shared" ca="1" si="59"/>
        <v>#VALUE!</v>
      </c>
      <c r="P172" s="194" t="e">
        <f t="shared" ca="1" si="59"/>
        <v>#VALUE!</v>
      </c>
      <c r="Q172" s="194" t="e">
        <f t="shared" ca="1" si="59"/>
        <v>#VALUE!</v>
      </c>
      <c r="R172" s="194" t="e">
        <f t="shared" ca="1" si="59"/>
        <v>#VALUE!</v>
      </c>
      <c r="S172" s="194" t="e">
        <f t="shared" ca="1" si="59"/>
        <v>#VALUE!</v>
      </c>
      <c r="T172" s="194" t="e">
        <f t="shared" ca="1" si="59"/>
        <v>#VALUE!</v>
      </c>
      <c r="U172" s="194" t="e">
        <f t="shared" ca="1" si="59"/>
        <v>#VALUE!</v>
      </c>
      <c r="V172" s="194" t="e">
        <f t="shared" ca="1" si="59"/>
        <v>#VALUE!</v>
      </c>
      <c r="W172" s="194" t="e">
        <f t="shared" ca="1" si="59"/>
        <v>#VALUE!</v>
      </c>
      <c r="X172" s="194" t="e">
        <f t="shared" ca="1" si="59"/>
        <v>#VALUE!</v>
      </c>
      <c r="Y172" s="194" t="e">
        <f t="shared" ca="1" si="59"/>
        <v>#VALUE!</v>
      </c>
      <c r="Z172" s="194" t="e">
        <f t="shared" ca="1" si="59"/>
        <v>#VALUE!</v>
      </c>
      <c r="AA172" s="194" t="e">
        <f t="shared" ca="1" si="59"/>
        <v>#VALUE!</v>
      </c>
      <c r="AB172" s="194" t="e">
        <f t="shared" ca="1" si="59"/>
        <v>#VALUE!</v>
      </c>
      <c r="AC172" s="194" t="e">
        <f t="shared" ca="1" si="59"/>
        <v>#VALUE!</v>
      </c>
      <c r="AD172" s="194" t="e">
        <f t="shared" ca="1" si="59"/>
        <v>#VALUE!</v>
      </c>
      <c r="AE172" s="194" t="e">
        <f t="shared" ca="1" si="60"/>
        <v>#VALUE!</v>
      </c>
      <c r="AF172" s="194" t="e">
        <f t="shared" ca="1" si="60"/>
        <v>#VALUE!</v>
      </c>
      <c r="AG172" s="194" t="e">
        <f t="shared" ca="1" si="60"/>
        <v>#VALUE!</v>
      </c>
      <c r="AH172" s="194" t="e">
        <f t="shared" ca="1" si="60"/>
        <v>#VALUE!</v>
      </c>
      <c r="AI172" s="194" t="e">
        <f t="shared" ca="1" si="60"/>
        <v>#VALUE!</v>
      </c>
      <c r="AJ172" s="194" t="e">
        <f t="shared" ca="1" si="60"/>
        <v>#VALUE!</v>
      </c>
      <c r="AK172" s="194" t="e">
        <f t="shared" ca="1" si="60"/>
        <v>#VALUE!</v>
      </c>
      <c r="AL172" s="194" t="e">
        <f t="shared" ca="1" si="60"/>
        <v>#VALUE!</v>
      </c>
      <c r="AM172" s="194" t="e">
        <f t="shared" ca="1" si="60"/>
        <v>#VALUE!</v>
      </c>
      <c r="AN172" s="194" t="e">
        <f t="shared" ca="1" si="60"/>
        <v>#VALUE!</v>
      </c>
      <c r="AO172" s="194" t="e">
        <f t="shared" ca="1" si="60"/>
        <v>#VALUE!</v>
      </c>
      <c r="AP172" s="194" t="e">
        <f t="shared" ca="1" si="60"/>
        <v>#VALUE!</v>
      </c>
    </row>
    <row r="173" spans="1:42" s="5" customFormat="1">
      <c r="A173" s="59"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59" t="str">
        <f>'[4]TS BYDem'!A113</f>
        <v>*</v>
      </c>
      <c r="B174" s="194" t="s">
        <v>288</v>
      </c>
      <c r="C174" s="194" t="s">
        <v>137</v>
      </c>
      <c r="D174" s="194" t="str">
        <f>'[4]TS BYDem'!D113</f>
        <v>INMK</v>
      </c>
      <c r="E174" s="194" t="s">
        <v>137</v>
      </c>
      <c r="F174" s="194" t="s">
        <v>137</v>
      </c>
      <c r="G174" s="194" t="s">
        <v>137</v>
      </c>
      <c r="H174" s="194" t="s">
        <v>137</v>
      </c>
      <c r="I174" s="194">
        <v>0</v>
      </c>
      <c r="J174" s="194" t="str">
        <f>INDEX('[4]TS BYDem'!$J$10:$J$203,MATCH(D174,'[4]TS BYDem'!$D$10:$D$203,0))</f>
        <v/>
      </c>
      <c r="K174" s="194" t="e">
        <f t="shared" ref="K174:Z189" ca="1" si="64">K$173/J$173*J174</f>
        <v>#VALUE!</v>
      </c>
      <c r="L174" s="194" t="e">
        <f t="shared" ca="1" si="64"/>
        <v>#VALUE!</v>
      </c>
      <c r="M174" s="194" t="e">
        <f t="shared" ca="1" si="64"/>
        <v>#VALUE!</v>
      </c>
      <c r="N174" s="194" t="e">
        <f t="shared" ca="1" si="64"/>
        <v>#VALUE!</v>
      </c>
      <c r="O174" s="194" t="e">
        <f t="shared" ca="1" si="64"/>
        <v>#VALUE!</v>
      </c>
      <c r="P174" s="194" t="e">
        <f t="shared" ca="1" si="64"/>
        <v>#VALUE!</v>
      </c>
      <c r="Q174" s="194" t="e">
        <f t="shared" ca="1" si="64"/>
        <v>#VALUE!</v>
      </c>
      <c r="R174" s="194" t="e">
        <f t="shared" ca="1" si="64"/>
        <v>#VALUE!</v>
      </c>
      <c r="S174" s="194" t="e">
        <f t="shared" ca="1" si="64"/>
        <v>#VALUE!</v>
      </c>
      <c r="T174" s="194" t="e">
        <f t="shared" ca="1" si="64"/>
        <v>#VALUE!</v>
      </c>
      <c r="U174" s="194" t="e">
        <f t="shared" ca="1" si="64"/>
        <v>#VALUE!</v>
      </c>
      <c r="V174" s="194" t="e">
        <f t="shared" ca="1" si="64"/>
        <v>#VALUE!</v>
      </c>
      <c r="W174" s="194" t="e">
        <f t="shared" ca="1" si="64"/>
        <v>#VALUE!</v>
      </c>
      <c r="X174" s="194" t="e">
        <f t="shared" ca="1" si="64"/>
        <v>#VALUE!</v>
      </c>
      <c r="Y174" s="194" t="e">
        <f t="shared" ca="1" si="64"/>
        <v>#VALUE!</v>
      </c>
      <c r="Z174" s="194" t="e">
        <f t="shared" ca="1" si="64"/>
        <v>#VALUE!</v>
      </c>
      <c r="AA174" s="194" t="e">
        <f t="shared" ref="AA174:AP189" ca="1" si="65">AA$173/Z$173*Z174</f>
        <v>#VALUE!</v>
      </c>
      <c r="AB174" s="194" t="e">
        <f t="shared" ca="1" si="65"/>
        <v>#VALUE!</v>
      </c>
      <c r="AC174" s="194" t="e">
        <f t="shared" ca="1" si="65"/>
        <v>#VALUE!</v>
      </c>
      <c r="AD174" s="194" t="e">
        <f t="shared" ca="1" si="65"/>
        <v>#VALUE!</v>
      </c>
      <c r="AE174" s="194" t="e">
        <f t="shared" ca="1" si="65"/>
        <v>#VALUE!</v>
      </c>
      <c r="AF174" s="194" t="e">
        <f t="shared" ca="1" si="65"/>
        <v>#VALUE!</v>
      </c>
      <c r="AG174" s="194" t="e">
        <f t="shared" ca="1" si="65"/>
        <v>#VALUE!</v>
      </c>
      <c r="AH174" s="194" t="e">
        <f t="shared" ca="1" si="65"/>
        <v>#VALUE!</v>
      </c>
      <c r="AI174" s="194" t="e">
        <f t="shared" ca="1" si="65"/>
        <v>#VALUE!</v>
      </c>
      <c r="AJ174" s="194" t="e">
        <f t="shared" ca="1" si="65"/>
        <v>#VALUE!</v>
      </c>
      <c r="AK174" s="194" t="e">
        <f t="shared" ca="1" si="65"/>
        <v>#VALUE!</v>
      </c>
      <c r="AL174" s="194" t="e">
        <f t="shared" ca="1" si="65"/>
        <v>#VALUE!</v>
      </c>
      <c r="AM174" s="194" t="e">
        <f t="shared" ca="1" si="65"/>
        <v>#VALUE!</v>
      </c>
      <c r="AN174" s="194" t="e">
        <f t="shared" ca="1" si="65"/>
        <v>#VALUE!</v>
      </c>
      <c r="AO174" s="194" t="e">
        <f t="shared" ca="1" si="65"/>
        <v>#VALUE!</v>
      </c>
      <c r="AP174" s="194" t="e">
        <f t="shared" ca="1" si="65"/>
        <v>#VALUE!</v>
      </c>
    </row>
    <row r="175" spans="1:42">
      <c r="A175" s="59" t="str">
        <f>'[4]TS BYDem'!A114</f>
        <v>*</v>
      </c>
      <c r="B175" s="194" t="s">
        <v>288</v>
      </c>
      <c r="C175" s="194" t="s">
        <v>137</v>
      </c>
      <c r="D175" s="194" t="str">
        <f>'[4]TS BYDem'!D114</f>
        <v>INMA</v>
      </c>
      <c r="E175" s="194" t="s">
        <v>137</v>
      </c>
      <c r="F175" s="194" t="s">
        <v>137</v>
      </c>
      <c r="G175" s="194" t="s">
        <v>137</v>
      </c>
      <c r="H175" s="194" t="s">
        <v>137</v>
      </c>
      <c r="I175" s="194">
        <v>0</v>
      </c>
      <c r="J175" s="194" t="str">
        <f>INDEX('[4]TS BYDem'!$J$10:$J$203,MATCH(D175,'[4]TS BYDem'!$D$10:$D$203,0))</f>
        <v/>
      </c>
      <c r="K175" s="194" t="e">
        <f t="shared" ca="1" si="64"/>
        <v>#VALUE!</v>
      </c>
      <c r="L175" s="194" t="e">
        <f t="shared" ca="1" si="64"/>
        <v>#VALUE!</v>
      </c>
      <c r="M175" s="194" t="e">
        <f t="shared" ca="1" si="64"/>
        <v>#VALUE!</v>
      </c>
      <c r="N175" s="194" t="e">
        <f t="shared" ca="1" si="64"/>
        <v>#VALUE!</v>
      </c>
      <c r="O175" s="194" t="e">
        <f t="shared" ca="1" si="64"/>
        <v>#VALUE!</v>
      </c>
      <c r="P175" s="194" t="e">
        <f t="shared" ca="1" si="64"/>
        <v>#VALUE!</v>
      </c>
      <c r="Q175" s="194" t="e">
        <f t="shared" ca="1" si="64"/>
        <v>#VALUE!</v>
      </c>
      <c r="R175" s="194" t="e">
        <f t="shared" ca="1" si="64"/>
        <v>#VALUE!</v>
      </c>
      <c r="S175" s="194" t="e">
        <f t="shared" ca="1" si="64"/>
        <v>#VALUE!</v>
      </c>
      <c r="T175" s="194" t="e">
        <f t="shared" ca="1" si="64"/>
        <v>#VALUE!</v>
      </c>
      <c r="U175" s="194" t="e">
        <f t="shared" ca="1" si="64"/>
        <v>#VALUE!</v>
      </c>
      <c r="V175" s="194" t="e">
        <f t="shared" ca="1" si="64"/>
        <v>#VALUE!</v>
      </c>
      <c r="W175" s="194" t="e">
        <f t="shared" ca="1" si="64"/>
        <v>#VALUE!</v>
      </c>
      <c r="X175" s="194" t="e">
        <f t="shared" ca="1" si="64"/>
        <v>#VALUE!</v>
      </c>
      <c r="Y175" s="194" t="e">
        <f t="shared" ca="1" si="64"/>
        <v>#VALUE!</v>
      </c>
      <c r="Z175" s="194" t="e">
        <f t="shared" ca="1" si="64"/>
        <v>#VALUE!</v>
      </c>
      <c r="AA175" s="194" t="e">
        <f t="shared" ca="1" si="65"/>
        <v>#VALUE!</v>
      </c>
      <c r="AB175" s="194" t="e">
        <f t="shared" ca="1" si="65"/>
        <v>#VALUE!</v>
      </c>
      <c r="AC175" s="194" t="e">
        <f t="shared" ca="1" si="65"/>
        <v>#VALUE!</v>
      </c>
      <c r="AD175" s="194" t="e">
        <f t="shared" ca="1" si="65"/>
        <v>#VALUE!</v>
      </c>
      <c r="AE175" s="194" t="e">
        <f t="shared" ca="1" si="65"/>
        <v>#VALUE!</v>
      </c>
      <c r="AF175" s="194" t="e">
        <f t="shared" ca="1" si="65"/>
        <v>#VALUE!</v>
      </c>
      <c r="AG175" s="194" t="e">
        <f t="shared" ca="1" si="65"/>
        <v>#VALUE!</v>
      </c>
      <c r="AH175" s="194" t="e">
        <f t="shared" ca="1" si="65"/>
        <v>#VALUE!</v>
      </c>
      <c r="AI175" s="194" t="e">
        <f t="shared" ca="1" si="65"/>
        <v>#VALUE!</v>
      </c>
      <c r="AJ175" s="194" t="e">
        <f t="shared" ca="1" si="65"/>
        <v>#VALUE!</v>
      </c>
      <c r="AK175" s="194" t="e">
        <f t="shared" ca="1" si="65"/>
        <v>#VALUE!</v>
      </c>
      <c r="AL175" s="194" t="e">
        <f t="shared" ca="1" si="65"/>
        <v>#VALUE!</v>
      </c>
      <c r="AM175" s="194" t="e">
        <f t="shared" ca="1" si="65"/>
        <v>#VALUE!</v>
      </c>
      <c r="AN175" s="194" t="e">
        <f t="shared" ca="1" si="65"/>
        <v>#VALUE!</v>
      </c>
      <c r="AO175" s="194" t="e">
        <f t="shared" ca="1" si="65"/>
        <v>#VALUE!</v>
      </c>
      <c r="AP175" s="194" t="e">
        <f t="shared" ca="1" si="65"/>
        <v>#VALUE!</v>
      </c>
    </row>
    <row r="176" spans="1:42">
      <c r="A176" s="59" t="str">
        <f>'[4]TS BYDem'!A115</f>
        <v>*</v>
      </c>
      <c r="B176" s="194" t="s">
        <v>288</v>
      </c>
      <c r="C176" s="194" t="s">
        <v>137</v>
      </c>
      <c r="D176" s="194" t="str">
        <f>'[4]TS BYDem'!D115</f>
        <v>INML</v>
      </c>
      <c r="E176" s="194" t="s">
        <v>137</v>
      </c>
      <c r="F176" s="194" t="s">
        <v>137</v>
      </c>
      <c r="G176" s="194" t="s">
        <v>137</v>
      </c>
      <c r="H176" s="194" t="s">
        <v>137</v>
      </c>
      <c r="I176" s="194">
        <v>0</v>
      </c>
      <c r="J176" s="194" t="str">
        <f>INDEX('[4]TS BYDem'!$J$10:$J$203,MATCH(D176,'[4]TS BYDem'!$D$10:$D$203,0))</f>
        <v/>
      </c>
      <c r="K176" s="194" t="e">
        <f t="shared" ca="1" si="64"/>
        <v>#VALUE!</v>
      </c>
      <c r="L176" s="194" t="e">
        <f t="shared" ca="1" si="64"/>
        <v>#VALUE!</v>
      </c>
      <c r="M176" s="194" t="e">
        <f t="shared" ca="1" si="64"/>
        <v>#VALUE!</v>
      </c>
      <c r="N176" s="194" t="e">
        <f t="shared" ca="1" si="64"/>
        <v>#VALUE!</v>
      </c>
      <c r="O176" s="194" t="e">
        <f t="shared" ca="1" si="64"/>
        <v>#VALUE!</v>
      </c>
      <c r="P176" s="194" t="e">
        <f t="shared" ca="1" si="64"/>
        <v>#VALUE!</v>
      </c>
      <c r="Q176" s="194" t="e">
        <f t="shared" ca="1" si="64"/>
        <v>#VALUE!</v>
      </c>
      <c r="R176" s="194" t="e">
        <f t="shared" ca="1" si="64"/>
        <v>#VALUE!</v>
      </c>
      <c r="S176" s="194" t="e">
        <f t="shared" ca="1" si="64"/>
        <v>#VALUE!</v>
      </c>
      <c r="T176" s="194" t="e">
        <f t="shared" ca="1" si="64"/>
        <v>#VALUE!</v>
      </c>
      <c r="U176" s="194" t="e">
        <f t="shared" ca="1" si="64"/>
        <v>#VALUE!</v>
      </c>
      <c r="V176" s="194" t="e">
        <f t="shared" ca="1" si="64"/>
        <v>#VALUE!</v>
      </c>
      <c r="W176" s="194" t="e">
        <f t="shared" ca="1" si="64"/>
        <v>#VALUE!</v>
      </c>
      <c r="X176" s="194" t="e">
        <f t="shared" ca="1" si="64"/>
        <v>#VALUE!</v>
      </c>
      <c r="Y176" s="194" t="e">
        <f t="shared" ca="1" si="64"/>
        <v>#VALUE!</v>
      </c>
      <c r="Z176" s="194" t="e">
        <f t="shared" ca="1" si="64"/>
        <v>#VALUE!</v>
      </c>
      <c r="AA176" s="194" t="e">
        <f t="shared" ca="1" si="65"/>
        <v>#VALUE!</v>
      </c>
      <c r="AB176" s="194" t="e">
        <f t="shared" ca="1" si="65"/>
        <v>#VALUE!</v>
      </c>
      <c r="AC176" s="194" t="e">
        <f t="shared" ca="1" si="65"/>
        <v>#VALUE!</v>
      </c>
      <c r="AD176" s="194" t="e">
        <f t="shared" ca="1" si="65"/>
        <v>#VALUE!</v>
      </c>
      <c r="AE176" s="194" t="e">
        <f t="shared" ca="1" si="65"/>
        <v>#VALUE!</v>
      </c>
      <c r="AF176" s="194" t="e">
        <f t="shared" ca="1" si="65"/>
        <v>#VALUE!</v>
      </c>
      <c r="AG176" s="194" t="e">
        <f t="shared" ca="1" si="65"/>
        <v>#VALUE!</v>
      </c>
      <c r="AH176" s="194" t="e">
        <f t="shared" ca="1" si="65"/>
        <v>#VALUE!</v>
      </c>
      <c r="AI176" s="194" t="e">
        <f t="shared" ca="1" si="65"/>
        <v>#VALUE!</v>
      </c>
      <c r="AJ176" s="194" t="e">
        <f t="shared" ca="1" si="65"/>
        <v>#VALUE!</v>
      </c>
      <c r="AK176" s="194" t="e">
        <f t="shared" ca="1" si="65"/>
        <v>#VALUE!</v>
      </c>
      <c r="AL176" s="194" t="e">
        <f t="shared" ca="1" si="65"/>
        <v>#VALUE!</v>
      </c>
      <c r="AM176" s="194" t="e">
        <f t="shared" ca="1" si="65"/>
        <v>#VALUE!</v>
      </c>
      <c r="AN176" s="194" t="e">
        <f t="shared" ca="1" si="65"/>
        <v>#VALUE!</v>
      </c>
      <c r="AO176" s="194" t="e">
        <f t="shared" ca="1" si="65"/>
        <v>#VALUE!</v>
      </c>
      <c r="AP176" s="194" t="e">
        <f t="shared" ca="1" si="65"/>
        <v>#VALUE!</v>
      </c>
    </row>
    <row r="177" spans="1:42">
      <c r="A177" s="59" t="str">
        <f>'[4]TS BYDem'!A116</f>
        <v>*</v>
      </c>
      <c r="B177" s="194" t="s">
        <v>288</v>
      </c>
      <c r="C177" s="194" t="s">
        <v>137</v>
      </c>
      <c r="D177" s="194" t="str">
        <f>'[4]TS BYDem'!D116</f>
        <v>INMC</v>
      </c>
      <c r="E177" s="194" t="s">
        <v>137</v>
      </c>
      <c r="F177" s="194" t="s">
        <v>137</v>
      </c>
      <c r="G177" s="194" t="s">
        <v>137</v>
      </c>
      <c r="H177" s="194" t="s">
        <v>137</v>
      </c>
      <c r="I177" s="194">
        <v>0</v>
      </c>
      <c r="J177" s="194" t="str">
        <f>INDEX('[4]TS BYDem'!$J$10:$J$203,MATCH(D177,'[4]TS BYDem'!$D$10:$D$203,0))</f>
        <v/>
      </c>
      <c r="K177" s="194" t="e">
        <f t="shared" ca="1" si="64"/>
        <v>#VALUE!</v>
      </c>
      <c r="L177" s="194" t="e">
        <f t="shared" ca="1" si="64"/>
        <v>#VALUE!</v>
      </c>
      <c r="M177" s="194" t="e">
        <f t="shared" ca="1" si="64"/>
        <v>#VALUE!</v>
      </c>
      <c r="N177" s="194" t="e">
        <f t="shared" ca="1" si="64"/>
        <v>#VALUE!</v>
      </c>
      <c r="O177" s="194" t="e">
        <f t="shared" ca="1" si="64"/>
        <v>#VALUE!</v>
      </c>
      <c r="P177" s="194" t="e">
        <f t="shared" ca="1" si="64"/>
        <v>#VALUE!</v>
      </c>
      <c r="Q177" s="194" t="e">
        <f t="shared" ca="1" si="64"/>
        <v>#VALUE!</v>
      </c>
      <c r="R177" s="194" t="e">
        <f t="shared" ca="1" si="64"/>
        <v>#VALUE!</v>
      </c>
      <c r="S177" s="194" t="e">
        <f t="shared" ca="1" si="64"/>
        <v>#VALUE!</v>
      </c>
      <c r="T177" s="194" t="e">
        <f t="shared" ca="1" si="64"/>
        <v>#VALUE!</v>
      </c>
      <c r="U177" s="194" t="e">
        <f t="shared" ca="1" si="64"/>
        <v>#VALUE!</v>
      </c>
      <c r="V177" s="194" t="e">
        <f t="shared" ca="1" si="64"/>
        <v>#VALUE!</v>
      </c>
      <c r="W177" s="194" t="e">
        <f t="shared" ca="1" si="64"/>
        <v>#VALUE!</v>
      </c>
      <c r="X177" s="194" t="e">
        <f t="shared" ca="1" si="64"/>
        <v>#VALUE!</v>
      </c>
      <c r="Y177" s="194" t="e">
        <f t="shared" ca="1" si="64"/>
        <v>#VALUE!</v>
      </c>
      <c r="Z177" s="194" t="e">
        <f t="shared" ca="1" si="64"/>
        <v>#VALUE!</v>
      </c>
      <c r="AA177" s="194" t="e">
        <f t="shared" ca="1" si="65"/>
        <v>#VALUE!</v>
      </c>
      <c r="AB177" s="194" t="e">
        <f t="shared" ca="1" si="65"/>
        <v>#VALUE!</v>
      </c>
      <c r="AC177" s="194" t="e">
        <f t="shared" ca="1" si="65"/>
        <v>#VALUE!</v>
      </c>
      <c r="AD177" s="194" t="e">
        <f t="shared" ca="1" si="65"/>
        <v>#VALUE!</v>
      </c>
      <c r="AE177" s="194" t="e">
        <f t="shared" ca="1" si="65"/>
        <v>#VALUE!</v>
      </c>
      <c r="AF177" s="194" t="e">
        <f t="shared" ca="1" si="65"/>
        <v>#VALUE!</v>
      </c>
      <c r="AG177" s="194" t="e">
        <f t="shared" ca="1" si="65"/>
        <v>#VALUE!</v>
      </c>
      <c r="AH177" s="194" t="e">
        <f t="shared" ca="1" si="65"/>
        <v>#VALUE!</v>
      </c>
      <c r="AI177" s="194" t="e">
        <f t="shared" ca="1" si="65"/>
        <v>#VALUE!</v>
      </c>
      <c r="AJ177" s="194" t="e">
        <f t="shared" ca="1" si="65"/>
        <v>#VALUE!</v>
      </c>
      <c r="AK177" s="194" t="e">
        <f t="shared" ca="1" si="65"/>
        <v>#VALUE!</v>
      </c>
      <c r="AL177" s="194" t="e">
        <f t="shared" ca="1" si="65"/>
        <v>#VALUE!</v>
      </c>
      <c r="AM177" s="194" t="e">
        <f t="shared" ca="1" si="65"/>
        <v>#VALUE!</v>
      </c>
      <c r="AN177" s="194" t="e">
        <f t="shared" ca="1" si="65"/>
        <v>#VALUE!</v>
      </c>
      <c r="AO177" s="194" t="e">
        <f t="shared" ca="1" si="65"/>
        <v>#VALUE!</v>
      </c>
      <c r="AP177" s="194" t="e">
        <f t="shared" ca="1" si="65"/>
        <v>#VALUE!</v>
      </c>
    </row>
    <row r="178" spans="1:42">
      <c r="A178" s="59" t="str">
        <f>'[4]TS BYDem'!A117</f>
        <v>*</v>
      </c>
      <c r="B178" s="194" t="s">
        <v>288</v>
      </c>
      <c r="C178" s="194" t="s">
        <v>137</v>
      </c>
      <c r="D178" s="194" t="str">
        <f>'[4]TS BYDem'!D117</f>
        <v>INMH</v>
      </c>
      <c r="E178" s="194" t="s">
        <v>137</v>
      </c>
      <c r="F178" s="194" t="s">
        <v>137</v>
      </c>
      <c r="G178" s="194" t="s">
        <v>137</v>
      </c>
      <c r="H178" s="194" t="s">
        <v>137</v>
      </c>
      <c r="I178" s="194">
        <v>0</v>
      </c>
      <c r="J178" s="194" t="str">
        <f>INDEX('[4]TS BYDem'!$J$10:$J$203,MATCH(D178,'[4]TS BYDem'!$D$10:$D$203,0))</f>
        <v/>
      </c>
      <c r="K178" s="194" t="e">
        <f t="shared" ca="1" si="64"/>
        <v>#VALUE!</v>
      </c>
      <c r="L178" s="194" t="e">
        <f t="shared" ca="1" si="64"/>
        <v>#VALUE!</v>
      </c>
      <c r="M178" s="194" t="e">
        <f t="shared" ca="1" si="64"/>
        <v>#VALUE!</v>
      </c>
      <c r="N178" s="194" t="e">
        <f t="shared" ca="1" si="64"/>
        <v>#VALUE!</v>
      </c>
      <c r="O178" s="194" t="e">
        <f t="shared" ca="1" si="64"/>
        <v>#VALUE!</v>
      </c>
      <c r="P178" s="194" t="e">
        <f t="shared" ca="1" si="64"/>
        <v>#VALUE!</v>
      </c>
      <c r="Q178" s="194" t="e">
        <f t="shared" ca="1" si="64"/>
        <v>#VALUE!</v>
      </c>
      <c r="R178" s="194" t="e">
        <f t="shared" ca="1" si="64"/>
        <v>#VALUE!</v>
      </c>
      <c r="S178" s="194" t="e">
        <f t="shared" ca="1" si="64"/>
        <v>#VALUE!</v>
      </c>
      <c r="T178" s="194" t="e">
        <f t="shared" ca="1" si="64"/>
        <v>#VALUE!</v>
      </c>
      <c r="U178" s="194" t="e">
        <f t="shared" ca="1" si="64"/>
        <v>#VALUE!</v>
      </c>
      <c r="V178" s="194" t="e">
        <f t="shared" ca="1" si="64"/>
        <v>#VALUE!</v>
      </c>
      <c r="W178" s="194" t="e">
        <f t="shared" ca="1" si="64"/>
        <v>#VALUE!</v>
      </c>
      <c r="X178" s="194" t="e">
        <f t="shared" ca="1" si="64"/>
        <v>#VALUE!</v>
      </c>
      <c r="Y178" s="194" t="e">
        <f t="shared" ca="1" si="64"/>
        <v>#VALUE!</v>
      </c>
      <c r="Z178" s="194" t="e">
        <f t="shared" ca="1" si="64"/>
        <v>#VALUE!</v>
      </c>
      <c r="AA178" s="194" t="e">
        <f t="shared" ca="1" si="65"/>
        <v>#VALUE!</v>
      </c>
      <c r="AB178" s="194" t="e">
        <f t="shared" ca="1" si="65"/>
        <v>#VALUE!</v>
      </c>
      <c r="AC178" s="194" t="e">
        <f t="shared" ca="1" si="65"/>
        <v>#VALUE!</v>
      </c>
      <c r="AD178" s="194" t="e">
        <f t="shared" ca="1" si="65"/>
        <v>#VALUE!</v>
      </c>
      <c r="AE178" s="194" t="e">
        <f t="shared" ca="1" si="65"/>
        <v>#VALUE!</v>
      </c>
      <c r="AF178" s="194" t="e">
        <f t="shared" ca="1" si="65"/>
        <v>#VALUE!</v>
      </c>
      <c r="AG178" s="194" t="e">
        <f t="shared" ca="1" si="65"/>
        <v>#VALUE!</v>
      </c>
      <c r="AH178" s="194" t="e">
        <f t="shared" ca="1" si="65"/>
        <v>#VALUE!</v>
      </c>
      <c r="AI178" s="194" t="e">
        <f t="shared" ca="1" si="65"/>
        <v>#VALUE!</v>
      </c>
      <c r="AJ178" s="194" t="e">
        <f t="shared" ca="1" si="65"/>
        <v>#VALUE!</v>
      </c>
      <c r="AK178" s="194" t="e">
        <f t="shared" ca="1" si="65"/>
        <v>#VALUE!</v>
      </c>
      <c r="AL178" s="194" t="e">
        <f t="shared" ca="1" si="65"/>
        <v>#VALUE!</v>
      </c>
      <c r="AM178" s="194" t="e">
        <f t="shared" ca="1" si="65"/>
        <v>#VALUE!</v>
      </c>
      <c r="AN178" s="194" t="e">
        <f t="shared" ca="1" si="65"/>
        <v>#VALUE!</v>
      </c>
      <c r="AO178" s="194" t="e">
        <f t="shared" ca="1" si="65"/>
        <v>#VALUE!</v>
      </c>
      <c r="AP178" s="194" t="e">
        <f t="shared" ca="1" si="65"/>
        <v>#VALUE!</v>
      </c>
    </row>
    <row r="179" spans="1:42">
      <c r="A179" s="59" t="str">
        <f>'[4]TS BYDem'!A118</f>
        <v>*</v>
      </c>
      <c r="B179" s="194" t="s">
        <v>288</v>
      </c>
      <c r="C179" s="194" t="s">
        <v>137</v>
      </c>
      <c r="D179" s="194" t="str">
        <f>'[4]TS BYDem'!D118</f>
        <v>INMP</v>
      </c>
      <c r="E179" s="194" t="s">
        <v>137</v>
      </c>
      <c r="F179" s="194" t="s">
        <v>137</v>
      </c>
      <c r="G179" s="194" t="s">
        <v>137</v>
      </c>
      <c r="H179" s="194" t="s">
        <v>137</v>
      </c>
      <c r="I179" s="194">
        <v>0</v>
      </c>
      <c r="J179" s="194" t="str">
        <f>INDEX('[4]TS BYDem'!$J$10:$J$203,MATCH(D179,'[4]TS BYDem'!$D$10:$D$203,0))</f>
        <v/>
      </c>
      <c r="K179" s="194" t="e">
        <f t="shared" ca="1" si="64"/>
        <v>#VALUE!</v>
      </c>
      <c r="L179" s="194" t="e">
        <f t="shared" ca="1" si="64"/>
        <v>#VALUE!</v>
      </c>
      <c r="M179" s="194" t="e">
        <f t="shared" ca="1" si="64"/>
        <v>#VALUE!</v>
      </c>
      <c r="N179" s="194" t="e">
        <f t="shared" ca="1" si="64"/>
        <v>#VALUE!</v>
      </c>
      <c r="O179" s="194" t="e">
        <f t="shared" ca="1" si="64"/>
        <v>#VALUE!</v>
      </c>
      <c r="P179" s="194" t="e">
        <f t="shared" ca="1" si="64"/>
        <v>#VALUE!</v>
      </c>
      <c r="Q179" s="194" t="e">
        <f t="shared" ca="1" si="64"/>
        <v>#VALUE!</v>
      </c>
      <c r="R179" s="194" t="e">
        <f t="shared" ca="1" si="64"/>
        <v>#VALUE!</v>
      </c>
      <c r="S179" s="194" t="e">
        <f t="shared" ca="1" si="64"/>
        <v>#VALUE!</v>
      </c>
      <c r="T179" s="194" t="e">
        <f t="shared" ca="1" si="64"/>
        <v>#VALUE!</v>
      </c>
      <c r="U179" s="194" t="e">
        <f t="shared" ca="1" si="64"/>
        <v>#VALUE!</v>
      </c>
      <c r="V179" s="194" t="e">
        <f t="shared" ca="1" si="64"/>
        <v>#VALUE!</v>
      </c>
      <c r="W179" s="194" t="e">
        <f t="shared" ca="1" si="64"/>
        <v>#VALUE!</v>
      </c>
      <c r="X179" s="194" t="e">
        <f t="shared" ca="1" si="64"/>
        <v>#VALUE!</v>
      </c>
      <c r="Y179" s="194" t="e">
        <f t="shared" ca="1" si="64"/>
        <v>#VALUE!</v>
      </c>
      <c r="Z179" s="194" t="e">
        <f t="shared" ca="1" si="64"/>
        <v>#VALUE!</v>
      </c>
      <c r="AA179" s="194" t="e">
        <f t="shared" ca="1" si="65"/>
        <v>#VALUE!</v>
      </c>
      <c r="AB179" s="194" t="e">
        <f t="shared" ca="1" si="65"/>
        <v>#VALUE!</v>
      </c>
      <c r="AC179" s="194" t="e">
        <f t="shared" ca="1" si="65"/>
        <v>#VALUE!</v>
      </c>
      <c r="AD179" s="194" t="e">
        <f t="shared" ca="1" si="65"/>
        <v>#VALUE!</v>
      </c>
      <c r="AE179" s="194" t="e">
        <f t="shared" ca="1" si="65"/>
        <v>#VALUE!</v>
      </c>
      <c r="AF179" s="194" t="e">
        <f t="shared" ca="1" si="65"/>
        <v>#VALUE!</v>
      </c>
      <c r="AG179" s="194" t="e">
        <f t="shared" ca="1" si="65"/>
        <v>#VALUE!</v>
      </c>
      <c r="AH179" s="194" t="e">
        <f t="shared" ca="1" si="65"/>
        <v>#VALUE!</v>
      </c>
      <c r="AI179" s="194" t="e">
        <f t="shared" ca="1" si="65"/>
        <v>#VALUE!</v>
      </c>
      <c r="AJ179" s="194" t="e">
        <f t="shared" ca="1" si="65"/>
        <v>#VALUE!</v>
      </c>
      <c r="AK179" s="194" t="e">
        <f t="shared" ca="1" si="65"/>
        <v>#VALUE!</v>
      </c>
      <c r="AL179" s="194" t="e">
        <f t="shared" ca="1" si="65"/>
        <v>#VALUE!</v>
      </c>
      <c r="AM179" s="194" t="e">
        <f t="shared" ca="1" si="65"/>
        <v>#VALUE!</v>
      </c>
      <c r="AN179" s="194" t="e">
        <f t="shared" ca="1" si="65"/>
        <v>#VALUE!</v>
      </c>
      <c r="AO179" s="194" t="e">
        <f t="shared" ca="1" si="65"/>
        <v>#VALUE!</v>
      </c>
      <c r="AP179" s="194" t="e">
        <f t="shared" ca="1" si="65"/>
        <v>#VALUE!</v>
      </c>
    </row>
    <row r="180" spans="1:42">
      <c r="A180" s="59" t="str">
        <f>'[4]TS BYDem'!A119</f>
        <v>*</v>
      </c>
      <c r="B180" s="194" t="s">
        <v>288</v>
      </c>
      <c r="C180" s="194" t="s">
        <v>137</v>
      </c>
      <c r="D180" s="194" t="str">
        <f>'[4]TS BYDem'!D119</f>
        <v>INMF</v>
      </c>
      <c r="E180" s="194" t="s">
        <v>137</v>
      </c>
      <c r="F180" s="194" t="s">
        <v>137</v>
      </c>
      <c r="G180" s="194" t="s">
        <v>137</v>
      </c>
      <c r="H180" s="194" t="s">
        <v>137</v>
      </c>
      <c r="I180" s="194">
        <v>0</v>
      </c>
      <c r="J180" s="194" t="str">
        <f>INDEX('[4]TS BYDem'!$J$10:$J$203,MATCH(D180,'[4]TS BYDem'!$D$10:$D$203,0))</f>
        <v/>
      </c>
      <c r="K180" s="194" t="e">
        <f t="shared" ca="1" si="64"/>
        <v>#VALUE!</v>
      </c>
      <c r="L180" s="194" t="e">
        <f t="shared" ca="1" si="64"/>
        <v>#VALUE!</v>
      </c>
      <c r="M180" s="194" t="e">
        <f t="shared" ca="1" si="64"/>
        <v>#VALUE!</v>
      </c>
      <c r="N180" s="194" t="e">
        <f t="shared" ca="1" si="64"/>
        <v>#VALUE!</v>
      </c>
      <c r="O180" s="194" t="e">
        <f t="shared" ca="1" si="64"/>
        <v>#VALUE!</v>
      </c>
      <c r="P180" s="194" t="e">
        <f t="shared" ca="1" si="64"/>
        <v>#VALUE!</v>
      </c>
      <c r="Q180" s="194" t="e">
        <f t="shared" ca="1" si="64"/>
        <v>#VALUE!</v>
      </c>
      <c r="R180" s="194" t="e">
        <f t="shared" ca="1" si="64"/>
        <v>#VALUE!</v>
      </c>
      <c r="S180" s="194" t="e">
        <f t="shared" ca="1" si="64"/>
        <v>#VALUE!</v>
      </c>
      <c r="T180" s="194" t="e">
        <f t="shared" ca="1" si="64"/>
        <v>#VALUE!</v>
      </c>
      <c r="U180" s="194" t="e">
        <f t="shared" ca="1" si="64"/>
        <v>#VALUE!</v>
      </c>
      <c r="V180" s="194" t="e">
        <f t="shared" ca="1" si="64"/>
        <v>#VALUE!</v>
      </c>
      <c r="W180" s="194" t="e">
        <f t="shared" ca="1" si="64"/>
        <v>#VALUE!</v>
      </c>
      <c r="X180" s="194" t="e">
        <f t="shared" ca="1" si="64"/>
        <v>#VALUE!</v>
      </c>
      <c r="Y180" s="194" t="e">
        <f t="shared" ca="1" si="64"/>
        <v>#VALUE!</v>
      </c>
      <c r="Z180" s="194" t="e">
        <f t="shared" ca="1" si="64"/>
        <v>#VALUE!</v>
      </c>
      <c r="AA180" s="194" t="e">
        <f t="shared" ca="1" si="65"/>
        <v>#VALUE!</v>
      </c>
      <c r="AB180" s="194" t="e">
        <f t="shared" ca="1" si="65"/>
        <v>#VALUE!</v>
      </c>
      <c r="AC180" s="194" t="e">
        <f t="shared" ca="1" si="65"/>
        <v>#VALUE!</v>
      </c>
      <c r="AD180" s="194" t="e">
        <f t="shared" ca="1" si="65"/>
        <v>#VALUE!</v>
      </c>
      <c r="AE180" s="194" t="e">
        <f t="shared" ca="1" si="65"/>
        <v>#VALUE!</v>
      </c>
      <c r="AF180" s="194" t="e">
        <f t="shared" ca="1" si="65"/>
        <v>#VALUE!</v>
      </c>
      <c r="AG180" s="194" t="e">
        <f t="shared" ca="1" si="65"/>
        <v>#VALUE!</v>
      </c>
      <c r="AH180" s="194" t="e">
        <f t="shared" ca="1" si="65"/>
        <v>#VALUE!</v>
      </c>
      <c r="AI180" s="194" t="e">
        <f t="shared" ca="1" si="65"/>
        <v>#VALUE!</v>
      </c>
      <c r="AJ180" s="194" t="e">
        <f t="shared" ca="1" si="65"/>
        <v>#VALUE!</v>
      </c>
      <c r="AK180" s="194" t="e">
        <f t="shared" ca="1" si="65"/>
        <v>#VALUE!</v>
      </c>
      <c r="AL180" s="194" t="e">
        <f t="shared" ca="1" si="65"/>
        <v>#VALUE!</v>
      </c>
      <c r="AM180" s="194" t="e">
        <f t="shared" ca="1" si="65"/>
        <v>#VALUE!</v>
      </c>
      <c r="AN180" s="194" t="e">
        <f t="shared" ca="1" si="65"/>
        <v>#VALUE!</v>
      </c>
      <c r="AO180" s="194" t="e">
        <f t="shared" ca="1" si="65"/>
        <v>#VALUE!</v>
      </c>
      <c r="AP180" s="194" t="e">
        <f t="shared" ca="1" si="65"/>
        <v>#VALUE!</v>
      </c>
    </row>
    <row r="181" spans="1:42">
      <c r="A181" s="59" t="str">
        <f>'[4]TS BYDem'!A120</f>
        <v>*</v>
      </c>
      <c r="B181" s="194" t="s">
        <v>288</v>
      </c>
      <c r="C181" s="194" t="s">
        <v>137</v>
      </c>
      <c r="D181" s="194" t="str">
        <f>'[4]TS BYDem'!D120</f>
        <v>INMO</v>
      </c>
      <c r="E181" s="194" t="s">
        <v>137</v>
      </c>
      <c r="F181" s="194" t="s">
        <v>137</v>
      </c>
      <c r="G181" s="194" t="s">
        <v>137</v>
      </c>
      <c r="H181" s="194" t="s">
        <v>137</v>
      </c>
      <c r="I181" s="194">
        <v>0</v>
      </c>
      <c r="J181" s="194" t="str">
        <f>INDEX('[4]TS BYDem'!$J$10:$J$203,MATCH(D181,'[4]TS BYDem'!$D$10:$D$203,0))</f>
        <v/>
      </c>
      <c r="K181" s="194" t="e">
        <f t="shared" ca="1" si="64"/>
        <v>#VALUE!</v>
      </c>
      <c r="L181" s="194" t="e">
        <f t="shared" ca="1" si="64"/>
        <v>#VALUE!</v>
      </c>
      <c r="M181" s="194" t="e">
        <f t="shared" ca="1" si="64"/>
        <v>#VALUE!</v>
      </c>
      <c r="N181" s="194" t="e">
        <f t="shared" ca="1" si="64"/>
        <v>#VALUE!</v>
      </c>
      <c r="O181" s="194" t="e">
        <f t="shared" ca="1" si="64"/>
        <v>#VALUE!</v>
      </c>
      <c r="P181" s="194" t="e">
        <f t="shared" ca="1" si="64"/>
        <v>#VALUE!</v>
      </c>
      <c r="Q181" s="194" t="e">
        <f t="shared" ca="1" si="64"/>
        <v>#VALUE!</v>
      </c>
      <c r="R181" s="194" t="e">
        <f t="shared" ca="1" si="64"/>
        <v>#VALUE!</v>
      </c>
      <c r="S181" s="194" t="e">
        <f t="shared" ca="1" si="64"/>
        <v>#VALUE!</v>
      </c>
      <c r="T181" s="194" t="e">
        <f t="shared" ca="1" si="64"/>
        <v>#VALUE!</v>
      </c>
      <c r="U181" s="194" t="e">
        <f t="shared" ca="1" si="64"/>
        <v>#VALUE!</v>
      </c>
      <c r="V181" s="194" t="e">
        <f t="shared" ca="1" si="64"/>
        <v>#VALUE!</v>
      </c>
      <c r="W181" s="194" t="e">
        <f t="shared" ca="1" si="64"/>
        <v>#VALUE!</v>
      </c>
      <c r="X181" s="194" t="e">
        <f t="shared" ca="1" si="64"/>
        <v>#VALUE!</v>
      </c>
      <c r="Y181" s="194" t="e">
        <f t="shared" ca="1" si="64"/>
        <v>#VALUE!</v>
      </c>
      <c r="Z181" s="194" t="e">
        <f t="shared" ca="1" si="64"/>
        <v>#VALUE!</v>
      </c>
      <c r="AA181" s="194" t="e">
        <f t="shared" ca="1" si="65"/>
        <v>#VALUE!</v>
      </c>
      <c r="AB181" s="194" t="e">
        <f t="shared" ca="1" si="65"/>
        <v>#VALUE!</v>
      </c>
      <c r="AC181" s="194" t="e">
        <f t="shared" ca="1" si="65"/>
        <v>#VALUE!</v>
      </c>
      <c r="AD181" s="194" t="e">
        <f t="shared" ca="1" si="65"/>
        <v>#VALUE!</v>
      </c>
      <c r="AE181" s="194" t="e">
        <f t="shared" ca="1" si="65"/>
        <v>#VALUE!</v>
      </c>
      <c r="AF181" s="194" t="e">
        <f t="shared" ca="1" si="65"/>
        <v>#VALUE!</v>
      </c>
      <c r="AG181" s="194" t="e">
        <f t="shared" ca="1" si="65"/>
        <v>#VALUE!</v>
      </c>
      <c r="AH181" s="194" t="e">
        <f t="shared" ca="1" si="65"/>
        <v>#VALUE!</v>
      </c>
      <c r="AI181" s="194" t="e">
        <f t="shared" ca="1" si="65"/>
        <v>#VALUE!</v>
      </c>
      <c r="AJ181" s="194" t="e">
        <f t="shared" ca="1" si="65"/>
        <v>#VALUE!</v>
      </c>
      <c r="AK181" s="194" t="e">
        <f t="shared" ca="1" si="65"/>
        <v>#VALUE!</v>
      </c>
      <c r="AL181" s="194" t="e">
        <f t="shared" ca="1" si="65"/>
        <v>#VALUE!</v>
      </c>
      <c r="AM181" s="194" t="e">
        <f t="shared" ca="1" si="65"/>
        <v>#VALUE!</v>
      </c>
      <c r="AN181" s="194" t="e">
        <f t="shared" ca="1" si="65"/>
        <v>#VALUE!</v>
      </c>
      <c r="AO181" s="194" t="e">
        <f t="shared" ca="1" si="65"/>
        <v>#VALUE!</v>
      </c>
      <c r="AP181" s="194" t="e">
        <f t="shared" ca="1" si="65"/>
        <v>#VALUE!</v>
      </c>
    </row>
    <row r="182" spans="1:42">
      <c r="A182" s="59" t="str">
        <f>'[4]TS BYDem'!A121</f>
        <v>*</v>
      </c>
      <c r="B182" s="194" t="s">
        <v>288</v>
      </c>
      <c r="C182" s="194" t="s">
        <v>137</v>
      </c>
      <c r="D182" s="194" t="str">
        <f>'[4]TS BYDem'!D121</f>
        <v>INME</v>
      </c>
      <c r="E182" s="194" t="s">
        <v>137</v>
      </c>
      <c r="F182" s="194" t="s">
        <v>137</v>
      </c>
      <c r="G182" s="194" t="s">
        <v>137</v>
      </c>
      <c r="H182" s="194" t="s">
        <v>137</v>
      </c>
      <c r="I182" s="194">
        <v>0</v>
      </c>
      <c r="J182" s="194" t="str">
        <f>INDEX('[4]TS BYDem'!$J$10:$J$203,MATCH(D182,'[4]TS BYDem'!$D$10:$D$203,0))</f>
        <v/>
      </c>
      <c r="K182" s="194" t="e">
        <f t="shared" ca="1" si="64"/>
        <v>#VALUE!</v>
      </c>
      <c r="L182" s="194" t="e">
        <f t="shared" ca="1" si="64"/>
        <v>#VALUE!</v>
      </c>
      <c r="M182" s="194" t="e">
        <f t="shared" ca="1" si="64"/>
        <v>#VALUE!</v>
      </c>
      <c r="N182" s="194" t="e">
        <f t="shared" ca="1" si="64"/>
        <v>#VALUE!</v>
      </c>
      <c r="O182" s="194" t="e">
        <f t="shared" ca="1" si="64"/>
        <v>#VALUE!</v>
      </c>
      <c r="P182" s="194" t="e">
        <f t="shared" ca="1" si="64"/>
        <v>#VALUE!</v>
      </c>
      <c r="Q182" s="194" t="e">
        <f t="shared" ca="1" si="64"/>
        <v>#VALUE!</v>
      </c>
      <c r="R182" s="194" t="e">
        <f t="shared" ca="1" si="64"/>
        <v>#VALUE!</v>
      </c>
      <c r="S182" s="194" t="e">
        <f t="shared" ca="1" si="64"/>
        <v>#VALUE!</v>
      </c>
      <c r="T182" s="194" t="e">
        <f t="shared" ca="1" si="64"/>
        <v>#VALUE!</v>
      </c>
      <c r="U182" s="194" t="e">
        <f t="shared" ca="1" si="64"/>
        <v>#VALUE!</v>
      </c>
      <c r="V182" s="194" t="e">
        <f t="shared" ca="1" si="64"/>
        <v>#VALUE!</v>
      </c>
      <c r="W182" s="194" t="e">
        <f t="shared" ca="1" si="64"/>
        <v>#VALUE!</v>
      </c>
      <c r="X182" s="194" t="e">
        <f t="shared" ca="1" si="64"/>
        <v>#VALUE!</v>
      </c>
      <c r="Y182" s="194" t="e">
        <f t="shared" ca="1" si="64"/>
        <v>#VALUE!</v>
      </c>
      <c r="Z182" s="194" t="e">
        <f t="shared" ca="1" si="64"/>
        <v>#VALUE!</v>
      </c>
      <c r="AA182" s="194" t="e">
        <f t="shared" ca="1" si="65"/>
        <v>#VALUE!</v>
      </c>
      <c r="AB182" s="194" t="e">
        <f t="shared" ca="1" si="65"/>
        <v>#VALUE!</v>
      </c>
      <c r="AC182" s="194" t="e">
        <f t="shared" ca="1" si="65"/>
        <v>#VALUE!</v>
      </c>
      <c r="AD182" s="194" t="e">
        <f t="shared" ca="1" si="65"/>
        <v>#VALUE!</v>
      </c>
      <c r="AE182" s="194" t="e">
        <f t="shared" ca="1" si="65"/>
        <v>#VALUE!</v>
      </c>
      <c r="AF182" s="194" t="e">
        <f t="shared" ca="1" si="65"/>
        <v>#VALUE!</v>
      </c>
      <c r="AG182" s="194" t="e">
        <f t="shared" ca="1" si="65"/>
        <v>#VALUE!</v>
      </c>
      <c r="AH182" s="194" t="e">
        <f t="shared" ca="1" si="65"/>
        <v>#VALUE!</v>
      </c>
      <c r="AI182" s="194" t="e">
        <f t="shared" ca="1" si="65"/>
        <v>#VALUE!</v>
      </c>
      <c r="AJ182" s="194" t="e">
        <f t="shared" ca="1" si="65"/>
        <v>#VALUE!</v>
      </c>
      <c r="AK182" s="194" t="e">
        <f t="shared" ca="1" si="65"/>
        <v>#VALUE!</v>
      </c>
      <c r="AL182" s="194" t="e">
        <f t="shared" ca="1" si="65"/>
        <v>#VALUE!</v>
      </c>
      <c r="AM182" s="194" t="e">
        <f t="shared" ca="1" si="65"/>
        <v>#VALUE!</v>
      </c>
      <c r="AN182" s="194" t="e">
        <f t="shared" ca="1" si="65"/>
        <v>#VALUE!</v>
      </c>
      <c r="AO182" s="194" t="e">
        <f t="shared" ca="1" si="65"/>
        <v>#VALUE!</v>
      </c>
      <c r="AP182" s="194" t="e">
        <f t="shared" ca="1" si="65"/>
        <v>#VALUE!</v>
      </c>
    </row>
    <row r="183" spans="1:42">
      <c r="A183" s="59" t="str">
        <f>'[4]TS BYDem'!A122</f>
        <v>*</v>
      </c>
      <c r="B183" s="194" t="s">
        <v>288</v>
      </c>
      <c r="C183" s="194" t="s">
        <v>137</v>
      </c>
      <c r="D183" s="194" t="str">
        <f>'[4]TS BYDem'!D122</f>
        <v xml:space="preserve"> </v>
      </c>
      <c r="E183" s="194" t="s">
        <v>137</v>
      </c>
      <c r="F183" s="194" t="s">
        <v>137</v>
      </c>
      <c r="G183" s="194" t="s">
        <v>137</v>
      </c>
      <c r="H183" s="194" t="s">
        <v>137</v>
      </c>
      <c r="I183" s="194">
        <v>0</v>
      </c>
      <c r="J183" s="194" t="str">
        <f>INDEX('[4]TS BYDem'!$J$10:$J$203,MATCH(D183,'[4]TS BYDem'!$D$10:$D$203,0))</f>
        <v/>
      </c>
      <c r="K183" s="194" t="e">
        <f t="shared" ca="1" si="64"/>
        <v>#VALUE!</v>
      </c>
      <c r="L183" s="194" t="e">
        <f t="shared" ca="1" si="64"/>
        <v>#VALUE!</v>
      </c>
      <c r="M183" s="194" t="e">
        <f t="shared" ca="1" si="64"/>
        <v>#VALUE!</v>
      </c>
      <c r="N183" s="194" t="e">
        <f t="shared" ca="1" si="64"/>
        <v>#VALUE!</v>
      </c>
      <c r="O183" s="194" t="e">
        <f t="shared" ca="1" si="64"/>
        <v>#VALUE!</v>
      </c>
      <c r="P183" s="194" t="e">
        <f t="shared" ca="1" si="64"/>
        <v>#VALUE!</v>
      </c>
      <c r="Q183" s="194" t="e">
        <f t="shared" ca="1" si="64"/>
        <v>#VALUE!</v>
      </c>
      <c r="R183" s="194" t="e">
        <f t="shared" ca="1" si="64"/>
        <v>#VALUE!</v>
      </c>
      <c r="S183" s="194" t="e">
        <f t="shared" ca="1" si="64"/>
        <v>#VALUE!</v>
      </c>
      <c r="T183" s="194" t="e">
        <f t="shared" ca="1" si="64"/>
        <v>#VALUE!</v>
      </c>
      <c r="U183" s="194" t="e">
        <f t="shared" ca="1" si="64"/>
        <v>#VALUE!</v>
      </c>
      <c r="V183" s="194" t="e">
        <f t="shared" ca="1" si="64"/>
        <v>#VALUE!</v>
      </c>
      <c r="W183" s="194" t="e">
        <f t="shared" ca="1" si="64"/>
        <v>#VALUE!</v>
      </c>
      <c r="X183" s="194" t="e">
        <f t="shared" ca="1" si="64"/>
        <v>#VALUE!</v>
      </c>
      <c r="Y183" s="194" t="e">
        <f t="shared" ca="1" si="64"/>
        <v>#VALUE!</v>
      </c>
      <c r="Z183" s="194" t="e">
        <f t="shared" ca="1" si="64"/>
        <v>#VALUE!</v>
      </c>
      <c r="AA183" s="194" t="e">
        <f t="shared" ca="1" si="65"/>
        <v>#VALUE!</v>
      </c>
      <c r="AB183" s="194" t="e">
        <f t="shared" ca="1" si="65"/>
        <v>#VALUE!</v>
      </c>
      <c r="AC183" s="194" t="e">
        <f t="shared" ca="1" si="65"/>
        <v>#VALUE!</v>
      </c>
      <c r="AD183" s="194" t="e">
        <f t="shared" ca="1" si="65"/>
        <v>#VALUE!</v>
      </c>
      <c r="AE183" s="194" t="e">
        <f t="shared" ca="1" si="65"/>
        <v>#VALUE!</v>
      </c>
      <c r="AF183" s="194" t="e">
        <f t="shared" ca="1" si="65"/>
        <v>#VALUE!</v>
      </c>
      <c r="AG183" s="194" t="e">
        <f t="shared" ca="1" si="65"/>
        <v>#VALUE!</v>
      </c>
      <c r="AH183" s="194" t="e">
        <f t="shared" ca="1" si="65"/>
        <v>#VALUE!</v>
      </c>
      <c r="AI183" s="194" t="e">
        <f t="shared" ca="1" si="65"/>
        <v>#VALUE!</v>
      </c>
      <c r="AJ183" s="194" t="e">
        <f t="shared" ca="1" si="65"/>
        <v>#VALUE!</v>
      </c>
      <c r="AK183" s="194" t="e">
        <f t="shared" ca="1" si="65"/>
        <v>#VALUE!</v>
      </c>
      <c r="AL183" s="194" t="e">
        <f t="shared" ca="1" si="65"/>
        <v>#VALUE!</v>
      </c>
      <c r="AM183" s="194" t="e">
        <f t="shared" ca="1" si="65"/>
        <v>#VALUE!</v>
      </c>
      <c r="AN183" s="194" t="e">
        <f t="shared" ca="1" si="65"/>
        <v>#VALUE!</v>
      </c>
      <c r="AO183" s="194" t="e">
        <f t="shared" ca="1" si="65"/>
        <v>#VALUE!</v>
      </c>
      <c r="AP183" s="194" t="e">
        <f t="shared" ca="1" si="65"/>
        <v>#VALUE!</v>
      </c>
    </row>
    <row r="184" spans="1:42">
      <c r="A184" s="59" t="str">
        <f>'[4]TS BYDem'!A123</f>
        <v>*</v>
      </c>
      <c r="B184" s="194" t="s">
        <v>288</v>
      </c>
      <c r="C184" s="194" t="s">
        <v>137</v>
      </c>
      <c r="D184" s="194" t="str">
        <f>'[4]TS BYDem'!D123</f>
        <v>INMS</v>
      </c>
      <c r="E184" s="194" t="s">
        <v>137</v>
      </c>
      <c r="F184" s="194" t="s">
        <v>137</v>
      </c>
      <c r="G184" s="194" t="s">
        <v>137</v>
      </c>
      <c r="H184" s="194" t="s">
        <v>137</v>
      </c>
      <c r="I184" s="194">
        <v>0</v>
      </c>
      <c r="J184" s="194" t="str">
        <f>INDEX('[4]TS BYDem'!$J$10:$J$203,MATCH(D184,'[4]TS BYDem'!$D$10:$D$203,0))</f>
        <v/>
      </c>
      <c r="K184" s="194" t="e">
        <f t="shared" ca="1" si="64"/>
        <v>#VALUE!</v>
      </c>
      <c r="L184" s="194" t="e">
        <f t="shared" ca="1" si="64"/>
        <v>#VALUE!</v>
      </c>
      <c r="M184" s="194" t="e">
        <f t="shared" ca="1" si="64"/>
        <v>#VALUE!</v>
      </c>
      <c r="N184" s="194" t="e">
        <f t="shared" ca="1" si="64"/>
        <v>#VALUE!</v>
      </c>
      <c r="O184" s="194" t="e">
        <f t="shared" ca="1" si="64"/>
        <v>#VALUE!</v>
      </c>
      <c r="P184" s="194" t="e">
        <f t="shared" ca="1" si="64"/>
        <v>#VALUE!</v>
      </c>
      <c r="Q184" s="194" t="e">
        <f t="shared" ca="1" si="64"/>
        <v>#VALUE!</v>
      </c>
      <c r="R184" s="194" t="e">
        <f t="shared" ca="1" si="64"/>
        <v>#VALUE!</v>
      </c>
      <c r="S184" s="194" t="e">
        <f t="shared" ca="1" si="64"/>
        <v>#VALUE!</v>
      </c>
      <c r="T184" s="194" t="e">
        <f t="shared" ca="1" si="64"/>
        <v>#VALUE!</v>
      </c>
      <c r="U184" s="194" t="e">
        <f t="shared" ca="1" si="64"/>
        <v>#VALUE!</v>
      </c>
      <c r="V184" s="194" t="e">
        <f t="shared" ca="1" si="64"/>
        <v>#VALUE!</v>
      </c>
      <c r="W184" s="194" t="e">
        <f t="shared" ca="1" si="64"/>
        <v>#VALUE!</v>
      </c>
      <c r="X184" s="194" t="e">
        <f t="shared" ca="1" si="64"/>
        <v>#VALUE!</v>
      </c>
      <c r="Y184" s="194" t="e">
        <f t="shared" ca="1" si="64"/>
        <v>#VALUE!</v>
      </c>
      <c r="Z184" s="194" t="e">
        <f t="shared" ca="1" si="64"/>
        <v>#VALUE!</v>
      </c>
      <c r="AA184" s="194" t="e">
        <f t="shared" ca="1" si="65"/>
        <v>#VALUE!</v>
      </c>
      <c r="AB184" s="194" t="e">
        <f t="shared" ca="1" si="65"/>
        <v>#VALUE!</v>
      </c>
      <c r="AC184" s="194" t="e">
        <f t="shared" ca="1" si="65"/>
        <v>#VALUE!</v>
      </c>
      <c r="AD184" s="194" t="e">
        <f t="shared" ca="1" si="65"/>
        <v>#VALUE!</v>
      </c>
      <c r="AE184" s="194" t="e">
        <f t="shared" ca="1" si="65"/>
        <v>#VALUE!</v>
      </c>
      <c r="AF184" s="194" t="e">
        <f t="shared" ca="1" si="65"/>
        <v>#VALUE!</v>
      </c>
      <c r="AG184" s="194" t="e">
        <f t="shared" ca="1" si="65"/>
        <v>#VALUE!</v>
      </c>
      <c r="AH184" s="194" t="e">
        <f t="shared" ca="1" si="65"/>
        <v>#VALUE!</v>
      </c>
      <c r="AI184" s="194" t="e">
        <f t="shared" ca="1" si="65"/>
        <v>#VALUE!</v>
      </c>
      <c r="AJ184" s="194" t="e">
        <f t="shared" ca="1" si="65"/>
        <v>#VALUE!</v>
      </c>
      <c r="AK184" s="194" t="e">
        <f t="shared" ca="1" si="65"/>
        <v>#VALUE!</v>
      </c>
      <c r="AL184" s="194" t="e">
        <f t="shared" ca="1" si="65"/>
        <v>#VALUE!</v>
      </c>
      <c r="AM184" s="194" t="e">
        <f t="shared" ca="1" si="65"/>
        <v>#VALUE!</v>
      </c>
      <c r="AN184" s="194" t="e">
        <f t="shared" ca="1" si="65"/>
        <v>#VALUE!</v>
      </c>
      <c r="AO184" s="194" t="e">
        <f t="shared" ca="1" si="65"/>
        <v>#VALUE!</v>
      </c>
      <c r="AP184" s="194" t="e">
        <f t="shared" ca="1" si="65"/>
        <v>#VALUE!</v>
      </c>
    </row>
    <row r="185" spans="1:42">
      <c r="A185" s="59" t="str">
        <f>'[4]TS BYDem'!A124</f>
        <v>*</v>
      </c>
      <c r="B185" s="194" t="s">
        <v>288</v>
      </c>
      <c r="C185" s="194" t="s">
        <v>137</v>
      </c>
      <c r="D185" s="194" t="str">
        <f>'[4]TS BYDem'!D124</f>
        <v>INMS</v>
      </c>
      <c r="E185" s="194" t="s">
        <v>137</v>
      </c>
      <c r="F185" s="194" t="s">
        <v>137</v>
      </c>
      <c r="G185" s="194" t="s">
        <v>137</v>
      </c>
      <c r="H185" s="194" t="s">
        <v>137</v>
      </c>
      <c r="I185" s="194">
        <v>0</v>
      </c>
      <c r="J185" s="194" t="str">
        <f>INDEX('[4]TS BYDem'!$J$10:$J$203,MATCH(D185,'[4]TS BYDem'!$D$10:$D$203,0))</f>
        <v/>
      </c>
      <c r="K185" s="194" t="e">
        <f t="shared" ca="1" si="64"/>
        <v>#VALUE!</v>
      </c>
      <c r="L185" s="194" t="e">
        <f t="shared" ca="1" si="64"/>
        <v>#VALUE!</v>
      </c>
      <c r="M185" s="194" t="e">
        <f t="shared" ca="1" si="64"/>
        <v>#VALUE!</v>
      </c>
      <c r="N185" s="194" t="e">
        <f t="shared" ca="1" si="64"/>
        <v>#VALUE!</v>
      </c>
      <c r="O185" s="194" t="e">
        <f t="shared" ca="1" si="64"/>
        <v>#VALUE!</v>
      </c>
      <c r="P185" s="194" t="e">
        <f t="shared" ca="1" si="64"/>
        <v>#VALUE!</v>
      </c>
      <c r="Q185" s="194" t="e">
        <f t="shared" ca="1" si="64"/>
        <v>#VALUE!</v>
      </c>
      <c r="R185" s="194" t="e">
        <f t="shared" ca="1" si="64"/>
        <v>#VALUE!</v>
      </c>
      <c r="S185" s="194" t="e">
        <f t="shared" ca="1" si="64"/>
        <v>#VALUE!</v>
      </c>
      <c r="T185" s="194" t="e">
        <f t="shared" ca="1" si="64"/>
        <v>#VALUE!</v>
      </c>
      <c r="U185" s="194" t="e">
        <f t="shared" ca="1" si="64"/>
        <v>#VALUE!</v>
      </c>
      <c r="V185" s="194" t="e">
        <f t="shared" ca="1" si="64"/>
        <v>#VALUE!</v>
      </c>
      <c r="W185" s="194" t="e">
        <f t="shared" ca="1" si="64"/>
        <v>#VALUE!</v>
      </c>
      <c r="X185" s="194" t="e">
        <f t="shared" ca="1" si="64"/>
        <v>#VALUE!</v>
      </c>
      <c r="Y185" s="194" t="e">
        <f t="shared" ca="1" si="64"/>
        <v>#VALUE!</v>
      </c>
      <c r="Z185" s="194" t="e">
        <f t="shared" ca="1" si="64"/>
        <v>#VALUE!</v>
      </c>
      <c r="AA185" s="194" t="e">
        <f t="shared" ca="1" si="65"/>
        <v>#VALUE!</v>
      </c>
      <c r="AB185" s="194" t="e">
        <f t="shared" ca="1" si="65"/>
        <v>#VALUE!</v>
      </c>
      <c r="AC185" s="194" t="e">
        <f t="shared" ca="1" si="65"/>
        <v>#VALUE!</v>
      </c>
      <c r="AD185" s="194" t="e">
        <f t="shared" ca="1" si="65"/>
        <v>#VALUE!</v>
      </c>
      <c r="AE185" s="194" t="e">
        <f t="shared" ca="1" si="65"/>
        <v>#VALUE!</v>
      </c>
      <c r="AF185" s="194" t="e">
        <f t="shared" ca="1" si="65"/>
        <v>#VALUE!</v>
      </c>
      <c r="AG185" s="194" t="e">
        <f t="shared" ca="1" si="65"/>
        <v>#VALUE!</v>
      </c>
      <c r="AH185" s="194" t="e">
        <f t="shared" ca="1" si="65"/>
        <v>#VALUE!</v>
      </c>
      <c r="AI185" s="194" t="e">
        <f t="shared" ca="1" si="65"/>
        <v>#VALUE!</v>
      </c>
      <c r="AJ185" s="194" t="e">
        <f t="shared" ca="1" si="65"/>
        <v>#VALUE!</v>
      </c>
      <c r="AK185" s="194" t="e">
        <f t="shared" ca="1" si="65"/>
        <v>#VALUE!</v>
      </c>
      <c r="AL185" s="194" t="e">
        <f t="shared" ca="1" si="65"/>
        <v>#VALUE!</v>
      </c>
      <c r="AM185" s="194" t="e">
        <f t="shared" ca="1" si="65"/>
        <v>#VALUE!</v>
      </c>
      <c r="AN185" s="194" t="e">
        <f t="shared" ca="1" si="65"/>
        <v>#VALUE!</v>
      </c>
      <c r="AO185" s="194" t="e">
        <f t="shared" ca="1" si="65"/>
        <v>#VALUE!</v>
      </c>
      <c r="AP185" s="194" t="e">
        <f t="shared" ca="1" si="65"/>
        <v>#VALUE!</v>
      </c>
    </row>
    <row r="186" spans="1:42">
      <c r="A186" s="59" t="str">
        <f>'[4]TS BYDem'!A125</f>
        <v>*</v>
      </c>
      <c r="B186" s="194" t="s">
        <v>288</v>
      </c>
      <c r="C186" s="194" t="s">
        <v>137</v>
      </c>
      <c r="D186" s="194" t="str">
        <f>'[4]TS BYDem'!D125</f>
        <v>INMS</v>
      </c>
      <c r="E186" s="194" t="s">
        <v>137</v>
      </c>
      <c r="F186" s="194" t="s">
        <v>137</v>
      </c>
      <c r="G186" s="194" t="s">
        <v>137</v>
      </c>
      <c r="H186" s="194" t="s">
        <v>137</v>
      </c>
      <c r="I186" s="194">
        <v>0</v>
      </c>
      <c r="J186" s="194" t="str">
        <f>INDEX('[4]TS BYDem'!$J$10:$J$203,MATCH(D186,'[4]TS BYDem'!$D$10:$D$203,0))</f>
        <v/>
      </c>
      <c r="K186" s="194" t="e">
        <f t="shared" ca="1" si="64"/>
        <v>#VALUE!</v>
      </c>
      <c r="L186" s="194" t="e">
        <f t="shared" ca="1" si="64"/>
        <v>#VALUE!</v>
      </c>
      <c r="M186" s="194" t="e">
        <f t="shared" ca="1" si="64"/>
        <v>#VALUE!</v>
      </c>
      <c r="N186" s="194" t="e">
        <f t="shared" ca="1" si="64"/>
        <v>#VALUE!</v>
      </c>
      <c r="O186" s="194" t="e">
        <f t="shared" ca="1" si="64"/>
        <v>#VALUE!</v>
      </c>
      <c r="P186" s="194" t="e">
        <f t="shared" ca="1" si="64"/>
        <v>#VALUE!</v>
      </c>
      <c r="Q186" s="194" t="e">
        <f t="shared" ca="1" si="64"/>
        <v>#VALUE!</v>
      </c>
      <c r="R186" s="194" t="e">
        <f t="shared" ca="1" si="64"/>
        <v>#VALUE!</v>
      </c>
      <c r="S186" s="194" t="e">
        <f t="shared" ca="1" si="64"/>
        <v>#VALUE!</v>
      </c>
      <c r="T186" s="194" t="e">
        <f t="shared" ca="1" si="64"/>
        <v>#VALUE!</v>
      </c>
      <c r="U186" s="194" t="e">
        <f t="shared" ca="1" si="64"/>
        <v>#VALUE!</v>
      </c>
      <c r="V186" s="194" t="e">
        <f t="shared" ca="1" si="64"/>
        <v>#VALUE!</v>
      </c>
      <c r="W186" s="194" t="e">
        <f t="shared" ca="1" si="64"/>
        <v>#VALUE!</v>
      </c>
      <c r="X186" s="194" t="e">
        <f t="shared" ca="1" si="64"/>
        <v>#VALUE!</v>
      </c>
      <c r="Y186" s="194" t="e">
        <f t="shared" ca="1" si="64"/>
        <v>#VALUE!</v>
      </c>
      <c r="Z186" s="194" t="e">
        <f t="shared" ca="1" si="64"/>
        <v>#VALUE!</v>
      </c>
      <c r="AA186" s="194" t="e">
        <f t="shared" ca="1" si="65"/>
        <v>#VALUE!</v>
      </c>
      <c r="AB186" s="194" t="e">
        <f t="shared" ca="1" si="65"/>
        <v>#VALUE!</v>
      </c>
      <c r="AC186" s="194" t="e">
        <f t="shared" ca="1" si="65"/>
        <v>#VALUE!</v>
      </c>
      <c r="AD186" s="194" t="e">
        <f t="shared" ca="1" si="65"/>
        <v>#VALUE!</v>
      </c>
      <c r="AE186" s="194" t="e">
        <f t="shared" ca="1" si="65"/>
        <v>#VALUE!</v>
      </c>
      <c r="AF186" s="194" t="e">
        <f t="shared" ca="1" si="65"/>
        <v>#VALUE!</v>
      </c>
      <c r="AG186" s="194" t="e">
        <f t="shared" ca="1" si="65"/>
        <v>#VALUE!</v>
      </c>
      <c r="AH186" s="194" t="e">
        <f t="shared" ca="1" si="65"/>
        <v>#VALUE!</v>
      </c>
      <c r="AI186" s="194" t="e">
        <f t="shared" ca="1" si="65"/>
        <v>#VALUE!</v>
      </c>
      <c r="AJ186" s="194" t="e">
        <f t="shared" ca="1" si="65"/>
        <v>#VALUE!</v>
      </c>
      <c r="AK186" s="194" t="e">
        <f t="shared" ca="1" si="65"/>
        <v>#VALUE!</v>
      </c>
      <c r="AL186" s="194" t="e">
        <f t="shared" ca="1" si="65"/>
        <v>#VALUE!</v>
      </c>
      <c r="AM186" s="194" t="e">
        <f t="shared" ca="1" si="65"/>
        <v>#VALUE!</v>
      </c>
      <c r="AN186" s="194" t="e">
        <f t="shared" ca="1" si="65"/>
        <v>#VALUE!</v>
      </c>
      <c r="AO186" s="194" t="e">
        <f t="shared" ca="1" si="65"/>
        <v>#VALUE!</v>
      </c>
      <c r="AP186" s="194" t="e">
        <f t="shared" ca="1" si="65"/>
        <v>#VALUE!</v>
      </c>
    </row>
    <row r="187" spans="1:42">
      <c r="A187" s="59" t="str">
        <f>'[4]TS BYDem'!A126</f>
        <v>*</v>
      </c>
      <c r="B187" s="194" t="s">
        <v>288</v>
      </c>
      <c r="C187" s="194" t="s">
        <v>137</v>
      </c>
      <c r="D187" s="194" t="str">
        <f>'[4]TS BYDem'!D126</f>
        <v>INMS</v>
      </c>
      <c r="E187" s="194" t="s">
        <v>137</v>
      </c>
      <c r="F187" s="194" t="s">
        <v>137</v>
      </c>
      <c r="G187" s="194" t="s">
        <v>137</v>
      </c>
      <c r="H187" s="194" t="s">
        <v>137</v>
      </c>
      <c r="I187" s="194">
        <v>0</v>
      </c>
      <c r="J187" s="194" t="str">
        <f>INDEX('[4]TS BYDem'!$J$10:$J$203,MATCH(D187,'[4]TS BYDem'!$D$10:$D$203,0))</f>
        <v/>
      </c>
      <c r="K187" s="194" t="e">
        <f t="shared" ca="1" si="64"/>
        <v>#VALUE!</v>
      </c>
      <c r="L187" s="194" t="e">
        <f t="shared" ca="1" si="64"/>
        <v>#VALUE!</v>
      </c>
      <c r="M187" s="194" t="e">
        <f t="shared" ca="1" si="64"/>
        <v>#VALUE!</v>
      </c>
      <c r="N187" s="194" t="e">
        <f t="shared" ca="1" si="64"/>
        <v>#VALUE!</v>
      </c>
      <c r="O187" s="194" t="e">
        <f t="shared" ca="1" si="64"/>
        <v>#VALUE!</v>
      </c>
      <c r="P187" s="194" t="e">
        <f t="shared" ca="1" si="64"/>
        <v>#VALUE!</v>
      </c>
      <c r="Q187" s="194" t="e">
        <f t="shared" ca="1" si="64"/>
        <v>#VALUE!</v>
      </c>
      <c r="R187" s="194" t="e">
        <f t="shared" ca="1" si="64"/>
        <v>#VALUE!</v>
      </c>
      <c r="S187" s="194" t="e">
        <f t="shared" ca="1" si="64"/>
        <v>#VALUE!</v>
      </c>
      <c r="T187" s="194" t="e">
        <f t="shared" ca="1" si="64"/>
        <v>#VALUE!</v>
      </c>
      <c r="U187" s="194" t="e">
        <f t="shared" ca="1" si="64"/>
        <v>#VALUE!</v>
      </c>
      <c r="V187" s="194" t="e">
        <f t="shared" ca="1" si="64"/>
        <v>#VALUE!</v>
      </c>
      <c r="W187" s="194" t="e">
        <f t="shared" ca="1" si="64"/>
        <v>#VALUE!</v>
      </c>
      <c r="X187" s="194" t="e">
        <f t="shared" ca="1" si="64"/>
        <v>#VALUE!</v>
      </c>
      <c r="Y187" s="194" t="e">
        <f t="shared" ca="1" si="64"/>
        <v>#VALUE!</v>
      </c>
      <c r="Z187" s="194" t="e">
        <f t="shared" ca="1" si="64"/>
        <v>#VALUE!</v>
      </c>
      <c r="AA187" s="194" t="e">
        <f t="shared" ca="1" si="65"/>
        <v>#VALUE!</v>
      </c>
      <c r="AB187" s="194" t="e">
        <f t="shared" ca="1" si="65"/>
        <v>#VALUE!</v>
      </c>
      <c r="AC187" s="194" t="e">
        <f t="shared" ca="1" si="65"/>
        <v>#VALUE!</v>
      </c>
      <c r="AD187" s="194" t="e">
        <f t="shared" ca="1" si="65"/>
        <v>#VALUE!</v>
      </c>
      <c r="AE187" s="194" t="e">
        <f t="shared" ca="1" si="65"/>
        <v>#VALUE!</v>
      </c>
      <c r="AF187" s="194" t="e">
        <f t="shared" ca="1" si="65"/>
        <v>#VALUE!</v>
      </c>
      <c r="AG187" s="194" t="e">
        <f t="shared" ca="1" si="65"/>
        <v>#VALUE!</v>
      </c>
      <c r="AH187" s="194" t="e">
        <f t="shared" ca="1" si="65"/>
        <v>#VALUE!</v>
      </c>
      <c r="AI187" s="194" t="e">
        <f t="shared" ca="1" si="65"/>
        <v>#VALUE!</v>
      </c>
      <c r="AJ187" s="194" t="e">
        <f t="shared" ca="1" si="65"/>
        <v>#VALUE!</v>
      </c>
      <c r="AK187" s="194" t="e">
        <f t="shared" ca="1" si="65"/>
        <v>#VALUE!</v>
      </c>
      <c r="AL187" s="194" t="e">
        <f t="shared" ca="1" si="65"/>
        <v>#VALUE!</v>
      </c>
      <c r="AM187" s="194" t="e">
        <f t="shared" ca="1" si="65"/>
        <v>#VALUE!</v>
      </c>
      <c r="AN187" s="194" t="e">
        <f t="shared" ca="1" si="65"/>
        <v>#VALUE!</v>
      </c>
      <c r="AO187" s="194" t="e">
        <f t="shared" ca="1" si="65"/>
        <v>#VALUE!</v>
      </c>
      <c r="AP187" s="194" t="e">
        <f t="shared" ca="1" si="65"/>
        <v>#VALUE!</v>
      </c>
    </row>
    <row r="188" spans="1:42">
      <c r="A188" s="59" t="str">
        <f>'[4]TS BYDem'!A127</f>
        <v>*</v>
      </c>
      <c r="B188" s="194" t="s">
        <v>288</v>
      </c>
      <c r="C188" s="194" t="s">
        <v>137</v>
      </c>
      <c r="D188" s="194" t="str">
        <f>'[4]TS BYDem'!D127</f>
        <v>INMS</v>
      </c>
      <c r="E188" s="194" t="s">
        <v>137</v>
      </c>
      <c r="F188" s="194" t="s">
        <v>137</v>
      </c>
      <c r="G188" s="194" t="s">
        <v>137</v>
      </c>
      <c r="H188" s="194" t="s">
        <v>137</v>
      </c>
      <c r="I188" s="194">
        <v>0</v>
      </c>
      <c r="J188" s="194" t="str">
        <f>INDEX('[4]TS BYDem'!$J$10:$J$203,MATCH(D188,'[4]TS BYDem'!$D$10:$D$203,0))</f>
        <v/>
      </c>
      <c r="K188" s="194" t="e">
        <f t="shared" ca="1" si="64"/>
        <v>#VALUE!</v>
      </c>
      <c r="L188" s="194" t="e">
        <f t="shared" ca="1" si="64"/>
        <v>#VALUE!</v>
      </c>
      <c r="M188" s="194" t="e">
        <f t="shared" ca="1" si="64"/>
        <v>#VALUE!</v>
      </c>
      <c r="N188" s="194" t="e">
        <f t="shared" ca="1" si="64"/>
        <v>#VALUE!</v>
      </c>
      <c r="O188" s="194" t="e">
        <f t="shared" ca="1" si="64"/>
        <v>#VALUE!</v>
      </c>
      <c r="P188" s="194" t="e">
        <f t="shared" ca="1" si="64"/>
        <v>#VALUE!</v>
      </c>
      <c r="Q188" s="194" t="e">
        <f t="shared" ca="1" si="64"/>
        <v>#VALUE!</v>
      </c>
      <c r="R188" s="194" t="e">
        <f t="shared" ca="1" si="64"/>
        <v>#VALUE!</v>
      </c>
      <c r="S188" s="194" t="e">
        <f t="shared" ca="1" si="64"/>
        <v>#VALUE!</v>
      </c>
      <c r="T188" s="194" t="e">
        <f t="shared" ca="1" si="64"/>
        <v>#VALUE!</v>
      </c>
      <c r="U188" s="194" t="e">
        <f t="shared" ca="1" si="64"/>
        <v>#VALUE!</v>
      </c>
      <c r="V188" s="194" t="e">
        <f t="shared" ca="1" si="64"/>
        <v>#VALUE!</v>
      </c>
      <c r="W188" s="194" t="e">
        <f t="shared" ca="1" si="64"/>
        <v>#VALUE!</v>
      </c>
      <c r="X188" s="194" t="e">
        <f t="shared" ca="1" si="64"/>
        <v>#VALUE!</v>
      </c>
      <c r="Y188" s="194" t="e">
        <f t="shared" ca="1" si="64"/>
        <v>#VALUE!</v>
      </c>
      <c r="Z188" s="194" t="e">
        <f t="shared" ca="1" si="64"/>
        <v>#VALUE!</v>
      </c>
      <c r="AA188" s="194" t="e">
        <f t="shared" ca="1" si="65"/>
        <v>#VALUE!</v>
      </c>
      <c r="AB188" s="194" t="e">
        <f t="shared" ca="1" si="65"/>
        <v>#VALUE!</v>
      </c>
      <c r="AC188" s="194" t="e">
        <f t="shared" ca="1" si="65"/>
        <v>#VALUE!</v>
      </c>
      <c r="AD188" s="194" t="e">
        <f t="shared" ca="1" si="65"/>
        <v>#VALUE!</v>
      </c>
      <c r="AE188" s="194" t="e">
        <f t="shared" ca="1" si="65"/>
        <v>#VALUE!</v>
      </c>
      <c r="AF188" s="194" t="e">
        <f t="shared" ca="1" si="65"/>
        <v>#VALUE!</v>
      </c>
      <c r="AG188" s="194" t="e">
        <f t="shared" ca="1" si="65"/>
        <v>#VALUE!</v>
      </c>
      <c r="AH188" s="194" t="e">
        <f t="shared" ca="1" si="65"/>
        <v>#VALUE!</v>
      </c>
      <c r="AI188" s="194" t="e">
        <f t="shared" ca="1" si="65"/>
        <v>#VALUE!</v>
      </c>
      <c r="AJ188" s="194" t="e">
        <f t="shared" ca="1" si="65"/>
        <v>#VALUE!</v>
      </c>
      <c r="AK188" s="194" t="e">
        <f t="shared" ca="1" si="65"/>
        <v>#VALUE!</v>
      </c>
      <c r="AL188" s="194" t="e">
        <f t="shared" ca="1" si="65"/>
        <v>#VALUE!</v>
      </c>
      <c r="AM188" s="194" t="e">
        <f t="shared" ca="1" si="65"/>
        <v>#VALUE!</v>
      </c>
      <c r="AN188" s="194" t="e">
        <f t="shared" ca="1" si="65"/>
        <v>#VALUE!</v>
      </c>
      <c r="AO188" s="194" t="e">
        <f t="shared" ca="1" si="65"/>
        <v>#VALUE!</v>
      </c>
      <c r="AP188" s="194" t="e">
        <f t="shared" ca="1" si="65"/>
        <v>#VALUE!</v>
      </c>
    </row>
    <row r="189" spans="1:42">
      <c r="A189" s="59" t="str">
        <f>'[4]TS BYDem'!A128</f>
        <v>*</v>
      </c>
      <c r="B189" s="194" t="s">
        <v>288</v>
      </c>
      <c r="C189" s="194" t="s">
        <v>137</v>
      </c>
      <c r="D189" s="194" t="str">
        <f>'[4]TS BYDem'!D128</f>
        <v>INMS</v>
      </c>
      <c r="E189" s="194" t="s">
        <v>137</v>
      </c>
      <c r="F189" s="194" t="s">
        <v>137</v>
      </c>
      <c r="G189" s="194" t="s">
        <v>137</v>
      </c>
      <c r="H189" s="194" t="s">
        <v>137</v>
      </c>
      <c r="I189" s="194">
        <v>0</v>
      </c>
      <c r="J189" s="194" t="str">
        <f>INDEX('[4]TS BYDem'!$J$10:$J$203,MATCH(D189,'[4]TS BYDem'!$D$10:$D$203,0))</f>
        <v/>
      </c>
      <c r="K189" s="194" t="e">
        <f t="shared" ca="1" si="64"/>
        <v>#VALUE!</v>
      </c>
      <c r="L189" s="194" t="e">
        <f t="shared" ca="1" si="64"/>
        <v>#VALUE!</v>
      </c>
      <c r="M189" s="194" t="e">
        <f t="shared" ca="1" si="64"/>
        <v>#VALUE!</v>
      </c>
      <c r="N189" s="194" t="e">
        <f t="shared" ca="1" si="64"/>
        <v>#VALUE!</v>
      </c>
      <c r="O189" s="194" t="e">
        <f t="shared" ca="1" si="64"/>
        <v>#VALUE!</v>
      </c>
      <c r="P189" s="194" t="e">
        <f t="shared" ca="1" si="64"/>
        <v>#VALUE!</v>
      </c>
      <c r="Q189" s="194" t="e">
        <f t="shared" ca="1" si="64"/>
        <v>#VALUE!</v>
      </c>
      <c r="R189" s="194" t="e">
        <f t="shared" ca="1" si="64"/>
        <v>#VALUE!</v>
      </c>
      <c r="S189" s="194" t="e">
        <f t="shared" ca="1" si="64"/>
        <v>#VALUE!</v>
      </c>
      <c r="T189" s="194" t="e">
        <f t="shared" ca="1" si="64"/>
        <v>#VALUE!</v>
      </c>
      <c r="U189" s="194" t="e">
        <f t="shared" ca="1" si="64"/>
        <v>#VALUE!</v>
      </c>
      <c r="V189" s="194" t="e">
        <f t="shared" ca="1" si="64"/>
        <v>#VALUE!</v>
      </c>
      <c r="W189" s="194" t="e">
        <f t="shared" ca="1" si="64"/>
        <v>#VALUE!</v>
      </c>
      <c r="X189" s="194" t="e">
        <f t="shared" ca="1" si="64"/>
        <v>#VALUE!</v>
      </c>
      <c r="Y189" s="194" t="e">
        <f t="shared" ca="1" si="64"/>
        <v>#VALUE!</v>
      </c>
      <c r="Z189" s="194" t="e">
        <f t="shared" ref="Z189:AO189" ca="1" si="66">Z$173/Y$173*Y189</f>
        <v>#VALUE!</v>
      </c>
      <c r="AA189" s="194" t="e">
        <f t="shared" ca="1" si="66"/>
        <v>#VALUE!</v>
      </c>
      <c r="AB189" s="194" t="e">
        <f t="shared" ca="1" si="66"/>
        <v>#VALUE!</v>
      </c>
      <c r="AC189" s="194" t="e">
        <f t="shared" ca="1" si="66"/>
        <v>#VALUE!</v>
      </c>
      <c r="AD189" s="194" t="e">
        <f t="shared" ca="1" si="66"/>
        <v>#VALUE!</v>
      </c>
      <c r="AE189" s="194" t="e">
        <f t="shared" ca="1" si="66"/>
        <v>#VALUE!</v>
      </c>
      <c r="AF189" s="194" t="e">
        <f t="shared" ca="1" si="66"/>
        <v>#VALUE!</v>
      </c>
      <c r="AG189" s="194" t="e">
        <f t="shared" ca="1" si="66"/>
        <v>#VALUE!</v>
      </c>
      <c r="AH189" s="194" t="e">
        <f t="shared" ca="1" si="66"/>
        <v>#VALUE!</v>
      </c>
      <c r="AI189" s="194" t="e">
        <f t="shared" ca="1" si="66"/>
        <v>#VALUE!</v>
      </c>
      <c r="AJ189" s="194" t="e">
        <f t="shared" ca="1" si="66"/>
        <v>#VALUE!</v>
      </c>
      <c r="AK189" s="194" t="e">
        <f t="shared" ca="1" si="66"/>
        <v>#VALUE!</v>
      </c>
      <c r="AL189" s="194" t="e">
        <f t="shared" ca="1" si="66"/>
        <v>#VALUE!</v>
      </c>
      <c r="AM189" s="194" t="e">
        <f t="shared" ca="1" si="66"/>
        <v>#VALUE!</v>
      </c>
      <c r="AN189" s="194" t="e">
        <f t="shared" ca="1" si="66"/>
        <v>#VALUE!</v>
      </c>
      <c r="AO189" s="194" t="e">
        <f t="shared" ca="1" si="66"/>
        <v>#VALUE!</v>
      </c>
      <c r="AP189" s="194" t="e">
        <f t="shared" ca="1" si="65"/>
        <v>#VALUE!</v>
      </c>
    </row>
    <row r="190" spans="1:42">
      <c r="A190" s="59" t="str">
        <f>'[4]TS BYDem'!A129</f>
        <v>*</v>
      </c>
      <c r="B190" s="194" t="s">
        <v>288</v>
      </c>
      <c r="C190" s="194" t="s">
        <v>137</v>
      </c>
      <c r="D190" s="194" t="str">
        <f>'[4]TS BYDem'!D129</f>
        <v>Useful Energy Service</v>
      </c>
      <c r="E190" s="194" t="s">
        <v>137</v>
      </c>
      <c r="F190" s="194" t="s">
        <v>137</v>
      </c>
      <c r="G190" s="194" t="s">
        <v>137</v>
      </c>
      <c r="H190" s="194" t="s">
        <v>137</v>
      </c>
      <c r="I190" s="194">
        <v>0</v>
      </c>
      <c r="J190" s="194" t="str">
        <f>INDEX('[4]TS BYDem'!$J$10:$J$203,MATCH(D190,'[4]TS BYDem'!$D$10:$D$203,0))</f>
        <v/>
      </c>
    </row>
    <row r="191" spans="1:42">
      <c r="A191" s="59" t="str">
        <f>'[4]TS BYDem'!A130</f>
        <v>*</v>
      </c>
      <c r="B191" s="194" t="s">
        <v>288</v>
      </c>
      <c r="C191" s="194" t="s">
        <v>137</v>
      </c>
      <c r="D191" s="194">
        <f>'[4]TS BYDem'!D130</f>
        <v>0</v>
      </c>
      <c r="E191" s="194" t="s">
        <v>137</v>
      </c>
      <c r="F191" s="194" t="s">
        <v>137</v>
      </c>
      <c r="G191" s="194" t="s">
        <v>137</v>
      </c>
      <c r="H191" s="194" t="s">
        <v>137</v>
      </c>
      <c r="I191" s="194">
        <v>0</v>
      </c>
      <c r="J191" s="194" t="str">
        <f>INDEX('[4]TS BYDem'!$J$10:$J$203,MATCH(D191,'[4]TS BYDem'!$D$10:$D$203,0))</f>
        <v/>
      </c>
    </row>
    <row r="192" spans="1:42" s="5" customFormat="1">
      <c r="A192" s="59"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59" t="str">
        <f>'[4]TS BYDem'!A132</f>
        <v/>
      </c>
      <c r="B193" s="194" t="s">
        <v>288</v>
      </c>
      <c r="C193" s="194" t="s">
        <v>137</v>
      </c>
      <c r="D193" s="194" t="str">
        <f>'[4]TS BYDem'!D132</f>
        <v>IFBK</v>
      </c>
      <c r="E193" s="194" t="s">
        <v>137</v>
      </c>
      <c r="F193" s="194" t="s">
        <v>137</v>
      </c>
      <c r="G193" s="194" t="s">
        <v>137</v>
      </c>
      <c r="H193" s="194" t="s">
        <v>137</v>
      </c>
      <c r="I193" s="194">
        <v>0</v>
      </c>
      <c r="J193" s="194">
        <f>INDEX('[4]TS BYDem'!$J$10:$J$203,MATCH(D193,'[4]TS BYDem'!$D$10:$D$203,0))</f>
        <v>1.1176071642017353</v>
      </c>
      <c r="K193" s="194">
        <f t="shared" ref="K193:Z208" ca="1" si="68">K$192/J$192*J193</f>
        <v>1.1381346427278896</v>
      </c>
      <c r="L193" s="194">
        <f t="shared" ca="1" si="68"/>
        <v>1.1529000220186323</v>
      </c>
      <c r="M193" s="201">
        <f t="shared" ref="M193:M201" si="69">O193</f>
        <v>1.04664</v>
      </c>
      <c r="N193" s="201">
        <f t="shared" ref="N193:N201" si="70">O193</f>
        <v>1.04664</v>
      </c>
      <c r="O193" s="201">
        <f>INDEX('[4]TS BYDem'!$O$10:$O$203,MATCH(D193,'[4]TS BYDem'!$D$10:$D$203,0))</f>
        <v>1.04664</v>
      </c>
      <c r="P193" s="194">
        <f t="shared" ca="1" si="68"/>
        <v>1.0538095000511196</v>
      </c>
      <c r="Q193" s="194">
        <f t="shared" ca="1" si="68"/>
        <v>1.0455699253655044</v>
      </c>
      <c r="R193" s="194">
        <f t="shared" ca="1" si="68"/>
        <v>0.99292225334832829</v>
      </c>
      <c r="S193" s="194">
        <f t="shared" ca="1" si="68"/>
        <v>1.0227773356507512</v>
      </c>
      <c r="T193" s="194">
        <f t="shared" ca="1" si="68"/>
        <v>1.0500642388303851</v>
      </c>
      <c r="U193" s="194">
        <f t="shared" ca="1" si="68"/>
        <v>1.0724287986913401</v>
      </c>
      <c r="V193" s="194">
        <f t="shared" ca="1" si="68"/>
        <v>1.093402261527451</v>
      </c>
      <c r="W193" s="194">
        <f t="shared" ca="1" si="68"/>
        <v>1.1158738288518555</v>
      </c>
      <c r="X193" s="194">
        <f t="shared" ca="1" si="68"/>
        <v>1.1466919783253244</v>
      </c>
      <c r="Y193" s="194">
        <f t="shared" ca="1" si="68"/>
        <v>1.1760120233104998</v>
      </c>
      <c r="Z193" s="194">
        <f t="shared" ca="1" si="68"/>
        <v>1.2054390757591247</v>
      </c>
      <c r="AA193" s="194">
        <f t="shared" ref="AA193:AP208" ca="1" si="71">AA$192/Z$192*Z193</f>
        <v>1.2329399938656576</v>
      </c>
      <c r="AB193" s="194">
        <f t="shared" ca="1" si="71"/>
        <v>1.2609759492894383</v>
      </c>
      <c r="AC193" s="194">
        <f t="shared" ca="1" si="71"/>
        <v>1.2887978897863199</v>
      </c>
      <c r="AD193" s="194">
        <f t="shared" ca="1" si="71"/>
        <v>1.3145866884776602</v>
      </c>
      <c r="AE193" s="194">
        <f t="shared" ca="1" si="71"/>
        <v>1.342622643901441</v>
      </c>
      <c r="AF193" s="194">
        <f t="shared" ca="1" si="71"/>
        <v>1.3719426888866166</v>
      </c>
      <c r="AG193" s="194">
        <f t="shared" ca="1" si="71"/>
        <v>1.4019047786524892</v>
      </c>
      <c r="AH193" s="194">
        <f t="shared" ca="1" si="71"/>
        <v>1.435184099785298</v>
      </c>
      <c r="AI193" s="194">
        <f t="shared" ca="1" si="71"/>
        <v>1.4695334955526023</v>
      </c>
      <c r="AJ193" s="194">
        <f t="shared" ca="1" si="71"/>
        <v>1.5033478540026584</v>
      </c>
      <c r="AK193" s="194">
        <f t="shared" ca="1" si="71"/>
        <v>1.5379112646968611</v>
      </c>
      <c r="AL193" s="194">
        <f t="shared" ca="1" si="71"/>
        <v>1.5739727798793577</v>
      </c>
      <c r="AM193" s="194">
        <f t="shared" ca="1" si="71"/>
        <v>1.7550294080359876</v>
      </c>
      <c r="AN193" s="194">
        <f t="shared" ca="1" si="71"/>
        <v>1.9731106185461602</v>
      </c>
      <c r="AO193" s="194">
        <f t="shared" ca="1" si="71"/>
        <v>2.3660776934873669</v>
      </c>
      <c r="AP193" s="194">
        <f t="shared" ca="1" si="71"/>
        <v>2.7652155321541718</v>
      </c>
    </row>
    <row r="194" spans="1:42">
      <c r="A194" s="59" t="str">
        <f>'[4]TS BYDem'!A133</f>
        <v/>
      </c>
      <c r="B194" s="194" t="s">
        <v>288</v>
      </c>
      <c r="C194" s="194" t="s">
        <v>137</v>
      </c>
      <c r="D194" s="194" t="str">
        <f>'[4]TS BYDem'!D133</f>
        <v>IFBA</v>
      </c>
      <c r="E194" s="194" t="s">
        <v>137</v>
      </c>
      <c r="F194" s="194" t="s">
        <v>137</v>
      </c>
      <c r="G194" s="194" t="s">
        <v>137</v>
      </c>
      <c r="H194" s="194" t="s">
        <v>137</v>
      </c>
      <c r="I194" s="194">
        <v>0</v>
      </c>
      <c r="J194" s="194">
        <f>INDEX('[4]TS BYDem'!$J$10:$J$203,MATCH(D194,'[4]TS BYDem'!$D$10:$D$203,0))</f>
        <v>3.1931633262906718E-2</v>
      </c>
      <c r="K194" s="194">
        <f t="shared" ca="1" si="68"/>
        <v>3.2518132649368273E-2</v>
      </c>
      <c r="L194" s="194">
        <f t="shared" ca="1" si="68"/>
        <v>3.294000062910378E-2</v>
      </c>
      <c r="M194" s="201">
        <f t="shared" si="69"/>
        <v>2.9904000000000003E-2</v>
      </c>
      <c r="N194" s="201">
        <f t="shared" si="70"/>
        <v>2.9904000000000003E-2</v>
      </c>
      <c r="O194" s="201">
        <f>INDEX('[4]TS BYDem'!$O$10:$O$203,MATCH(D194,'[4]TS BYDem'!$D$10:$D$203,0))</f>
        <v>2.9904000000000003E-2</v>
      </c>
      <c r="P194" s="194">
        <f t="shared" ca="1" si="68"/>
        <v>3.0108842858603421E-2</v>
      </c>
      <c r="Q194" s="194">
        <f t="shared" ca="1" si="68"/>
        <v>2.9873426439014417E-2</v>
      </c>
      <c r="R194" s="194">
        <f t="shared" ca="1" si="68"/>
        <v>2.836920723852367E-2</v>
      </c>
      <c r="S194" s="194">
        <f t="shared" ca="1" si="68"/>
        <v>2.9222209590021468E-2</v>
      </c>
      <c r="T194" s="194">
        <f t="shared" ca="1" si="68"/>
        <v>3.0001835395153865E-2</v>
      </c>
      <c r="U194" s="194">
        <f t="shared" ca="1" si="68"/>
        <v>3.064082281975258E-2</v>
      </c>
      <c r="V194" s="194">
        <f t="shared" ca="1" si="68"/>
        <v>3.1240064615070031E-2</v>
      </c>
      <c r="W194" s="194">
        <f t="shared" ca="1" si="68"/>
        <v>3.18821093957673E-2</v>
      </c>
      <c r="X194" s="194">
        <f t="shared" ca="1" si="68"/>
        <v>3.276262795215213E-2</v>
      </c>
      <c r="Y194" s="194">
        <f t="shared" ca="1" si="68"/>
        <v>3.360034352315714E-2</v>
      </c>
      <c r="Z194" s="194">
        <f t="shared" ca="1" si="68"/>
        <v>3.4441116450260711E-2</v>
      </c>
      <c r="AA194" s="194">
        <f t="shared" ca="1" si="71"/>
        <v>3.5226856967590224E-2</v>
      </c>
      <c r="AB194" s="194">
        <f t="shared" ca="1" si="71"/>
        <v>3.6027884265412528E-2</v>
      </c>
      <c r="AC194" s="194">
        <f t="shared" ca="1" si="71"/>
        <v>3.6822796851037717E-2</v>
      </c>
      <c r="AD194" s="194">
        <f t="shared" ca="1" si="71"/>
        <v>3.7559619670790294E-2</v>
      </c>
      <c r="AE194" s="194">
        <f t="shared" ca="1" si="71"/>
        <v>3.8360646968612605E-2</v>
      </c>
      <c r="AF194" s="194">
        <f t="shared" ca="1" si="71"/>
        <v>3.9198362539617622E-2</v>
      </c>
      <c r="AG194" s="194">
        <f t="shared" ca="1" si="71"/>
        <v>4.0054422247213978E-2</v>
      </c>
      <c r="AH194" s="194">
        <f t="shared" ca="1" si="71"/>
        <v>4.1005259993865659E-2</v>
      </c>
      <c r="AI194" s="194">
        <f t="shared" ca="1" si="71"/>
        <v>4.1986671301502923E-2</v>
      </c>
      <c r="AJ194" s="194">
        <f t="shared" ca="1" si="71"/>
        <v>4.2952795828647382E-2</v>
      </c>
      <c r="AK194" s="194">
        <f t="shared" ca="1" si="71"/>
        <v>4.3940321848481748E-2</v>
      </c>
      <c r="AL194" s="194">
        <f t="shared" ca="1" si="71"/>
        <v>4.4970650853695934E-2</v>
      </c>
      <c r="AM194" s="194">
        <f t="shared" ca="1" si="71"/>
        <v>5.0143697372456789E-2</v>
      </c>
      <c r="AN194" s="194">
        <f t="shared" ca="1" si="71"/>
        <v>5.6374589101318866E-2</v>
      </c>
      <c r="AO194" s="194">
        <f t="shared" ca="1" si="71"/>
        <v>6.7602219813924766E-2</v>
      </c>
      <c r="AP194" s="194">
        <f t="shared" ca="1" si="71"/>
        <v>7.900615806154776E-2</v>
      </c>
    </row>
    <row r="195" spans="1:42">
      <c r="A195" s="59" t="str">
        <f>'[4]TS BYDem'!A134</f>
        <v/>
      </c>
      <c r="B195" s="194" t="s">
        <v>288</v>
      </c>
      <c r="C195" s="194" t="s">
        <v>137</v>
      </c>
      <c r="D195" s="194" t="str">
        <f>'[4]TS BYDem'!D134</f>
        <v>IFBL</v>
      </c>
      <c r="E195" s="194" t="s">
        <v>137</v>
      </c>
      <c r="F195" s="194" t="s">
        <v>137</v>
      </c>
      <c r="G195" s="194" t="s">
        <v>137</v>
      </c>
      <c r="H195" s="194" t="s">
        <v>137</v>
      </c>
      <c r="I195" s="194">
        <v>0</v>
      </c>
      <c r="J195" s="194">
        <f>INDEX('[4]TS BYDem'!$J$10:$J$203,MATCH(D195,'[4]TS BYDem'!$D$10:$D$203,0))</f>
        <v>0.23948724947180039</v>
      </c>
      <c r="K195" s="194">
        <f t="shared" ca="1" si="68"/>
        <v>0.24388599487026202</v>
      </c>
      <c r="L195" s="194">
        <f t="shared" ca="1" si="68"/>
        <v>0.24705000471827832</v>
      </c>
      <c r="M195" s="201">
        <f t="shared" si="69"/>
        <v>0.22428000000000001</v>
      </c>
      <c r="N195" s="201">
        <f t="shared" si="70"/>
        <v>0.22428000000000001</v>
      </c>
      <c r="O195" s="201">
        <f>INDEX('[4]TS BYDem'!$O$10:$O$203,MATCH(D195,'[4]TS BYDem'!$D$10:$D$203,0))</f>
        <v>0.22428000000000001</v>
      </c>
      <c r="P195" s="194">
        <f t="shared" ca="1" si="68"/>
        <v>0.22581632143952562</v>
      </c>
      <c r="Q195" s="194">
        <f t="shared" ca="1" si="68"/>
        <v>0.2240506982926081</v>
      </c>
      <c r="R195" s="194">
        <f t="shared" ca="1" si="68"/>
        <v>0.21276905428892751</v>
      </c>
      <c r="S195" s="194">
        <f t="shared" ca="1" si="68"/>
        <v>0.21916657192516098</v>
      </c>
      <c r="T195" s="194">
        <f t="shared" ca="1" si="68"/>
        <v>0.22501376546365395</v>
      </c>
      <c r="U195" s="194">
        <f t="shared" ca="1" si="68"/>
        <v>0.22980617114814431</v>
      </c>
      <c r="V195" s="194">
        <f t="shared" ca="1" si="68"/>
        <v>0.23430048461302519</v>
      </c>
      <c r="W195" s="194">
        <f t="shared" ca="1" si="68"/>
        <v>0.23911582046825472</v>
      </c>
      <c r="X195" s="194">
        <f t="shared" ca="1" si="68"/>
        <v>0.24571970964114093</v>
      </c>
      <c r="Y195" s="194">
        <f t="shared" ca="1" si="68"/>
        <v>0.25200257642367851</v>
      </c>
      <c r="Z195" s="194">
        <f t="shared" ca="1" si="68"/>
        <v>0.25830837337695528</v>
      </c>
      <c r="AA195" s="194">
        <f t="shared" ca="1" si="71"/>
        <v>0.26420142725692664</v>
      </c>
      <c r="AB195" s="194">
        <f t="shared" ca="1" si="71"/>
        <v>0.27020913199059393</v>
      </c>
      <c r="AC195" s="194">
        <f t="shared" ca="1" si="71"/>
        <v>0.27617097638278282</v>
      </c>
      <c r="AD195" s="194">
        <f t="shared" ca="1" si="71"/>
        <v>0.28169714753092717</v>
      </c>
      <c r="AE195" s="194">
        <f t="shared" ca="1" si="71"/>
        <v>0.28770485226459452</v>
      </c>
      <c r="AF195" s="194">
        <f t="shared" ca="1" si="71"/>
        <v>0.29398771904713217</v>
      </c>
      <c r="AG195" s="194">
        <f t="shared" ca="1" si="71"/>
        <v>0.30040816685410487</v>
      </c>
      <c r="AH195" s="194">
        <f t="shared" ca="1" si="71"/>
        <v>0.30753944995399246</v>
      </c>
      <c r="AI195" s="194">
        <f t="shared" ca="1" si="71"/>
        <v>0.31490003476127193</v>
      </c>
      <c r="AJ195" s="194">
        <f t="shared" ca="1" si="71"/>
        <v>0.3221459687148554</v>
      </c>
      <c r="AK195" s="194">
        <f t="shared" ca="1" si="71"/>
        <v>0.32955241386361317</v>
      </c>
      <c r="AL195" s="194">
        <f t="shared" ca="1" si="71"/>
        <v>0.33727988140271958</v>
      </c>
      <c r="AM195" s="194">
        <f t="shared" ca="1" si="71"/>
        <v>0.376077730293426</v>
      </c>
      <c r="AN195" s="194">
        <f t="shared" ca="1" si="71"/>
        <v>0.4228094182598916</v>
      </c>
      <c r="AO195" s="194">
        <f t="shared" ca="1" si="71"/>
        <v>0.50701664860443585</v>
      </c>
      <c r="AP195" s="194">
        <f t="shared" ca="1" si="71"/>
        <v>0.59254618546160831</v>
      </c>
    </row>
    <row r="196" spans="1:42">
      <c r="A196" s="59" t="str">
        <f>'[4]TS BYDem'!A135</f>
        <v/>
      </c>
      <c r="B196" s="194" t="s">
        <v>288</v>
      </c>
      <c r="C196" s="194" t="s">
        <v>137</v>
      </c>
      <c r="D196" s="194" t="str">
        <f>'[4]TS BYDem'!D135</f>
        <v>IFBC</v>
      </c>
      <c r="E196" s="194" t="s">
        <v>137</v>
      </c>
      <c r="F196" s="194" t="s">
        <v>137</v>
      </c>
      <c r="G196" s="194" t="s">
        <v>137</v>
      </c>
      <c r="H196" s="194" t="s">
        <v>137</v>
      </c>
      <c r="I196" s="194">
        <v>0</v>
      </c>
      <c r="J196" s="194">
        <f>INDEX('[4]TS BYDem'!$J$10:$J$203,MATCH(D196,'[4]TS BYDem'!$D$10:$D$203,0))</f>
        <v>7.3442756504685454</v>
      </c>
      <c r="K196" s="194">
        <f t="shared" ca="1" si="68"/>
        <v>7.4791705093547023</v>
      </c>
      <c r="L196" s="194">
        <f t="shared" ca="1" si="68"/>
        <v>7.5762001446938685</v>
      </c>
      <c r="M196" s="201">
        <f t="shared" si="69"/>
        <v>6.8779200000000005</v>
      </c>
      <c r="N196" s="201">
        <f t="shared" si="70"/>
        <v>6.8779200000000005</v>
      </c>
      <c r="O196" s="201">
        <f>INDEX('[4]TS BYDem'!$O$10:$O$203,MATCH(D196,'[4]TS BYDem'!$D$10:$D$203,0))</f>
        <v>6.8779200000000005</v>
      </c>
      <c r="P196" s="194">
        <f t="shared" ca="1" si="68"/>
        <v>6.9250338574787866</v>
      </c>
      <c r="Q196" s="194">
        <f t="shared" ca="1" si="68"/>
        <v>6.8708880809733159</v>
      </c>
      <c r="R196" s="194">
        <f t="shared" ca="1" si="68"/>
        <v>6.5249176648604443</v>
      </c>
      <c r="S196" s="194">
        <f t="shared" ca="1" si="68"/>
        <v>6.7211082057049376</v>
      </c>
      <c r="T196" s="194">
        <f t="shared" ca="1" si="68"/>
        <v>6.9004221408853894</v>
      </c>
      <c r="U196" s="194">
        <f t="shared" ca="1" si="68"/>
        <v>7.0473892485430936</v>
      </c>
      <c r="V196" s="194">
        <f t="shared" ca="1" si="68"/>
        <v>7.1852148614661075</v>
      </c>
      <c r="W196" s="194">
        <f t="shared" ca="1" si="68"/>
        <v>7.3328851610264794</v>
      </c>
      <c r="X196" s="194">
        <f t="shared" ca="1" si="68"/>
        <v>7.5354044289949895</v>
      </c>
      <c r="Y196" s="194">
        <f t="shared" ca="1" si="68"/>
        <v>7.7280790103261419</v>
      </c>
      <c r="Z196" s="194">
        <f t="shared" ca="1" si="68"/>
        <v>7.9214567835599627</v>
      </c>
      <c r="AA196" s="194">
        <f t="shared" ca="1" si="71"/>
        <v>8.1021771025457507</v>
      </c>
      <c r="AB196" s="194">
        <f t="shared" ca="1" si="71"/>
        <v>8.2864133810448806</v>
      </c>
      <c r="AC196" s="194">
        <f t="shared" ca="1" si="71"/>
        <v>8.4692432757386733</v>
      </c>
      <c r="AD196" s="194">
        <f t="shared" ca="1" si="71"/>
        <v>8.6387125242817664</v>
      </c>
      <c r="AE196" s="194">
        <f t="shared" ca="1" si="71"/>
        <v>8.822948802780898</v>
      </c>
      <c r="AF196" s="194">
        <f t="shared" ca="1" si="71"/>
        <v>9.0156233841120521</v>
      </c>
      <c r="AG196" s="194">
        <f t="shared" ca="1" si="71"/>
        <v>9.2125171168592139</v>
      </c>
      <c r="AH196" s="194">
        <f t="shared" ca="1" si="71"/>
        <v>9.4312097985890997</v>
      </c>
      <c r="AI196" s="194">
        <f t="shared" ca="1" si="71"/>
        <v>9.6569343993456691</v>
      </c>
      <c r="AJ196" s="194">
        <f t="shared" ca="1" si="71"/>
        <v>9.8791430405888949</v>
      </c>
      <c r="AK196" s="194">
        <f t="shared" ca="1" si="71"/>
        <v>10.1062740251508</v>
      </c>
      <c r="AL196" s="194">
        <f t="shared" ca="1" si="71"/>
        <v>10.343249696350062</v>
      </c>
      <c r="AM196" s="194">
        <f t="shared" ca="1" si="71"/>
        <v>11.533050395665059</v>
      </c>
      <c r="AN196" s="194">
        <f t="shared" ca="1" si="71"/>
        <v>12.966155493303336</v>
      </c>
      <c r="AO196" s="194">
        <f t="shared" ca="1" si="71"/>
        <v>15.548510557202693</v>
      </c>
      <c r="AP196" s="194">
        <f t="shared" ca="1" si="71"/>
        <v>18.171416354155983</v>
      </c>
    </row>
    <row r="197" spans="1:42">
      <c r="A197" s="59" t="str">
        <f>'[4]TS BYDem'!A136</f>
        <v/>
      </c>
      <c r="B197" s="194" t="s">
        <v>288</v>
      </c>
      <c r="C197" s="194" t="s">
        <v>137</v>
      </c>
      <c r="D197" s="194" t="str">
        <f>'[4]TS BYDem'!D136</f>
        <v>IFBH</v>
      </c>
      <c r="E197" s="194" t="s">
        <v>137</v>
      </c>
      <c r="F197" s="194" t="s">
        <v>137</v>
      </c>
      <c r="G197" s="194" t="s">
        <v>137</v>
      </c>
      <c r="H197" s="194" t="s">
        <v>137</v>
      </c>
      <c r="I197" s="194">
        <v>0</v>
      </c>
      <c r="J197" s="194">
        <f>INDEX('[4]TS BYDem'!$J$10:$J$203,MATCH(D197,'[4]TS BYDem'!$D$10:$D$203,0))</f>
        <v>0.86215409809848131</v>
      </c>
      <c r="K197" s="194">
        <f t="shared" ca="1" si="68"/>
        <v>0.87798958153294326</v>
      </c>
      <c r="L197" s="194">
        <f t="shared" ca="1" si="68"/>
        <v>0.88938001698580194</v>
      </c>
      <c r="M197" s="201">
        <f t="shared" si="69"/>
        <v>0.8074079999999999</v>
      </c>
      <c r="N197" s="201">
        <f t="shared" si="70"/>
        <v>0.8074079999999999</v>
      </c>
      <c r="O197" s="201">
        <f>INDEX('[4]TS BYDem'!$O$10:$O$203,MATCH(D197,'[4]TS BYDem'!$D$10:$D$203,0))</f>
        <v>0.8074079999999999</v>
      </c>
      <c r="P197" s="194">
        <f t="shared" ca="1" si="68"/>
        <v>0.81293875718229214</v>
      </c>
      <c r="Q197" s="194">
        <f t="shared" ca="1" si="68"/>
        <v>0.80658251385338908</v>
      </c>
      <c r="R197" s="194">
        <f t="shared" ca="1" si="68"/>
        <v>0.76596859544013896</v>
      </c>
      <c r="S197" s="194">
        <f t="shared" ca="1" si="68"/>
        <v>0.78899965893057955</v>
      </c>
      <c r="T197" s="194">
        <f t="shared" ca="1" si="68"/>
        <v>0.81004955566915426</v>
      </c>
      <c r="U197" s="194">
        <f t="shared" ca="1" si="68"/>
        <v>0.82730221613331956</v>
      </c>
      <c r="V197" s="194">
        <f t="shared" ca="1" si="68"/>
        <v>0.84348174460689074</v>
      </c>
      <c r="W197" s="194">
        <f t="shared" ca="1" si="68"/>
        <v>0.86081695368571698</v>
      </c>
      <c r="X197" s="194">
        <f t="shared" ca="1" si="68"/>
        <v>0.88459095470810734</v>
      </c>
      <c r="Y197" s="194">
        <f t="shared" ca="1" si="68"/>
        <v>0.90720927512524252</v>
      </c>
      <c r="Z197" s="194">
        <f t="shared" ca="1" si="68"/>
        <v>0.92991014415703888</v>
      </c>
      <c r="AA197" s="194">
        <f t="shared" ca="1" si="71"/>
        <v>0.95112513812493571</v>
      </c>
      <c r="AB197" s="194">
        <f t="shared" ca="1" si="71"/>
        <v>0.97275287516613795</v>
      </c>
      <c r="AC197" s="194">
        <f t="shared" ca="1" si="71"/>
        <v>0.99421551497801797</v>
      </c>
      <c r="AD197" s="194">
        <f t="shared" ca="1" si="71"/>
        <v>1.0141097311113376</v>
      </c>
      <c r="AE197" s="194">
        <f t="shared" ca="1" si="71"/>
        <v>1.03573746815254</v>
      </c>
      <c r="AF197" s="194">
        <f t="shared" ca="1" si="71"/>
        <v>1.0583557885696755</v>
      </c>
      <c r="AG197" s="194">
        <f t="shared" ca="1" si="71"/>
        <v>1.0814694006747771</v>
      </c>
      <c r="AH197" s="194">
        <f t="shared" ca="1" si="71"/>
        <v>1.1071420198343724</v>
      </c>
      <c r="AI197" s="194">
        <f t="shared" ca="1" si="71"/>
        <v>1.1336401251405785</v>
      </c>
      <c r="AJ197" s="194">
        <f t="shared" ca="1" si="71"/>
        <v>1.159725487373479</v>
      </c>
      <c r="AK197" s="194">
        <f t="shared" ca="1" si="71"/>
        <v>1.186388689909007</v>
      </c>
      <c r="AL197" s="194">
        <f t="shared" ca="1" si="71"/>
        <v>1.2142075730497901</v>
      </c>
      <c r="AM197" s="194">
        <f t="shared" ca="1" si="71"/>
        <v>1.3538798290563332</v>
      </c>
      <c r="AN197" s="194">
        <f t="shared" ca="1" si="71"/>
        <v>1.5221139057356092</v>
      </c>
      <c r="AO197" s="194">
        <f t="shared" ca="1" si="71"/>
        <v>1.8252599349759686</v>
      </c>
      <c r="AP197" s="194">
        <f t="shared" ca="1" si="71"/>
        <v>2.1331662676617893</v>
      </c>
    </row>
    <row r="198" spans="1:42">
      <c r="A198" s="59" t="str">
        <f>'[4]TS BYDem'!A137</f>
        <v/>
      </c>
      <c r="B198" s="194" t="s">
        <v>288</v>
      </c>
      <c r="C198" s="194" t="s">
        <v>137</v>
      </c>
      <c r="D198" s="194" t="str">
        <f>'[4]TS BYDem'!D137</f>
        <v>IFBP</v>
      </c>
      <c r="E198" s="194" t="s">
        <v>137</v>
      </c>
      <c r="F198" s="194" t="s">
        <v>137</v>
      </c>
      <c r="G198" s="194" t="s">
        <v>137</v>
      </c>
      <c r="H198" s="194" t="s">
        <v>137</v>
      </c>
      <c r="I198" s="194">
        <v>0</v>
      </c>
      <c r="J198" s="194">
        <f>INDEX('[4]TS BYDem'!$J$10:$J$203,MATCH(D198,'[4]TS BYDem'!$D$10:$D$203,0))</f>
        <v>3.576342925445553</v>
      </c>
      <c r="K198" s="194">
        <f t="shared" ca="1" si="68"/>
        <v>3.6420308567292468</v>
      </c>
      <c r="L198" s="194">
        <f t="shared" ca="1" si="68"/>
        <v>3.6892800704596236</v>
      </c>
      <c r="M198" s="201">
        <f t="shared" si="69"/>
        <v>3.3492480000000002</v>
      </c>
      <c r="N198" s="201">
        <f t="shared" si="70"/>
        <v>3.3492480000000002</v>
      </c>
      <c r="O198" s="201">
        <f>INDEX('[4]TS BYDem'!$O$10:$O$203,MATCH(D198,'[4]TS BYDem'!$D$10:$D$203,0))</f>
        <v>3.3492480000000002</v>
      </c>
      <c r="P198" s="194">
        <f t="shared" ca="1" si="68"/>
        <v>3.372190400163583</v>
      </c>
      <c r="Q198" s="194">
        <f t="shared" ca="1" si="68"/>
        <v>3.3458237611696147</v>
      </c>
      <c r="R198" s="194">
        <f t="shared" ca="1" si="68"/>
        <v>3.1773512107146513</v>
      </c>
      <c r="S198" s="194">
        <f t="shared" ca="1" si="68"/>
        <v>3.2728874740824048</v>
      </c>
      <c r="T198" s="194">
        <f t="shared" ca="1" si="68"/>
        <v>3.3602055642572335</v>
      </c>
      <c r="U198" s="194">
        <f t="shared" ca="1" si="68"/>
        <v>3.4317721558122893</v>
      </c>
      <c r="V198" s="194">
        <f t="shared" ca="1" si="68"/>
        <v>3.4988872368878439</v>
      </c>
      <c r="W198" s="194">
        <f t="shared" ca="1" si="68"/>
        <v>3.570796252325938</v>
      </c>
      <c r="X198" s="194">
        <f t="shared" ca="1" si="68"/>
        <v>3.6694143306410387</v>
      </c>
      <c r="Y198" s="194">
        <f t="shared" ca="1" si="68"/>
        <v>3.7632384745935998</v>
      </c>
      <c r="Z198" s="194">
        <f t="shared" ca="1" si="68"/>
        <v>3.8574050424291997</v>
      </c>
      <c r="AA198" s="194">
        <f t="shared" ca="1" si="71"/>
        <v>3.945407980370105</v>
      </c>
      <c r="AB198" s="194">
        <f t="shared" ca="1" si="71"/>
        <v>4.0351230377262031</v>
      </c>
      <c r="AC198" s="194">
        <f t="shared" ca="1" si="71"/>
        <v>4.1241532473162241</v>
      </c>
      <c r="AD198" s="194">
        <f t="shared" ca="1" si="71"/>
        <v>4.2066774031285128</v>
      </c>
      <c r="AE198" s="194">
        <f t="shared" ca="1" si="71"/>
        <v>4.2963924604846113</v>
      </c>
      <c r="AF198" s="194">
        <f t="shared" ca="1" si="71"/>
        <v>4.3902166044371729</v>
      </c>
      <c r="AG198" s="194">
        <f t="shared" ca="1" si="71"/>
        <v>4.4860952916879651</v>
      </c>
      <c r="AH198" s="194">
        <f t="shared" ca="1" si="71"/>
        <v>4.5925891193129527</v>
      </c>
      <c r="AI198" s="194">
        <f t="shared" ca="1" si="71"/>
        <v>4.7025071857683258</v>
      </c>
      <c r="AJ198" s="194">
        <f t="shared" ca="1" si="71"/>
        <v>4.8107131328085053</v>
      </c>
      <c r="AK198" s="194">
        <f t="shared" ca="1" si="71"/>
        <v>4.9213160470299542</v>
      </c>
      <c r="AL198" s="194">
        <f t="shared" ca="1" si="71"/>
        <v>5.0367128956139435</v>
      </c>
      <c r="AM198" s="194">
        <f t="shared" ca="1" si="71"/>
        <v>5.6160941057151597</v>
      </c>
      <c r="AN198" s="194">
        <f t="shared" ca="1" si="71"/>
        <v>6.313953979347712</v>
      </c>
      <c r="AO198" s="194">
        <f t="shared" ca="1" si="71"/>
        <v>7.5714486191595727</v>
      </c>
      <c r="AP198" s="194">
        <f t="shared" ca="1" si="71"/>
        <v>8.8486897028933473</v>
      </c>
    </row>
    <row r="199" spans="1:42">
      <c r="A199" s="59" t="str">
        <f>'[4]TS BYDem'!A138</f>
        <v/>
      </c>
      <c r="B199" s="194" t="s">
        <v>288</v>
      </c>
      <c r="C199" s="194" t="s">
        <v>137</v>
      </c>
      <c r="D199" s="194" t="str">
        <f>'[4]TS BYDem'!D138</f>
        <v>IFBF</v>
      </c>
      <c r="E199" s="194" t="s">
        <v>137</v>
      </c>
      <c r="F199" s="194" t="s">
        <v>137</v>
      </c>
      <c r="G199" s="194" t="s">
        <v>137</v>
      </c>
      <c r="H199" s="194" t="s">
        <v>137</v>
      </c>
      <c r="I199" s="194">
        <v>0</v>
      </c>
      <c r="J199" s="194">
        <f>INDEX('[4]TS BYDem'!$J$10:$J$203,MATCH(D199,'[4]TS BYDem'!$D$10:$D$203,0))</f>
        <v>0.51090613220650749</v>
      </c>
      <c r="K199" s="194">
        <f t="shared" ca="1" si="68"/>
        <v>0.52029012238989236</v>
      </c>
      <c r="L199" s="194">
        <f t="shared" ca="1" si="68"/>
        <v>0.52704001006566048</v>
      </c>
      <c r="M199" s="201">
        <f t="shared" si="69"/>
        <v>0.47846400000000006</v>
      </c>
      <c r="N199" s="201">
        <f t="shared" si="70"/>
        <v>0.47846400000000006</v>
      </c>
      <c r="O199" s="201">
        <f>INDEX('[4]TS BYDem'!$O$10:$O$203,MATCH(D199,'[4]TS BYDem'!$D$10:$D$203,0))</f>
        <v>0.47846400000000006</v>
      </c>
      <c r="P199" s="194">
        <f t="shared" ca="1" si="68"/>
        <v>0.48174148573765474</v>
      </c>
      <c r="Q199" s="194">
        <f t="shared" ca="1" si="68"/>
        <v>0.47797482302423067</v>
      </c>
      <c r="R199" s="194">
        <f t="shared" ca="1" si="68"/>
        <v>0.45390731581637872</v>
      </c>
      <c r="S199" s="194">
        <f t="shared" ca="1" si="68"/>
        <v>0.46755535344034349</v>
      </c>
      <c r="T199" s="194">
        <f t="shared" ca="1" si="68"/>
        <v>0.48002936632246185</v>
      </c>
      <c r="U199" s="194">
        <f t="shared" ca="1" si="68"/>
        <v>0.49025316511604128</v>
      </c>
      <c r="V199" s="194">
        <f t="shared" ca="1" si="68"/>
        <v>0.4998410338411205</v>
      </c>
      <c r="W199" s="194">
        <f t="shared" ca="1" si="68"/>
        <v>0.51011375033227679</v>
      </c>
      <c r="X199" s="194">
        <f t="shared" ca="1" si="68"/>
        <v>0.52420204723443409</v>
      </c>
      <c r="Y199" s="194">
        <f t="shared" ca="1" si="68"/>
        <v>0.53760549637051425</v>
      </c>
      <c r="Z199" s="194">
        <f t="shared" ca="1" si="68"/>
        <v>0.55105786320417138</v>
      </c>
      <c r="AA199" s="194">
        <f t="shared" ca="1" si="71"/>
        <v>0.56362971148144358</v>
      </c>
      <c r="AB199" s="194">
        <f t="shared" ca="1" si="71"/>
        <v>0.57644614824660045</v>
      </c>
      <c r="AC199" s="194">
        <f t="shared" ca="1" si="71"/>
        <v>0.58916474961660348</v>
      </c>
      <c r="AD199" s="194">
        <f t="shared" ca="1" si="71"/>
        <v>0.6009539147326447</v>
      </c>
      <c r="AE199" s="194">
        <f t="shared" ca="1" si="71"/>
        <v>0.61377035149780168</v>
      </c>
      <c r="AF199" s="194">
        <f t="shared" ca="1" si="71"/>
        <v>0.62717380063388195</v>
      </c>
      <c r="AG199" s="194">
        <f t="shared" ca="1" si="71"/>
        <v>0.64087075595542364</v>
      </c>
      <c r="AH199" s="194">
        <f t="shared" ca="1" si="71"/>
        <v>0.65608415990185054</v>
      </c>
      <c r="AI199" s="194">
        <f t="shared" ca="1" si="71"/>
        <v>0.67178674082404677</v>
      </c>
      <c r="AJ199" s="194">
        <f t="shared" ca="1" si="71"/>
        <v>0.68724473325835811</v>
      </c>
      <c r="AK199" s="194">
        <f t="shared" ca="1" si="71"/>
        <v>0.70304514957570796</v>
      </c>
      <c r="AL199" s="194">
        <f t="shared" ca="1" si="71"/>
        <v>0.71953041365913495</v>
      </c>
      <c r="AM199" s="194">
        <f t="shared" ca="1" si="71"/>
        <v>0.80229915795930862</v>
      </c>
      <c r="AN199" s="194">
        <f t="shared" ca="1" si="71"/>
        <v>0.90199342562110185</v>
      </c>
      <c r="AO199" s="194">
        <f t="shared" ca="1" si="71"/>
        <v>1.0816355170227963</v>
      </c>
      <c r="AP199" s="194">
        <f t="shared" ca="1" si="71"/>
        <v>1.2640985289847642</v>
      </c>
    </row>
    <row r="200" spans="1:42">
      <c r="A200" s="59" t="str">
        <f>'[4]TS BYDem'!A139</f>
        <v/>
      </c>
      <c r="B200" s="194" t="s">
        <v>288</v>
      </c>
      <c r="C200" s="194" t="s">
        <v>137</v>
      </c>
      <c r="D200" s="194" t="str">
        <f>'[4]TS BYDem'!D139</f>
        <v>IFBO</v>
      </c>
      <c r="E200" s="194" t="s">
        <v>137</v>
      </c>
      <c r="F200" s="194" t="s">
        <v>137</v>
      </c>
      <c r="G200" s="194" t="s">
        <v>137</v>
      </c>
      <c r="H200" s="194" t="s">
        <v>137</v>
      </c>
      <c r="I200" s="194">
        <v>0</v>
      </c>
      <c r="J200" s="194">
        <f>INDEX('[4]TS BYDem'!$J$10:$J$203,MATCH(D200,'[4]TS BYDem'!$D$10:$D$203,0))</f>
        <v>2.6822571940841642</v>
      </c>
      <c r="K200" s="194">
        <f t="shared" ca="1" si="68"/>
        <v>2.7315231425469344</v>
      </c>
      <c r="L200" s="194">
        <f t="shared" ca="1" si="68"/>
        <v>2.7669600528447171</v>
      </c>
      <c r="M200" s="201">
        <f t="shared" si="69"/>
        <v>2.5119360000000004</v>
      </c>
      <c r="N200" s="201">
        <f t="shared" si="70"/>
        <v>2.5119360000000004</v>
      </c>
      <c r="O200" s="201">
        <f>INDEX('[4]TS BYDem'!$O$10:$O$203,MATCH(D200,'[4]TS BYDem'!$D$10:$D$203,0))</f>
        <v>2.5119360000000004</v>
      </c>
      <c r="P200" s="194">
        <f t="shared" ca="1" si="68"/>
        <v>2.5291428001226874</v>
      </c>
      <c r="Q200" s="194">
        <f t="shared" ca="1" si="68"/>
        <v>2.5093678208772112</v>
      </c>
      <c r="R200" s="194">
        <f t="shared" ca="1" si="68"/>
        <v>2.3830134080359886</v>
      </c>
      <c r="S200" s="194">
        <f t="shared" ca="1" si="68"/>
        <v>2.4546656055618037</v>
      </c>
      <c r="T200" s="194">
        <f t="shared" ca="1" si="68"/>
        <v>2.5201541731929251</v>
      </c>
      <c r="U200" s="194">
        <f t="shared" ca="1" si="68"/>
        <v>2.5738291168592169</v>
      </c>
      <c r="V200" s="194">
        <f t="shared" ca="1" si="68"/>
        <v>2.6241654276658828</v>
      </c>
      <c r="W200" s="194">
        <f t="shared" ca="1" si="68"/>
        <v>2.6780971892444536</v>
      </c>
      <c r="X200" s="194">
        <f t="shared" ca="1" si="68"/>
        <v>2.7520607479807793</v>
      </c>
      <c r="Y200" s="194">
        <f t="shared" ca="1" si="68"/>
        <v>2.8224288559452</v>
      </c>
      <c r="Z200" s="194">
        <f t="shared" ca="1" si="68"/>
        <v>2.8930537818218998</v>
      </c>
      <c r="AA200" s="194">
        <f t="shared" ca="1" si="71"/>
        <v>2.9590559852775788</v>
      </c>
      <c r="AB200" s="194">
        <f t="shared" ca="1" si="71"/>
        <v>3.0263422782946527</v>
      </c>
      <c r="AC200" s="194">
        <f t="shared" ca="1" si="71"/>
        <v>3.0931149354871685</v>
      </c>
      <c r="AD200" s="194">
        <f t="shared" ca="1" si="71"/>
        <v>3.155008052346385</v>
      </c>
      <c r="AE200" s="194">
        <f t="shared" ca="1" si="71"/>
        <v>3.2222943453634594</v>
      </c>
      <c r="AF200" s="194">
        <f t="shared" ca="1" si="71"/>
        <v>3.2926624533278805</v>
      </c>
      <c r="AG200" s="194">
        <f t="shared" ca="1" si="71"/>
        <v>3.3645714687659747</v>
      </c>
      <c r="AH200" s="194">
        <f t="shared" ca="1" si="71"/>
        <v>3.4444418394847158</v>
      </c>
      <c r="AI200" s="194">
        <f t="shared" ca="1" si="71"/>
        <v>3.5268803893262457</v>
      </c>
      <c r="AJ200" s="194">
        <f t="shared" ca="1" si="71"/>
        <v>3.6080348496063803</v>
      </c>
      <c r="AK200" s="194">
        <f t="shared" ca="1" si="71"/>
        <v>3.6909870352724674</v>
      </c>
      <c r="AL200" s="194">
        <f t="shared" ca="1" si="71"/>
        <v>3.7775346717104594</v>
      </c>
      <c r="AM200" s="194">
        <f t="shared" ca="1" si="71"/>
        <v>4.2120705792863715</v>
      </c>
      <c r="AN200" s="194">
        <f t="shared" ca="1" si="71"/>
        <v>4.7354654845107857</v>
      </c>
      <c r="AO200" s="194">
        <f t="shared" ca="1" si="71"/>
        <v>5.6785864643696815</v>
      </c>
      <c r="AP200" s="194">
        <f t="shared" ca="1" si="71"/>
        <v>6.6365172771700136</v>
      </c>
    </row>
    <row r="201" spans="1:42">
      <c r="A201" s="59" t="str">
        <f>'[4]TS BYDem'!A140</f>
        <v/>
      </c>
      <c r="B201" s="194" t="s">
        <v>288</v>
      </c>
      <c r="C201" s="194" t="s">
        <v>137</v>
      </c>
      <c r="D201" s="194" t="str">
        <f>'[4]TS BYDem'!D140</f>
        <v>IFBE</v>
      </c>
      <c r="E201" s="194" t="s">
        <v>137</v>
      </c>
      <c r="F201" s="194" t="s">
        <v>137</v>
      </c>
      <c r="G201" s="194" t="s">
        <v>137</v>
      </c>
      <c r="H201" s="194" t="s">
        <v>137</v>
      </c>
      <c r="I201" s="194">
        <v>0</v>
      </c>
      <c r="J201" s="194">
        <f>INDEX('[4]TS BYDem'!$J$10:$J$203,MATCH(D201,'[4]TS BYDem'!$D$10:$D$203,0))</f>
        <v>0</v>
      </c>
      <c r="K201" s="194">
        <f t="shared" ca="1" si="68"/>
        <v>0</v>
      </c>
      <c r="L201" s="194">
        <f t="shared" ca="1" si="68"/>
        <v>0</v>
      </c>
      <c r="M201" s="201">
        <f t="shared" si="69"/>
        <v>0</v>
      </c>
      <c r="N201" s="201">
        <f t="shared" si="70"/>
        <v>0</v>
      </c>
      <c r="O201" s="201">
        <f>INDEX('[4]TS BYDem'!$O$10:$O$203,MATCH(D201,'[4]TS BYDem'!$D$10:$D$203,0))</f>
        <v>0</v>
      </c>
      <c r="P201" s="194">
        <f t="shared" ca="1" si="68"/>
        <v>0</v>
      </c>
      <c r="Q201" s="194">
        <f t="shared" ca="1" si="68"/>
        <v>0</v>
      </c>
      <c r="R201" s="194">
        <f t="shared" ca="1" si="68"/>
        <v>0</v>
      </c>
      <c r="S201" s="194">
        <f t="shared" ca="1" si="68"/>
        <v>0</v>
      </c>
      <c r="T201" s="194">
        <f t="shared" ca="1" si="68"/>
        <v>0</v>
      </c>
      <c r="U201" s="194">
        <f t="shared" ca="1" si="68"/>
        <v>0</v>
      </c>
      <c r="V201" s="194">
        <f t="shared" ca="1" si="68"/>
        <v>0</v>
      </c>
      <c r="W201" s="194">
        <f t="shared" ca="1" si="68"/>
        <v>0</v>
      </c>
      <c r="X201" s="194">
        <f t="shared" ca="1" si="68"/>
        <v>0</v>
      </c>
      <c r="Y201" s="194">
        <f t="shared" ca="1" si="68"/>
        <v>0</v>
      </c>
      <c r="Z201" s="194">
        <f t="shared" ca="1" si="68"/>
        <v>0</v>
      </c>
      <c r="AA201" s="194">
        <f t="shared" ca="1" si="71"/>
        <v>0</v>
      </c>
      <c r="AB201" s="194">
        <f t="shared" ca="1" si="71"/>
        <v>0</v>
      </c>
      <c r="AC201" s="194">
        <f t="shared" ca="1" si="71"/>
        <v>0</v>
      </c>
      <c r="AD201" s="194">
        <f t="shared" ca="1" si="71"/>
        <v>0</v>
      </c>
      <c r="AE201" s="194">
        <f t="shared" ca="1" si="71"/>
        <v>0</v>
      </c>
      <c r="AF201" s="194">
        <f t="shared" ca="1" si="71"/>
        <v>0</v>
      </c>
      <c r="AG201" s="194">
        <f t="shared" ca="1" si="71"/>
        <v>0</v>
      </c>
      <c r="AH201" s="194">
        <f t="shared" ca="1" si="71"/>
        <v>0</v>
      </c>
      <c r="AI201" s="194">
        <f t="shared" ca="1" si="71"/>
        <v>0</v>
      </c>
      <c r="AJ201" s="194">
        <f t="shared" ca="1" si="71"/>
        <v>0</v>
      </c>
      <c r="AK201" s="194">
        <f t="shared" ca="1" si="71"/>
        <v>0</v>
      </c>
      <c r="AL201" s="194">
        <f t="shared" ca="1" si="71"/>
        <v>0</v>
      </c>
      <c r="AM201" s="194">
        <f t="shared" ca="1" si="71"/>
        <v>0</v>
      </c>
      <c r="AN201" s="194">
        <f t="shared" ca="1" si="71"/>
        <v>0</v>
      </c>
      <c r="AO201" s="194">
        <f t="shared" ca="1" si="71"/>
        <v>0</v>
      </c>
      <c r="AP201" s="194">
        <f t="shared" ca="1" si="71"/>
        <v>0</v>
      </c>
    </row>
    <row r="202" spans="1:42">
      <c r="A202" s="59" t="str">
        <f>'[4]TS BYDem'!A141</f>
        <v>*</v>
      </c>
      <c r="B202" s="194" t="s">
        <v>288</v>
      </c>
      <c r="C202" s="194" t="s">
        <v>137</v>
      </c>
      <c r="D202" s="194" t="str">
        <f>'[4]TS BYDem'!D141</f>
        <v xml:space="preserve"> </v>
      </c>
      <c r="E202" s="194" t="s">
        <v>137</v>
      </c>
      <c r="F202" s="194" t="s">
        <v>137</v>
      </c>
      <c r="G202" s="194" t="s">
        <v>137</v>
      </c>
      <c r="H202" s="194" t="s">
        <v>137</v>
      </c>
      <c r="I202" s="194">
        <v>0</v>
      </c>
      <c r="J202" s="194" t="str">
        <f>INDEX('[4]TS BYDem'!$J$10:$J$203,MATCH(D202,'[4]TS BYDem'!$D$10:$D$203,0))</f>
        <v/>
      </c>
      <c r="K202" s="194" t="e">
        <f t="shared" ca="1" si="68"/>
        <v>#VALUE!</v>
      </c>
      <c r="L202" s="194" t="e">
        <f t="shared" ca="1" si="68"/>
        <v>#VALUE!</v>
      </c>
      <c r="M202" s="194" t="e">
        <f t="shared" ca="1" si="68"/>
        <v>#VALUE!</v>
      </c>
      <c r="N202" s="194" t="e">
        <f t="shared" ca="1" si="68"/>
        <v>#VALUE!</v>
      </c>
      <c r="O202" s="194" t="e">
        <f t="shared" ca="1" si="68"/>
        <v>#VALUE!</v>
      </c>
      <c r="P202" s="194" t="e">
        <f t="shared" ca="1" si="68"/>
        <v>#VALUE!</v>
      </c>
      <c r="Q202" s="194" t="e">
        <f t="shared" ca="1" si="68"/>
        <v>#VALUE!</v>
      </c>
      <c r="R202" s="194" t="e">
        <f t="shared" ca="1" si="68"/>
        <v>#VALUE!</v>
      </c>
      <c r="S202" s="194" t="e">
        <f t="shared" ca="1" si="68"/>
        <v>#VALUE!</v>
      </c>
      <c r="T202" s="194" t="e">
        <f t="shared" ca="1" si="68"/>
        <v>#VALUE!</v>
      </c>
      <c r="U202" s="194" t="e">
        <f t="shared" ca="1" si="68"/>
        <v>#VALUE!</v>
      </c>
      <c r="V202" s="194" t="e">
        <f t="shared" ca="1" si="68"/>
        <v>#VALUE!</v>
      </c>
      <c r="W202" s="194" t="e">
        <f t="shared" ca="1" si="68"/>
        <v>#VALUE!</v>
      </c>
      <c r="X202" s="194" t="e">
        <f t="shared" ca="1" si="68"/>
        <v>#VALUE!</v>
      </c>
      <c r="Y202" s="194" t="e">
        <f t="shared" ca="1" si="68"/>
        <v>#VALUE!</v>
      </c>
      <c r="Z202" s="194" t="e">
        <f t="shared" ca="1" si="68"/>
        <v>#VALUE!</v>
      </c>
      <c r="AA202" s="194" t="e">
        <f t="shared" ca="1" si="71"/>
        <v>#VALUE!</v>
      </c>
      <c r="AB202" s="194" t="e">
        <f t="shared" ca="1" si="71"/>
        <v>#VALUE!</v>
      </c>
      <c r="AC202" s="194" t="e">
        <f t="shared" ca="1" si="71"/>
        <v>#VALUE!</v>
      </c>
      <c r="AD202" s="194" t="e">
        <f t="shared" ca="1" si="71"/>
        <v>#VALUE!</v>
      </c>
      <c r="AE202" s="194" t="e">
        <f t="shared" ca="1" si="71"/>
        <v>#VALUE!</v>
      </c>
      <c r="AF202" s="194" t="e">
        <f t="shared" ca="1" si="71"/>
        <v>#VALUE!</v>
      </c>
      <c r="AG202" s="194" t="e">
        <f t="shared" ca="1" si="71"/>
        <v>#VALUE!</v>
      </c>
      <c r="AH202" s="194" t="e">
        <f t="shared" ca="1" si="71"/>
        <v>#VALUE!</v>
      </c>
      <c r="AI202" s="194" t="e">
        <f t="shared" ca="1" si="71"/>
        <v>#VALUE!</v>
      </c>
      <c r="AJ202" s="194" t="e">
        <f t="shared" ca="1" si="71"/>
        <v>#VALUE!</v>
      </c>
      <c r="AK202" s="194" t="e">
        <f t="shared" ca="1" si="71"/>
        <v>#VALUE!</v>
      </c>
      <c r="AL202" s="194" t="e">
        <f t="shared" ca="1" si="71"/>
        <v>#VALUE!</v>
      </c>
      <c r="AM202" s="194" t="e">
        <f t="shared" ca="1" si="71"/>
        <v>#VALUE!</v>
      </c>
      <c r="AN202" s="194" t="e">
        <f t="shared" ca="1" si="71"/>
        <v>#VALUE!</v>
      </c>
      <c r="AO202" s="194" t="e">
        <f t="shared" ca="1" si="71"/>
        <v>#VALUE!</v>
      </c>
      <c r="AP202" s="194" t="e">
        <f t="shared" ca="1" si="71"/>
        <v>#VALUE!</v>
      </c>
    </row>
    <row r="203" spans="1:42">
      <c r="A203" s="59" t="str">
        <f>'[4]TS BYDem'!A142</f>
        <v/>
      </c>
      <c r="B203" s="194" t="s">
        <v>288</v>
      </c>
      <c r="C203" s="194" t="s">
        <v>137</v>
      </c>
      <c r="D203" s="194" t="str">
        <f>'[4]TS BYDem'!D142</f>
        <v>IFBS</v>
      </c>
      <c r="E203" s="194" t="s">
        <v>137</v>
      </c>
      <c r="F203" s="194" t="s">
        <v>137</v>
      </c>
      <c r="G203" s="194" t="s">
        <v>137</v>
      </c>
      <c r="H203" s="194" t="s">
        <v>137</v>
      </c>
      <c r="I203" s="194">
        <v>0</v>
      </c>
      <c r="J203" s="194">
        <f>INDEX('[4]TS BYDem'!$J$10:$J$203,MATCH(D203,'[4]TS BYDem'!$D$10:$D$203,0))</f>
        <v>20.421862032418336</v>
      </c>
      <c r="K203" s="194">
        <f t="shared" ca="1" si="68"/>
        <v>20.79695745750357</v>
      </c>
      <c r="L203" s="194">
        <f t="shared" ca="1" si="68"/>
        <v>21.066762938705232</v>
      </c>
      <c r="M203" s="201">
        <f t="shared" ref="M203" si="72">O203</f>
        <v>6.8922304000000008</v>
      </c>
      <c r="N203" s="201">
        <f t="shared" ref="N203" si="73">O203</f>
        <v>6.8922304000000008</v>
      </c>
      <c r="O203" s="201">
        <f>INDEX('[4]TS BYDem'!$O$10:$O$203,MATCH(D203,'[4]TS BYDem'!$D$10:$D$203,0))</f>
        <v>6.8922304000000008</v>
      </c>
      <c r="P203" s="194">
        <f t="shared" ca="1" si="68"/>
        <v>6.9394422839382486</v>
      </c>
      <c r="Q203" s="194">
        <f t="shared" ca="1" si="68"/>
        <v>6.8851838501584703</v>
      </c>
      <c r="R203" s="194">
        <f t="shared" ca="1" si="68"/>
        <v>6.5384935979552194</v>
      </c>
      <c r="S203" s="194">
        <f t="shared" ca="1" si="68"/>
        <v>6.7350923385338914</v>
      </c>
      <c r="T203" s="194">
        <f t="shared" ca="1" si="68"/>
        <v>6.9147793594928935</v>
      </c>
      <c r="U203" s="194">
        <f t="shared" ca="1" si="68"/>
        <v>7.0620522511808606</v>
      </c>
      <c r="V203" s="194">
        <f t="shared" ca="1" si="68"/>
        <v>7.2001646280748384</v>
      </c>
      <c r="W203" s="194">
        <f t="shared" ca="1" si="68"/>
        <v>7.3481421747469575</v>
      </c>
      <c r="X203" s="194">
        <f t="shared" ca="1" si="68"/>
        <v>7.551082810183007</v>
      </c>
      <c r="Y203" s="194">
        <f t="shared" ca="1" si="68"/>
        <v>7.7441582758409151</v>
      </c>
      <c r="Z203" s="194">
        <f t="shared" ca="1" si="68"/>
        <v>7.9379383964829771</v>
      </c>
      <c r="AA203" s="194">
        <f t="shared" ca="1" si="71"/>
        <v>8.1190347274102841</v>
      </c>
      <c r="AB203" s="194">
        <f t="shared" ca="1" si="71"/>
        <v>8.3036543332583559</v>
      </c>
      <c r="AC203" s="194">
        <f t="shared" ca="1" si="71"/>
        <v>8.4868646291381218</v>
      </c>
      <c r="AD203" s="194">
        <f t="shared" ca="1" si="71"/>
        <v>8.6566864803189816</v>
      </c>
      <c r="AE203" s="194">
        <f t="shared" ca="1" si="71"/>
        <v>8.8413060861670552</v>
      </c>
      <c r="AF203" s="194">
        <f t="shared" ca="1" si="71"/>
        <v>9.0343815518249642</v>
      </c>
      <c r="AG203" s="194">
        <f t="shared" ca="1" si="71"/>
        <v>9.2316849473877891</v>
      </c>
      <c r="AH203" s="194">
        <f t="shared" ca="1" si="71"/>
        <v>9.4508326474593574</v>
      </c>
      <c r="AI203" s="194">
        <f t="shared" ca="1" si="71"/>
        <v>9.6770268973724551</v>
      </c>
      <c r="AJ203" s="194">
        <f t="shared" ca="1" si="71"/>
        <v>9.8996978723647864</v>
      </c>
      <c r="AK203" s="194">
        <f t="shared" ca="1" si="71"/>
        <v>10.127301432246188</v>
      </c>
      <c r="AL203" s="194">
        <f t="shared" ca="1" si="71"/>
        <v>10.364770161905732</v>
      </c>
      <c r="AM203" s="194">
        <f t="shared" ca="1" si="71"/>
        <v>11.55704639509252</v>
      </c>
      <c r="AN203" s="194">
        <f t="shared" ca="1" si="71"/>
        <v>12.99313325279623</v>
      </c>
      <c r="AO203" s="194">
        <f t="shared" ca="1" si="71"/>
        <v>15.580861239600539</v>
      </c>
      <c r="AP203" s="194">
        <f t="shared" ca="1" si="71"/>
        <v>18.209224330491054</v>
      </c>
    </row>
    <row r="204" spans="1:42">
      <c r="A204" s="59" t="str">
        <f>'[4]TS BYDem'!A143</f>
        <v>*</v>
      </c>
      <c r="B204" s="194" t="s">
        <v>288</v>
      </c>
      <c r="C204" s="194" t="s">
        <v>137</v>
      </c>
      <c r="D204" s="194" t="str">
        <f>'[4]TS BYDem'!D143</f>
        <v>IFBS</v>
      </c>
      <c r="E204" s="194" t="s">
        <v>137</v>
      </c>
      <c r="F204" s="194" t="s">
        <v>137</v>
      </c>
      <c r="G204" s="194" t="s">
        <v>137</v>
      </c>
      <c r="H204" s="194" t="s">
        <v>137</v>
      </c>
      <c r="I204" s="194">
        <v>0</v>
      </c>
      <c r="J204" s="194">
        <f>INDEX('[4]TS BYDem'!$J$10:$J$203,MATCH(D204,'[4]TS BYDem'!$D$10:$D$203,0))</f>
        <v>20.421862032418336</v>
      </c>
      <c r="K204" s="194">
        <f t="shared" ca="1" si="68"/>
        <v>20.79695745750357</v>
      </c>
      <c r="L204" s="194">
        <f t="shared" ca="1" si="68"/>
        <v>21.066762938705232</v>
      </c>
      <c r="M204" s="194">
        <f t="shared" ca="1" si="68"/>
        <v>21.086504803183399</v>
      </c>
      <c r="N204" s="194">
        <f t="shared" ca="1" si="68"/>
        <v>21.373858608365659</v>
      </c>
      <c r="O204" s="194">
        <f t="shared" ca="1" si="68"/>
        <v>21.455019606775917</v>
      </c>
      <c r="P204" s="194">
        <f t="shared" ca="1" si="68"/>
        <v>21.601986820113407</v>
      </c>
      <c r="Q204" s="194">
        <f t="shared" ca="1" si="68"/>
        <v>21.43308420180017</v>
      </c>
      <c r="R204" s="194">
        <f t="shared" ca="1" si="68"/>
        <v>20.353862276993532</v>
      </c>
      <c r="S204" s="194">
        <f t="shared" ca="1" si="68"/>
        <v>20.965860075816806</v>
      </c>
      <c r="T204" s="194">
        <f t="shared" ca="1" si="68"/>
        <v>21.525212902698296</v>
      </c>
      <c r="U204" s="194">
        <f t="shared" ca="1" si="68"/>
        <v>21.983662866691361</v>
      </c>
      <c r="V204" s="194">
        <f t="shared" ca="1" si="68"/>
        <v>22.41359680421596</v>
      </c>
      <c r="W204" s="194">
        <f t="shared" ca="1" si="68"/>
        <v>22.874240308706597</v>
      </c>
      <c r="X204" s="194">
        <f t="shared" ca="1" si="68"/>
        <v>23.505979972008046</v>
      </c>
      <c r="Y204" s="194">
        <f t="shared" ca="1" si="68"/>
        <v>24.107010068343449</v>
      </c>
      <c r="Z204" s="194">
        <f t="shared" ca="1" si="68"/>
        <v>24.710233705176432</v>
      </c>
      <c r="AA204" s="194">
        <f t="shared" ca="1" si="71"/>
        <v>25.273973613053066</v>
      </c>
      <c r="AB204" s="194">
        <f t="shared" ca="1" si="71"/>
        <v>25.848681223417575</v>
      </c>
      <c r="AC204" s="194">
        <f t="shared" ca="1" si="71"/>
        <v>26.419001752786937</v>
      </c>
      <c r="AD204" s="194">
        <f t="shared" ca="1" si="71"/>
        <v>26.947645012702385</v>
      </c>
      <c r="AE204" s="194">
        <f t="shared" ca="1" si="71"/>
        <v>27.522352623066897</v>
      </c>
      <c r="AF204" s="194">
        <f t="shared" ca="1" si="71"/>
        <v>28.123382719402308</v>
      </c>
      <c r="AG204" s="194">
        <f t="shared" ca="1" si="71"/>
        <v>28.737574058723158</v>
      </c>
      <c r="AH204" s="194">
        <f t="shared" ca="1" si="71"/>
        <v>29.419765153468823</v>
      </c>
      <c r="AI204" s="194">
        <f t="shared" ca="1" si="71"/>
        <v>30.123891653190231</v>
      </c>
      <c r="AJ204" s="194">
        <f t="shared" ca="1" si="71"/>
        <v>30.817050450423764</v>
      </c>
      <c r="AK204" s="194">
        <f t="shared" ca="1" si="71"/>
        <v>31.525564031140316</v>
      </c>
      <c r="AL204" s="194">
        <f t="shared" ca="1" si="71"/>
        <v>32.264787178822914</v>
      </c>
      <c r="AM204" s="194">
        <f t="shared" ca="1" si="71"/>
        <v>35.976257700718918</v>
      </c>
      <c r="AN204" s="194">
        <f t="shared" ca="1" si="71"/>
        <v>40.446693234775687</v>
      </c>
      <c r="AO204" s="194">
        <f t="shared" ca="1" si="71"/>
        <v>48.502105122034884</v>
      </c>
      <c r="AP204" s="194">
        <f t="shared" ca="1" si="71"/>
        <v>56.684011177987706</v>
      </c>
    </row>
    <row r="205" spans="1:42">
      <c r="A205" s="59" t="str">
        <f>'[4]TS BYDem'!A144</f>
        <v>*</v>
      </c>
      <c r="B205" s="194" t="s">
        <v>288</v>
      </c>
      <c r="C205" s="194" t="s">
        <v>137</v>
      </c>
      <c r="D205" s="194" t="str">
        <f>'[4]TS BYDem'!D144</f>
        <v>IFBS</v>
      </c>
      <c r="E205" s="194" t="s">
        <v>137</v>
      </c>
      <c r="F205" s="194" t="s">
        <v>137</v>
      </c>
      <c r="G205" s="194" t="s">
        <v>137</v>
      </c>
      <c r="H205" s="194" t="s">
        <v>137</v>
      </c>
      <c r="I205" s="194">
        <v>0</v>
      </c>
      <c r="J205" s="194">
        <f>INDEX('[4]TS BYDem'!$J$10:$J$203,MATCH(D205,'[4]TS BYDem'!$D$10:$D$203,0))</f>
        <v>20.421862032418336</v>
      </c>
      <c r="K205" s="194">
        <f t="shared" ca="1" si="68"/>
        <v>20.79695745750357</v>
      </c>
      <c r="L205" s="194">
        <f t="shared" ca="1" si="68"/>
        <v>21.066762938705232</v>
      </c>
      <c r="M205" s="194">
        <f t="shared" ca="1" si="68"/>
        <v>21.086504803183399</v>
      </c>
      <c r="N205" s="194">
        <f t="shared" ca="1" si="68"/>
        <v>21.373858608365659</v>
      </c>
      <c r="O205" s="194">
        <f t="shared" ca="1" si="68"/>
        <v>21.455019606775917</v>
      </c>
      <c r="P205" s="194">
        <f t="shared" ca="1" si="68"/>
        <v>21.601986820113407</v>
      </c>
      <c r="Q205" s="194">
        <f t="shared" ca="1" si="68"/>
        <v>21.43308420180017</v>
      </c>
      <c r="R205" s="194">
        <f t="shared" ca="1" si="68"/>
        <v>20.353862276993532</v>
      </c>
      <c r="S205" s="194">
        <f t="shared" ca="1" si="68"/>
        <v>20.965860075816806</v>
      </c>
      <c r="T205" s="194">
        <f t="shared" ca="1" si="68"/>
        <v>21.525212902698296</v>
      </c>
      <c r="U205" s="194">
        <f t="shared" ca="1" si="68"/>
        <v>21.983662866691361</v>
      </c>
      <c r="V205" s="194">
        <f t="shared" ca="1" si="68"/>
        <v>22.41359680421596</v>
      </c>
      <c r="W205" s="194">
        <f t="shared" ca="1" si="68"/>
        <v>22.874240308706597</v>
      </c>
      <c r="X205" s="194">
        <f t="shared" ca="1" si="68"/>
        <v>23.505979972008046</v>
      </c>
      <c r="Y205" s="194">
        <f t="shared" ca="1" si="68"/>
        <v>24.107010068343449</v>
      </c>
      <c r="Z205" s="194">
        <f t="shared" ca="1" si="68"/>
        <v>24.710233705176432</v>
      </c>
      <c r="AA205" s="194">
        <f t="shared" ca="1" si="71"/>
        <v>25.273973613053066</v>
      </c>
      <c r="AB205" s="194">
        <f t="shared" ca="1" si="71"/>
        <v>25.848681223417575</v>
      </c>
      <c r="AC205" s="194">
        <f t="shared" ca="1" si="71"/>
        <v>26.419001752786937</v>
      </c>
      <c r="AD205" s="194">
        <f t="shared" ca="1" si="71"/>
        <v>26.947645012702385</v>
      </c>
      <c r="AE205" s="194">
        <f t="shared" ca="1" si="71"/>
        <v>27.522352623066897</v>
      </c>
      <c r="AF205" s="194">
        <f t="shared" ca="1" si="71"/>
        <v>28.123382719402308</v>
      </c>
      <c r="AG205" s="194">
        <f t="shared" ca="1" si="71"/>
        <v>28.737574058723158</v>
      </c>
      <c r="AH205" s="194">
        <f t="shared" ca="1" si="71"/>
        <v>29.419765153468823</v>
      </c>
      <c r="AI205" s="194">
        <f t="shared" ca="1" si="71"/>
        <v>30.123891653190231</v>
      </c>
      <c r="AJ205" s="194">
        <f t="shared" ca="1" si="71"/>
        <v>30.817050450423764</v>
      </c>
      <c r="AK205" s="194">
        <f t="shared" ca="1" si="71"/>
        <v>31.525564031140316</v>
      </c>
      <c r="AL205" s="194">
        <f t="shared" ca="1" si="71"/>
        <v>32.264787178822914</v>
      </c>
      <c r="AM205" s="194">
        <f t="shared" ca="1" si="71"/>
        <v>35.976257700718918</v>
      </c>
      <c r="AN205" s="194">
        <f t="shared" ca="1" si="71"/>
        <v>40.446693234775687</v>
      </c>
      <c r="AO205" s="194">
        <f t="shared" ca="1" si="71"/>
        <v>48.502105122034884</v>
      </c>
      <c r="AP205" s="194">
        <f t="shared" ca="1" si="71"/>
        <v>56.684011177987706</v>
      </c>
    </row>
    <row r="206" spans="1:42">
      <c r="A206" s="59" t="str">
        <f>'[4]TS BYDem'!A145</f>
        <v>*</v>
      </c>
      <c r="B206" s="194" t="s">
        <v>288</v>
      </c>
      <c r="C206" s="194" t="s">
        <v>137</v>
      </c>
      <c r="D206" s="194" t="str">
        <f>'[4]TS BYDem'!D145</f>
        <v>IFBS</v>
      </c>
      <c r="E206" s="194" t="s">
        <v>137</v>
      </c>
      <c r="F206" s="194" t="s">
        <v>137</v>
      </c>
      <c r="G206" s="194" t="s">
        <v>137</v>
      </c>
      <c r="H206" s="194" t="s">
        <v>137</v>
      </c>
      <c r="I206" s="194">
        <v>0</v>
      </c>
      <c r="J206" s="194">
        <f>INDEX('[4]TS BYDem'!$J$10:$J$203,MATCH(D206,'[4]TS BYDem'!$D$10:$D$203,0))</f>
        <v>20.421862032418336</v>
      </c>
      <c r="K206" s="194">
        <f t="shared" ca="1" si="68"/>
        <v>20.79695745750357</v>
      </c>
      <c r="L206" s="194">
        <f t="shared" ca="1" si="68"/>
        <v>21.066762938705232</v>
      </c>
      <c r="M206" s="194">
        <f t="shared" ca="1" si="68"/>
        <v>21.086504803183399</v>
      </c>
      <c r="N206" s="194">
        <f t="shared" ca="1" si="68"/>
        <v>21.373858608365659</v>
      </c>
      <c r="O206" s="194">
        <f t="shared" ca="1" si="68"/>
        <v>21.455019606775917</v>
      </c>
      <c r="P206" s="194">
        <f t="shared" ca="1" si="68"/>
        <v>21.601986820113407</v>
      </c>
      <c r="Q206" s="194">
        <f t="shared" ca="1" si="68"/>
        <v>21.43308420180017</v>
      </c>
      <c r="R206" s="194">
        <f t="shared" ca="1" si="68"/>
        <v>20.353862276993532</v>
      </c>
      <c r="S206" s="194">
        <f t="shared" ca="1" si="68"/>
        <v>20.965860075816806</v>
      </c>
      <c r="T206" s="194">
        <f t="shared" ca="1" si="68"/>
        <v>21.525212902698296</v>
      </c>
      <c r="U206" s="194">
        <f t="shared" ca="1" si="68"/>
        <v>21.983662866691361</v>
      </c>
      <c r="V206" s="194">
        <f t="shared" ca="1" si="68"/>
        <v>22.41359680421596</v>
      </c>
      <c r="W206" s="194">
        <f t="shared" ca="1" si="68"/>
        <v>22.874240308706597</v>
      </c>
      <c r="X206" s="194">
        <f t="shared" ca="1" si="68"/>
        <v>23.505979972008046</v>
      </c>
      <c r="Y206" s="194">
        <f t="shared" ca="1" si="68"/>
        <v>24.107010068343449</v>
      </c>
      <c r="Z206" s="194">
        <f t="shared" ca="1" si="68"/>
        <v>24.710233705176432</v>
      </c>
      <c r="AA206" s="194">
        <f t="shared" ca="1" si="71"/>
        <v>25.273973613053066</v>
      </c>
      <c r="AB206" s="194">
        <f t="shared" ca="1" si="71"/>
        <v>25.848681223417575</v>
      </c>
      <c r="AC206" s="194">
        <f t="shared" ca="1" si="71"/>
        <v>26.419001752786937</v>
      </c>
      <c r="AD206" s="194">
        <f t="shared" ca="1" si="71"/>
        <v>26.947645012702385</v>
      </c>
      <c r="AE206" s="194">
        <f t="shared" ca="1" si="71"/>
        <v>27.522352623066897</v>
      </c>
      <c r="AF206" s="194">
        <f t="shared" ca="1" si="71"/>
        <v>28.123382719402308</v>
      </c>
      <c r="AG206" s="194">
        <f t="shared" ca="1" si="71"/>
        <v>28.737574058723158</v>
      </c>
      <c r="AH206" s="194">
        <f t="shared" ca="1" si="71"/>
        <v>29.419765153468823</v>
      </c>
      <c r="AI206" s="194">
        <f t="shared" ca="1" si="71"/>
        <v>30.123891653190231</v>
      </c>
      <c r="AJ206" s="194">
        <f t="shared" ca="1" si="71"/>
        <v>30.817050450423764</v>
      </c>
      <c r="AK206" s="194">
        <f t="shared" ca="1" si="71"/>
        <v>31.525564031140316</v>
      </c>
      <c r="AL206" s="194">
        <f t="shared" ca="1" si="71"/>
        <v>32.264787178822914</v>
      </c>
      <c r="AM206" s="194">
        <f t="shared" ca="1" si="71"/>
        <v>35.976257700718918</v>
      </c>
      <c r="AN206" s="194">
        <f t="shared" ca="1" si="71"/>
        <v>40.446693234775687</v>
      </c>
      <c r="AO206" s="194">
        <f t="shared" ca="1" si="71"/>
        <v>48.502105122034884</v>
      </c>
      <c r="AP206" s="194">
        <f t="shared" ca="1" si="71"/>
        <v>56.684011177987706</v>
      </c>
    </row>
    <row r="207" spans="1:42">
      <c r="A207" s="59" t="str">
        <f>'[4]TS BYDem'!A146</f>
        <v>*</v>
      </c>
      <c r="B207" s="194" t="s">
        <v>288</v>
      </c>
      <c r="C207" s="194" t="s">
        <v>137</v>
      </c>
      <c r="D207" s="194" t="str">
        <f>'[4]TS BYDem'!D146</f>
        <v>IFBS</v>
      </c>
      <c r="E207" s="194" t="s">
        <v>137</v>
      </c>
      <c r="F207" s="194" t="s">
        <v>137</v>
      </c>
      <c r="G207" s="194" t="s">
        <v>137</v>
      </c>
      <c r="H207" s="194" t="s">
        <v>137</v>
      </c>
      <c r="I207" s="194">
        <v>0</v>
      </c>
      <c r="J207" s="194">
        <f>INDEX('[4]TS BYDem'!$J$10:$J$203,MATCH(D207,'[4]TS BYDem'!$D$10:$D$203,0))</f>
        <v>20.421862032418336</v>
      </c>
      <c r="K207" s="194">
        <f t="shared" ca="1" si="68"/>
        <v>20.79695745750357</v>
      </c>
      <c r="L207" s="194">
        <f t="shared" ca="1" si="68"/>
        <v>21.066762938705232</v>
      </c>
      <c r="M207" s="194">
        <f t="shared" ca="1" si="68"/>
        <v>21.086504803183399</v>
      </c>
      <c r="N207" s="194">
        <f t="shared" ca="1" si="68"/>
        <v>21.373858608365659</v>
      </c>
      <c r="O207" s="194">
        <f t="shared" ca="1" si="68"/>
        <v>21.455019606775917</v>
      </c>
      <c r="P207" s="194">
        <f t="shared" ca="1" si="68"/>
        <v>21.601986820113407</v>
      </c>
      <c r="Q207" s="194">
        <f t="shared" ca="1" si="68"/>
        <v>21.43308420180017</v>
      </c>
      <c r="R207" s="194">
        <f t="shared" ca="1" si="68"/>
        <v>20.353862276993532</v>
      </c>
      <c r="S207" s="194">
        <f t="shared" ca="1" si="68"/>
        <v>20.965860075816806</v>
      </c>
      <c r="T207" s="194">
        <f t="shared" ca="1" si="68"/>
        <v>21.525212902698296</v>
      </c>
      <c r="U207" s="194">
        <f t="shared" ca="1" si="68"/>
        <v>21.983662866691361</v>
      </c>
      <c r="V207" s="194">
        <f t="shared" ca="1" si="68"/>
        <v>22.41359680421596</v>
      </c>
      <c r="W207" s="194">
        <f t="shared" ca="1" si="68"/>
        <v>22.874240308706597</v>
      </c>
      <c r="X207" s="194">
        <f t="shared" ca="1" si="68"/>
        <v>23.505979972008046</v>
      </c>
      <c r="Y207" s="194">
        <f t="shared" ca="1" si="68"/>
        <v>24.107010068343449</v>
      </c>
      <c r="Z207" s="194">
        <f t="shared" ca="1" si="68"/>
        <v>24.710233705176432</v>
      </c>
      <c r="AA207" s="194">
        <f t="shared" ca="1" si="71"/>
        <v>25.273973613053066</v>
      </c>
      <c r="AB207" s="194">
        <f t="shared" ca="1" si="71"/>
        <v>25.848681223417575</v>
      </c>
      <c r="AC207" s="194">
        <f t="shared" ca="1" si="71"/>
        <v>26.419001752786937</v>
      </c>
      <c r="AD207" s="194">
        <f t="shared" ca="1" si="71"/>
        <v>26.947645012702385</v>
      </c>
      <c r="AE207" s="194">
        <f t="shared" ca="1" si="71"/>
        <v>27.522352623066897</v>
      </c>
      <c r="AF207" s="194">
        <f t="shared" ca="1" si="71"/>
        <v>28.123382719402308</v>
      </c>
      <c r="AG207" s="194">
        <f t="shared" ca="1" si="71"/>
        <v>28.737574058723158</v>
      </c>
      <c r="AH207" s="194">
        <f t="shared" ca="1" si="71"/>
        <v>29.419765153468823</v>
      </c>
      <c r="AI207" s="194">
        <f t="shared" ca="1" si="71"/>
        <v>30.123891653190231</v>
      </c>
      <c r="AJ207" s="194">
        <f t="shared" ca="1" si="71"/>
        <v>30.817050450423764</v>
      </c>
      <c r="AK207" s="194">
        <f t="shared" ca="1" si="71"/>
        <v>31.525564031140316</v>
      </c>
      <c r="AL207" s="194">
        <f t="shared" ca="1" si="71"/>
        <v>32.264787178822914</v>
      </c>
      <c r="AM207" s="194">
        <f t="shared" ca="1" si="71"/>
        <v>35.976257700718918</v>
      </c>
      <c r="AN207" s="194">
        <f t="shared" ca="1" si="71"/>
        <v>40.446693234775687</v>
      </c>
      <c r="AO207" s="194">
        <f t="shared" ca="1" si="71"/>
        <v>48.502105122034884</v>
      </c>
      <c r="AP207" s="194">
        <f t="shared" ca="1" si="71"/>
        <v>56.684011177987706</v>
      </c>
    </row>
    <row r="208" spans="1:42">
      <c r="A208" s="59" t="str">
        <f>'[4]TS BYDem'!A147</f>
        <v>*</v>
      </c>
      <c r="B208" s="194" t="s">
        <v>288</v>
      </c>
      <c r="C208" s="194" t="s">
        <v>137</v>
      </c>
      <c r="D208" s="194" t="str">
        <f>'[4]TS BYDem'!D147</f>
        <v>IFBS</v>
      </c>
      <c r="E208" s="194" t="s">
        <v>137</v>
      </c>
      <c r="F208" s="194" t="s">
        <v>137</v>
      </c>
      <c r="G208" s="194" t="s">
        <v>137</v>
      </c>
      <c r="H208" s="194" t="s">
        <v>137</v>
      </c>
      <c r="I208" s="194">
        <v>0</v>
      </c>
      <c r="J208" s="194">
        <f>INDEX('[4]TS BYDem'!$J$10:$J$203,MATCH(D208,'[4]TS BYDem'!$D$10:$D$203,0))</f>
        <v>20.421862032418336</v>
      </c>
      <c r="K208" s="194">
        <f t="shared" ca="1" si="68"/>
        <v>20.79695745750357</v>
      </c>
      <c r="L208" s="194">
        <f t="shared" ca="1" si="68"/>
        <v>21.066762938705232</v>
      </c>
      <c r="M208" s="194">
        <f t="shared" ca="1" si="68"/>
        <v>21.086504803183399</v>
      </c>
      <c r="N208" s="194">
        <f t="shared" ca="1" si="68"/>
        <v>21.373858608365659</v>
      </c>
      <c r="O208" s="194">
        <f t="shared" ca="1" si="68"/>
        <v>21.455019606775917</v>
      </c>
      <c r="P208" s="194">
        <f t="shared" ca="1" si="68"/>
        <v>21.601986820113407</v>
      </c>
      <c r="Q208" s="194">
        <f t="shared" ca="1" si="68"/>
        <v>21.43308420180017</v>
      </c>
      <c r="R208" s="194">
        <f t="shared" ca="1" si="68"/>
        <v>20.353862276993532</v>
      </c>
      <c r="S208" s="194">
        <f t="shared" ca="1" si="68"/>
        <v>20.965860075816806</v>
      </c>
      <c r="T208" s="194">
        <f t="shared" ca="1" si="68"/>
        <v>21.525212902698296</v>
      </c>
      <c r="U208" s="194">
        <f t="shared" ca="1" si="68"/>
        <v>21.983662866691361</v>
      </c>
      <c r="V208" s="194">
        <f t="shared" ca="1" si="68"/>
        <v>22.41359680421596</v>
      </c>
      <c r="W208" s="194">
        <f t="shared" ca="1" si="68"/>
        <v>22.874240308706597</v>
      </c>
      <c r="X208" s="194">
        <f t="shared" ca="1" si="68"/>
        <v>23.505979972008046</v>
      </c>
      <c r="Y208" s="194">
        <f t="shared" ca="1" si="68"/>
        <v>24.107010068343449</v>
      </c>
      <c r="Z208" s="194">
        <f t="shared" ca="1" si="68"/>
        <v>24.710233705176432</v>
      </c>
      <c r="AA208" s="194">
        <f t="shared" ca="1" si="71"/>
        <v>25.273973613053066</v>
      </c>
      <c r="AB208" s="194">
        <f t="shared" ca="1" si="71"/>
        <v>25.848681223417575</v>
      </c>
      <c r="AC208" s="194">
        <f t="shared" ca="1" si="71"/>
        <v>26.419001752786937</v>
      </c>
      <c r="AD208" s="194">
        <f t="shared" ca="1" si="71"/>
        <v>26.947645012702385</v>
      </c>
      <c r="AE208" s="194">
        <f t="shared" ca="1" si="71"/>
        <v>27.522352623066897</v>
      </c>
      <c r="AF208" s="194">
        <f t="shared" ca="1" si="71"/>
        <v>28.123382719402308</v>
      </c>
      <c r="AG208" s="194">
        <f t="shared" ca="1" si="71"/>
        <v>28.737574058723158</v>
      </c>
      <c r="AH208" s="194">
        <f t="shared" ca="1" si="71"/>
        <v>29.419765153468823</v>
      </c>
      <c r="AI208" s="194">
        <f t="shared" ca="1" si="71"/>
        <v>30.123891653190231</v>
      </c>
      <c r="AJ208" s="194">
        <f t="shared" ca="1" si="71"/>
        <v>30.817050450423764</v>
      </c>
      <c r="AK208" s="194">
        <f t="shared" ca="1" si="71"/>
        <v>31.525564031140316</v>
      </c>
      <c r="AL208" s="194">
        <f t="shared" ca="1" si="71"/>
        <v>32.264787178822914</v>
      </c>
      <c r="AM208" s="194">
        <f t="shared" ca="1" si="71"/>
        <v>35.976257700718918</v>
      </c>
      <c r="AN208" s="194">
        <f t="shared" ca="1" si="71"/>
        <v>40.446693234775687</v>
      </c>
      <c r="AO208" s="194">
        <f t="shared" ca="1" si="71"/>
        <v>48.502105122034884</v>
      </c>
      <c r="AP208" s="194">
        <f t="shared" ref="AP208" ca="1" si="74">AP$192/AO$192*AO208</f>
        <v>56.684011177987706</v>
      </c>
    </row>
    <row r="209" spans="1:42">
      <c r="A209" s="59" t="str">
        <f>'[4]TS BYDem'!A148</f>
        <v>*</v>
      </c>
      <c r="B209" s="194" t="s">
        <v>288</v>
      </c>
      <c r="C209" s="194" t="s">
        <v>137</v>
      </c>
      <c r="D209" s="194" t="str">
        <f>'[4]TS BYDem'!D148</f>
        <v>IFBS</v>
      </c>
      <c r="E209" s="194" t="s">
        <v>137</v>
      </c>
      <c r="F209" s="194" t="s">
        <v>137</v>
      </c>
      <c r="G209" s="194" t="s">
        <v>137</v>
      </c>
      <c r="H209" s="194" t="s">
        <v>137</v>
      </c>
      <c r="I209" s="194">
        <v>0</v>
      </c>
      <c r="J209" s="194">
        <f>INDEX('[4]TS BYDem'!$J$10:$J$203,MATCH(D209,'[4]TS BYDem'!$D$10:$D$203,0))</f>
        <v>20.421862032418336</v>
      </c>
    </row>
    <row r="210" spans="1:42">
      <c r="A210" s="59" t="str">
        <f>'[4]TS BYDem'!A149</f>
        <v>*</v>
      </c>
      <c r="B210" s="194" t="s">
        <v>288</v>
      </c>
      <c r="C210" s="194" t="s">
        <v>137</v>
      </c>
      <c r="D210" s="194" t="str">
        <f>'[4]TS BYDem'!D149</f>
        <v>Useful Energy Service</v>
      </c>
      <c r="E210" s="194" t="s">
        <v>137</v>
      </c>
      <c r="F210" s="194" t="s">
        <v>137</v>
      </c>
      <c r="G210" s="194" t="s">
        <v>137</v>
      </c>
      <c r="H210" s="194" t="s">
        <v>137</v>
      </c>
      <c r="I210" s="194">
        <v>0</v>
      </c>
      <c r="J210" s="194" t="str">
        <f>INDEX('[4]TS BYDem'!$J$10:$J$203,MATCH(D210,'[4]TS BYDem'!$D$10:$D$203,0))</f>
        <v/>
      </c>
    </row>
    <row r="211" spans="1:42" s="5" customFormat="1">
      <c r="A211" s="59"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59" t="str">
        <f>'[4]TS BYDem'!A151</f>
        <v>*</v>
      </c>
      <c r="B212" s="194" t="s">
        <v>288</v>
      </c>
      <c r="C212" s="194" t="s">
        <v>137</v>
      </c>
      <c r="D212" s="194">
        <f>'[4]TS BYDem'!D151</f>
        <v>2</v>
      </c>
      <c r="E212" s="194" t="s">
        <v>137</v>
      </c>
      <c r="F212" s="194" t="s">
        <v>137</v>
      </c>
      <c r="G212" s="194" t="s">
        <v>137</v>
      </c>
      <c r="H212" s="194" t="s">
        <v>137</v>
      </c>
      <c r="I212" s="194">
        <v>0</v>
      </c>
      <c r="J212" s="194" t="str">
        <f>INDEX('[4]TS BYDem'!$J$10:$J$203,MATCH(D212,'[4]TS BYDem'!$D$10:$D$203,0))</f>
        <v/>
      </c>
      <c r="K212" s="194" t="e">
        <f t="shared" ref="K212:Z227" ca="1" si="76">K$211/J$211*J212</f>
        <v>#VALUE!</v>
      </c>
      <c r="L212" s="194" t="e">
        <f t="shared" ca="1" si="76"/>
        <v>#VALUE!</v>
      </c>
      <c r="M212" s="194" t="e">
        <f t="shared" ca="1" si="76"/>
        <v>#VALUE!</v>
      </c>
      <c r="N212" s="194" t="e">
        <f t="shared" ca="1" si="76"/>
        <v>#VALUE!</v>
      </c>
      <c r="O212" s="194" t="e">
        <f t="shared" ca="1" si="76"/>
        <v>#VALUE!</v>
      </c>
      <c r="P212" s="194" t="e">
        <f t="shared" ca="1" si="76"/>
        <v>#VALUE!</v>
      </c>
      <c r="Q212" s="194" t="e">
        <f t="shared" ca="1" si="76"/>
        <v>#VALUE!</v>
      </c>
      <c r="R212" s="194" t="e">
        <f t="shared" ca="1" si="76"/>
        <v>#VALUE!</v>
      </c>
      <c r="S212" s="194" t="e">
        <f t="shared" ca="1" si="76"/>
        <v>#VALUE!</v>
      </c>
      <c r="T212" s="194" t="e">
        <f t="shared" ca="1" si="76"/>
        <v>#VALUE!</v>
      </c>
      <c r="U212" s="194" t="e">
        <f t="shared" ca="1" si="76"/>
        <v>#VALUE!</v>
      </c>
      <c r="V212" s="194" t="e">
        <f t="shared" ca="1" si="76"/>
        <v>#VALUE!</v>
      </c>
      <c r="W212" s="194" t="e">
        <f t="shared" ca="1" si="76"/>
        <v>#VALUE!</v>
      </c>
      <c r="X212" s="194" t="e">
        <f t="shared" ca="1" si="76"/>
        <v>#VALUE!</v>
      </c>
      <c r="Y212" s="194" t="e">
        <f t="shared" ca="1" si="76"/>
        <v>#VALUE!</v>
      </c>
      <c r="Z212" s="194" t="e">
        <f t="shared" ca="1" si="76"/>
        <v>#VALUE!</v>
      </c>
      <c r="AA212" s="194" t="e">
        <f t="shared" ref="AA212:AP227" ca="1" si="77">AA$211/Z$211*Z212</f>
        <v>#VALUE!</v>
      </c>
      <c r="AB212" s="194" t="e">
        <f t="shared" ca="1" si="77"/>
        <v>#VALUE!</v>
      </c>
      <c r="AC212" s="194" t="e">
        <f t="shared" ca="1" si="77"/>
        <v>#VALUE!</v>
      </c>
      <c r="AD212" s="194" t="e">
        <f t="shared" ca="1" si="77"/>
        <v>#VALUE!</v>
      </c>
      <c r="AE212" s="194" t="e">
        <f t="shared" ca="1" si="77"/>
        <v>#VALUE!</v>
      </c>
      <c r="AF212" s="194" t="e">
        <f t="shared" ca="1" si="77"/>
        <v>#VALUE!</v>
      </c>
      <c r="AG212" s="194" t="e">
        <f t="shared" ca="1" si="77"/>
        <v>#VALUE!</v>
      </c>
      <c r="AH212" s="194" t="e">
        <f t="shared" ca="1" si="77"/>
        <v>#VALUE!</v>
      </c>
      <c r="AI212" s="194" t="e">
        <f t="shared" ca="1" si="77"/>
        <v>#VALUE!</v>
      </c>
      <c r="AJ212" s="194" t="e">
        <f t="shared" ca="1" si="77"/>
        <v>#VALUE!</v>
      </c>
      <c r="AK212" s="194" t="e">
        <f t="shared" ca="1" si="77"/>
        <v>#VALUE!</v>
      </c>
      <c r="AL212" s="194" t="e">
        <f t="shared" ca="1" si="77"/>
        <v>#VALUE!</v>
      </c>
      <c r="AM212" s="194" t="e">
        <f t="shared" ca="1" si="77"/>
        <v>#VALUE!</v>
      </c>
      <c r="AN212" s="194" t="e">
        <f t="shared" ca="1" si="77"/>
        <v>#VALUE!</v>
      </c>
      <c r="AO212" s="194" t="e">
        <f t="shared" ca="1" si="77"/>
        <v>#VALUE!</v>
      </c>
      <c r="AP212" s="194" t="e">
        <f t="shared" ca="1" si="77"/>
        <v>#VALUE!</v>
      </c>
    </row>
    <row r="213" spans="1:42">
      <c r="A213" s="59" t="str">
        <f>'[4]TS BYDem'!A152</f>
        <v>*</v>
      </c>
      <c r="B213" s="194" t="s">
        <v>288</v>
      </c>
      <c r="C213" s="194" t="s">
        <v>137</v>
      </c>
      <c r="D213" s="194" t="str">
        <f>'[4]TS BYDem'!D152</f>
        <v>IPPK</v>
      </c>
      <c r="E213" s="194" t="s">
        <v>137</v>
      </c>
      <c r="F213" s="194" t="s">
        <v>137</v>
      </c>
      <c r="G213" s="194" t="s">
        <v>137</v>
      </c>
      <c r="H213" s="194" t="s">
        <v>137</v>
      </c>
      <c r="I213" s="194">
        <v>0</v>
      </c>
      <c r="J213" s="194" t="str">
        <f>INDEX('[4]TS BYDem'!$J$10:$J$203,MATCH(D213,'[4]TS BYDem'!$D$10:$D$203,0))</f>
        <v/>
      </c>
      <c r="K213" s="194" t="e">
        <f t="shared" ca="1" si="76"/>
        <v>#VALUE!</v>
      </c>
      <c r="L213" s="194" t="e">
        <f t="shared" ca="1" si="76"/>
        <v>#VALUE!</v>
      </c>
      <c r="M213" s="194" t="e">
        <f t="shared" ca="1" si="76"/>
        <v>#VALUE!</v>
      </c>
      <c r="N213" s="194" t="e">
        <f t="shared" ca="1" si="76"/>
        <v>#VALUE!</v>
      </c>
      <c r="O213" s="194" t="e">
        <f t="shared" ca="1" si="76"/>
        <v>#VALUE!</v>
      </c>
      <c r="P213" s="194" t="e">
        <f t="shared" ca="1" si="76"/>
        <v>#VALUE!</v>
      </c>
      <c r="Q213" s="194" t="e">
        <f t="shared" ca="1" si="76"/>
        <v>#VALUE!</v>
      </c>
      <c r="R213" s="194" t="e">
        <f t="shared" ca="1" si="76"/>
        <v>#VALUE!</v>
      </c>
      <c r="S213" s="194" t="e">
        <f t="shared" ca="1" si="76"/>
        <v>#VALUE!</v>
      </c>
      <c r="T213" s="194" t="e">
        <f t="shared" ca="1" si="76"/>
        <v>#VALUE!</v>
      </c>
      <c r="U213" s="194" t="e">
        <f t="shared" ca="1" si="76"/>
        <v>#VALUE!</v>
      </c>
      <c r="V213" s="194" t="e">
        <f t="shared" ca="1" si="76"/>
        <v>#VALUE!</v>
      </c>
      <c r="W213" s="194" t="e">
        <f t="shared" ca="1" si="76"/>
        <v>#VALUE!</v>
      </c>
      <c r="X213" s="194" t="e">
        <f t="shared" ca="1" si="76"/>
        <v>#VALUE!</v>
      </c>
      <c r="Y213" s="194" t="e">
        <f t="shared" ca="1" si="76"/>
        <v>#VALUE!</v>
      </c>
      <c r="Z213" s="194" t="e">
        <f t="shared" ca="1" si="76"/>
        <v>#VALUE!</v>
      </c>
      <c r="AA213" s="194" t="e">
        <f t="shared" ca="1" si="77"/>
        <v>#VALUE!</v>
      </c>
      <c r="AB213" s="194" t="e">
        <f t="shared" ca="1" si="77"/>
        <v>#VALUE!</v>
      </c>
      <c r="AC213" s="194" t="e">
        <f t="shared" ca="1" si="77"/>
        <v>#VALUE!</v>
      </c>
      <c r="AD213" s="194" t="e">
        <f t="shared" ca="1" si="77"/>
        <v>#VALUE!</v>
      </c>
      <c r="AE213" s="194" t="e">
        <f t="shared" ca="1" si="77"/>
        <v>#VALUE!</v>
      </c>
      <c r="AF213" s="194" t="e">
        <f t="shared" ca="1" si="77"/>
        <v>#VALUE!</v>
      </c>
      <c r="AG213" s="194" t="e">
        <f t="shared" ca="1" si="77"/>
        <v>#VALUE!</v>
      </c>
      <c r="AH213" s="194" t="e">
        <f t="shared" ca="1" si="77"/>
        <v>#VALUE!</v>
      </c>
      <c r="AI213" s="194" t="e">
        <f t="shared" ca="1" si="77"/>
        <v>#VALUE!</v>
      </c>
      <c r="AJ213" s="194" t="e">
        <f t="shared" ca="1" si="77"/>
        <v>#VALUE!</v>
      </c>
      <c r="AK213" s="194" t="e">
        <f t="shared" ca="1" si="77"/>
        <v>#VALUE!</v>
      </c>
      <c r="AL213" s="194" t="e">
        <f t="shared" ca="1" si="77"/>
        <v>#VALUE!</v>
      </c>
      <c r="AM213" s="194" t="e">
        <f t="shared" ca="1" si="77"/>
        <v>#VALUE!</v>
      </c>
      <c r="AN213" s="194" t="e">
        <f t="shared" ca="1" si="77"/>
        <v>#VALUE!</v>
      </c>
      <c r="AO213" s="194" t="e">
        <f t="shared" ca="1" si="77"/>
        <v>#VALUE!</v>
      </c>
      <c r="AP213" s="194" t="e">
        <f t="shared" ca="1" si="77"/>
        <v>#VALUE!</v>
      </c>
    </row>
    <row r="214" spans="1:42">
      <c r="A214" s="59" t="str">
        <f>'[4]TS BYDem'!A153</f>
        <v>*</v>
      </c>
      <c r="B214" s="194" t="s">
        <v>288</v>
      </c>
      <c r="C214" s="194" t="s">
        <v>137</v>
      </c>
      <c r="D214" s="194" t="str">
        <f>'[4]TS BYDem'!D153</f>
        <v>IPPA</v>
      </c>
      <c r="E214" s="194" t="s">
        <v>137</v>
      </c>
      <c r="F214" s="194" t="s">
        <v>137</v>
      </c>
      <c r="G214" s="194" t="s">
        <v>137</v>
      </c>
      <c r="H214" s="194" t="s">
        <v>137</v>
      </c>
      <c r="I214" s="194">
        <v>0</v>
      </c>
      <c r="J214" s="194" t="str">
        <f>INDEX('[4]TS BYDem'!$J$10:$J$203,MATCH(D214,'[4]TS BYDem'!$D$10:$D$203,0))</f>
        <v/>
      </c>
      <c r="K214" s="194" t="e">
        <f t="shared" ca="1" si="76"/>
        <v>#VALUE!</v>
      </c>
      <c r="L214" s="194" t="e">
        <f t="shared" ca="1" si="76"/>
        <v>#VALUE!</v>
      </c>
      <c r="M214" s="194" t="e">
        <f t="shared" ca="1" si="76"/>
        <v>#VALUE!</v>
      </c>
      <c r="N214" s="194" t="e">
        <f t="shared" ca="1" si="76"/>
        <v>#VALUE!</v>
      </c>
      <c r="O214" s="194" t="e">
        <f t="shared" ca="1" si="76"/>
        <v>#VALUE!</v>
      </c>
      <c r="P214" s="194" t="e">
        <f t="shared" ca="1" si="76"/>
        <v>#VALUE!</v>
      </c>
      <c r="Q214" s="194" t="e">
        <f t="shared" ca="1" si="76"/>
        <v>#VALUE!</v>
      </c>
      <c r="R214" s="194" t="e">
        <f t="shared" ca="1" si="76"/>
        <v>#VALUE!</v>
      </c>
      <c r="S214" s="194" t="e">
        <f t="shared" ca="1" si="76"/>
        <v>#VALUE!</v>
      </c>
      <c r="T214" s="194" t="e">
        <f t="shared" ca="1" si="76"/>
        <v>#VALUE!</v>
      </c>
      <c r="U214" s="194" t="e">
        <f t="shared" ca="1" si="76"/>
        <v>#VALUE!</v>
      </c>
      <c r="V214" s="194" t="e">
        <f t="shared" ca="1" si="76"/>
        <v>#VALUE!</v>
      </c>
      <c r="W214" s="194" t="e">
        <f t="shared" ca="1" si="76"/>
        <v>#VALUE!</v>
      </c>
      <c r="X214" s="194" t="e">
        <f t="shared" ca="1" si="76"/>
        <v>#VALUE!</v>
      </c>
      <c r="Y214" s="194" t="e">
        <f t="shared" ca="1" si="76"/>
        <v>#VALUE!</v>
      </c>
      <c r="Z214" s="194" t="e">
        <f t="shared" ca="1" si="76"/>
        <v>#VALUE!</v>
      </c>
      <c r="AA214" s="194" t="e">
        <f t="shared" ca="1" si="77"/>
        <v>#VALUE!</v>
      </c>
      <c r="AB214" s="194" t="e">
        <f t="shared" ca="1" si="77"/>
        <v>#VALUE!</v>
      </c>
      <c r="AC214" s="194" t="e">
        <f t="shared" ca="1" si="77"/>
        <v>#VALUE!</v>
      </c>
      <c r="AD214" s="194" t="e">
        <f t="shared" ca="1" si="77"/>
        <v>#VALUE!</v>
      </c>
      <c r="AE214" s="194" t="e">
        <f t="shared" ca="1" si="77"/>
        <v>#VALUE!</v>
      </c>
      <c r="AF214" s="194" t="e">
        <f t="shared" ca="1" si="77"/>
        <v>#VALUE!</v>
      </c>
      <c r="AG214" s="194" t="e">
        <f t="shared" ca="1" si="77"/>
        <v>#VALUE!</v>
      </c>
      <c r="AH214" s="194" t="e">
        <f t="shared" ca="1" si="77"/>
        <v>#VALUE!</v>
      </c>
      <c r="AI214" s="194" t="e">
        <f t="shared" ca="1" si="77"/>
        <v>#VALUE!</v>
      </c>
      <c r="AJ214" s="194" t="e">
        <f t="shared" ca="1" si="77"/>
        <v>#VALUE!</v>
      </c>
      <c r="AK214" s="194" t="e">
        <f t="shared" ca="1" si="77"/>
        <v>#VALUE!</v>
      </c>
      <c r="AL214" s="194" t="e">
        <f t="shared" ca="1" si="77"/>
        <v>#VALUE!</v>
      </c>
      <c r="AM214" s="194" t="e">
        <f t="shared" ca="1" si="77"/>
        <v>#VALUE!</v>
      </c>
      <c r="AN214" s="194" t="e">
        <f t="shared" ca="1" si="77"/>
        <v>#VALUE!</v>
      </c>
      <c r="AO214" s="194" t="e">
        <f t="shared" ca="1" si="77"/>
        <v>#VALUE!</v>
      </c>
      <c r="AP214" s="194" t="e">
        <f t="shared" ca="1" si="77"/>
        <v>#VALUE!</v>
      </c>
    </row>
    <row r="215" spans="1:42">
      <c r="A215" s="59" t="str">
        <f>'[4]TS BYDem'!A154</f>
        <v>*</v>
      </c>
      <c r="B215" s="194" t="s">
        <v>288</v>
      </c>
      <c r="C215" s="194" t="s">
        <v>137</v>
      </c>
      <c r="D215" s="194" t="str">
        <f>'[4]TS BYDem'!D154</f>
        <v>IPPL</v>
      </c>
      <c r="E215" s="194" t="s">
        <v>137</v>
      </c>
      <c r="F215" s="194" t="s">
        <v>137</v>
      </c>
      <c r="G215" s="194" t="s">
        <v>137</v>
      </c>
      <c r="H215" s="194" t="s">
        <v>137</v>
      </c>
      <c r="I215" s="194">
        <v>0</v>
      </c>
      <c r="J215" s="194" t="str">
        <f>INDEX('[4]TS BYDem'!$J$10:$J$203,MATCH(D215,'[4]TS BYDem'!$D$10:$D$203,0))</f>
        <v/>
      </c>
      <c r="K215" s="194" t="e">
        <f t="shared" ca="1" si="76"/>
        <v>#VALUE!</v>
      </c>
      <c r="L215" s="194" t="e">
        <f t="shared" ca="1" si="76"/>
        <v>#VALUE!</v>
      </c>
      <c r="M215" s="194" t="e">
        <f t="shared" ca="1" si="76"/>
        <v>#VALUE!</v>
      </c>
      <c r="N215" s="194" t="e">
        <f t="shared" ca="1" si="76"/>
        <v>#VALUE!</v>
      </c>
      <c r="O215" s="194" t="e">
        <f t="shared" ca="1" si="76"/>
        <v>#VALUE!</v>
      </c>
      <c r="P215" s="194" t="e">
        <f t="shared" ca="1" si="76"/>
        <v>#VALUE!</v>
      </c>
      <c r="Q215" s="194" t="e">
        <f t="shared" ca="1" si="76"/>
        <v>#VALUE!</v>
      </c>
      <c r="R215" s="194" t="e">
        <f t="shared" ca="1" si="76"/>
        <v>#VALUE!</v>
      </c>
      <c r="S215" s="194" t="e">
        <f t="shared" ca="1" si="76"/>
        <v>#VALUE!</v>
      </c>
      <c r="T215" s="194" t="e">
        <f t="shared" ca="1" si="76"/>
        <v>#VALUE!</v>
      </c>
      <c r="U215" s="194" t="e">
        <f t="shared" ca="1" si="76"/>
        <v>#VALUE!</v>
      </c>
      <c r="V215" s="194" t="e">
        <f t="shared" ca="1" si="76"/>
        <v>#VALUE!</v>
      </c>
      <c r="W215" s="194" t="e">
        <f t="shared" ca="1" si="76"/>
        <v>#VALUE!</v>
      </c>
      <c r="X215" s="194" t="e">
        <f t="shared" ca="1" si="76"/>
        <v>#VALUE!</v>
      </c>
      <c r="Y215" s="194" t="e">
        <f t="shared" ca="1" si="76"/>
        <v>#VALUE!</v>
      </c>
      <c r="Z215" s="194" t="e">
        <f t="shared" ca="1" si="76"/>
        <v>#VALUE!</v>
      </c>
      <c r="AA215" s="194" t="e">
        <f t="shared" ca="1" si="77"/>
        <v>#VALUE!</v>
      </c>
      <c r="AB215" s="194" t="e">
        <f t="shared" ca="1" si="77"/>
        <v>#VALUE!</v>
      </c>
      <c r="AC215" s="194" t="e">
        <f t="shared" ca="1" si="77"/>
        <v>#VALUE!</v>
      </c>
      <c r="AD215" s="194" t="e">
        <f t="shared" ca="1" si="77"/>
        <v>#VALUE!</v>
      </c>
      <c r="AE215" s="194" t="e">
        <f t="shared" ca="1" si="77"/>
        <v>#VALUE!</v>
      </c>
      <c r="AF215" s="194" t="e">
        <f t="shared" ca="1" si="77"/>
        <v>#VALUE!</v>
      </c>
      <c r="AG215" s="194" t="e">
        <f t="shared" ca="1" si="77"/>
        <v>#VALUE!</v>
      </c>
      <c r="AH215" s="194" t="e">
        <f t="shared" ca="1" si="77"/>
        <v>#VALUE!</v>
      </c>
      <c r="AI215" s="194" t="e">
        <f t="shared" ca="1" si="77"/>
        <v>#VALUE!</v>
      </c>
      <c r="AJ215" s="194" t="e">
        <f t="shared" ca="1" si="77"/>
        <v>#VALUE!</v>
      </c>
      <c r="AK215" s="194" t="e">
        <f t="shared" ca="1" si="77"/>
        <v>#VALUE!</v>
      </c>
      <c r="AL215" s="194" t="e">
        <f t="shared" ca="1" si="77"/>
        <v>#VALUE!</v>
      </c>
      <c r="AM215" s="194" t="e">
        <f t="shared" ca="1" si="77"/>
        <v>#VALUE!</v>
      </c>
      <c r="AN215" s="194" t="e">
        <f t="shared" ca="1" si="77"/>
        <v>#VALUE!</v>
      </c>
      <c r="AO215" s="194" t="e">
        <f t="shared" ca="1" si="77"/>
        <v>#VALUE!</v>
      </c>
      <c r="AP215" s="194" t="e">
        <f t="shared" ca="1" si="77"/>
        <v>#VALUE!</v>
      </c>
    </row>
    <row r="216" spans="1:42">
      <c r="A216" s="59" t="str">
        <f>'[4]TS BYDem'!A155</f>
        <v>*</v>
      </c>
      <c r="B216" s="194" t="s">
        <v>288</v>
      </c>
      <c r="C216" s="194" t="s">
        <v>137</v>
      </c>
      <c r="D216" s="194" t="str">
        <f>'[4]TS BYDem'!D155</f>
        <v>IPPC</v>
      </c>
      <c r="E216" s="194" t="s">
        <v>137</v>
      </c>
      <c r="F216" s="194" t="s">
        <v>137</v>
      </c>
      <c r="G216" s="194" t="s">
        <v>137</v>
      </c>
      <c r="H216" s="194" t="s">
        <v>137</v>
      </c>
      <c r="I216" s="194">
        <v>0</v>
      </c>
      <c r="J216" s="194" t="str">
        <f>INDEX('[4]TS BYDem'!$J$10:$J$203,MATCH(D216,'[4]TS BYDem'!$D$10:$D$203,0))</f>
        <v/>
      </c>
      <c r="K216" s="194" t="e">
        <f t="shared" ca="1" si="76"/>
        <v>#VALUE!</v>
      </c>
      <c r="L216" s="194" t="e">
        <f t="shared" ca="1" si="76"/>
        <v>#VALUE!</v>
      </c>
      <c r="M216" s="194" t="e">
        <f t="shared" ca="1" si="76"/>
        <v>#VALUE!</v>
      </c>
      <c r="N216" s="194" t="e">
        <f t="shared" ca="1" si="76"/>
        <v>#VALUE!</v>
      </c>
      <c r="O216" s="194" t="e">
        <f t="shared" ca="1" si="76"/>
        <v>#VALUE!</v>
      </c>
      <c r="P216" s="194" t="e">
        <f t="shared" ca="1" si="76"/>
        <v>#VALUE!</v>
      </c>
      <c r="Q216" s="194" t="e">
        <f t="shared" ca="1" si="76"/>
        <v>#VALUE!</v>
      </c>
      <c r="R216" s="194" t="e">
        <f t="shared" ca="1" si="76"/>
        <v>#VALUE!</v>
      </c>
      <c r="S216" s="194" t="e">
        <f t="shared" ca="1" si="76"/>
        <v>#VALUE!</v>
      </c>
      <c r="T216" s="194" t="e">
        <f t="shared" ca="1" si="76"/>
        <v>#VALUE!</v>
      </c>
      <c r="U216" s="194" t="e">
        <f t="shared" ca="1" si="76"/>
        <v>#VALUE!</v>
      </c>
      <c r="V216" s="194" t="e">
        <f t="shared" ca="1" si="76"/>
        <v>#VALUE!</v>
      </c>
      <c r="W216" s="194" t="e">
        <f t="shared" ca="1" si="76"/>
        <v>#VALUE!</v>
      </c>
      <c r="X216" s="194" t="e">
        <f t="shared" ca="1" si="76"/>
        <v>#VALUE!</v>
      </c>
      <c r="Y216" s="194" t="e">
        <f t="shared" ca="1" si="76"/>
        <v>#VALUE!</v>
      </c>
      <c r="Z216" s="194" t="e">
        <f t="shared" ca="1" si="76"/>
        <v>#VALUE!</v>
      </c>
      <c r="AA216" s="194" t="e">
        <f t="shared" ca="1" si="77"/>
        <v>#VALUE!</v>
      </c>
      <c r="AB216" s="194" t="e">
        <f t="shared" ca="1" si="77"/>
        <v>#VALUE!</v>
      </c>
      <c r="AC216" s="194" t="e">
        <f t="shared" ca="1" si="77"/>
        <v>#VALUE!</v>
      </c>
      <c r="AD216" s="194" t="e">
        <f t="shared" ca="1" si="77"/>
        <v>#VALUE!</v>
      </c>
      <c r="AE216" s="194" t="e">
        <f t="shared" ca="1" si="77"/>
        <v>#VALUE!</v>
      </c>
      <c r="AF216" s="194" t="e">
        <f t="shared" ca="1" si="77"/>
        <v>#VALUE!</v>
      </c>
      <c r="AG216" s="194" t="e">
        <f t="shared" ca="1" si="77"/>
        <v>#VALUE!</v>
      </c>
      <c r="AH216" s="194" t="e">
        <f t="shared" ca="1" si="77"/>
        <v>#VALUE!</v>
      </c>
      <c r="AI216" s="194" t="e">
        <f t="shared" ca="1" si="77"/>
        <v>#VALUE!</v>
      </c>
      <c r="AJ216" s="194" t="e">
        <f t="shared" ca="1" si="77"/>
        <v>#VALUE!</v>
      </c>
      <c r="AK216" s="194" t="e">
        <f t="shared" ca="1" si="77"/>
        <v>#VALUE!</v>
      </c>
      <c r="AL216" s="194" t="e">
        <f t="shared" ca="1" si="77"/>
        <v>#VALUE!</v>
      </c>
      <c r="AM216" s="194" t="e">
        <f t="shared" ca="1" si="77"/>
        <v>#VALUE!</v>
      </c>
      <c r="AN216" s="194" t="e">
        <f t="shared" ca="1" si="77"/>
        <v>#VALUE!</v>
      </c>
      <c r="AO216" s="194" t="e">
        <f t="shared" ca="1" si="77"/>
        <v>#VALUE!</v>
      </c>
      <c r="AP216" s="194" t="e">
        <f t="shared" ca="1" si="77"/>
        <v>#VALUE!</v>
      </c>
    </row>
    <row r="217" spans="1:42">
      <c r="A217" s="59" t="str">
        <f>'[4]TS BYDem'!A156</f>
        <v>*</v>
      </c>
      <c r="B217" s="194" t="s">
        <v>288</v>
      </c>
      <c r="C217" s="194" t="s">
        <v>137</v>
      </c>
      <c r="D217" s="194" t="str">
        <f>'[4]TS BYDem'!D156</f>
        <v>IPPH</v>
      </c>
      <c r="E217" s="194" t="s">
        <v>137</v>
      </c>
      <c r="F217" s="194" t="s">
        <v>137</v>
      </c>
      <c r="G217" s="194" t="s">
        <v>137</v>
      </c>
      <c r="H217" s="194" t="s">
        <v>137</v>
      </c>
      <c r="I217" s="194">
        <v>0</v>
      </c>
      <c r="J217" s="194" t="str">
        <f>INDEX('[4]TS BYDem'!$J$10:$J$203,MATCH(D217,'[4]TS BYDem'!$D$10:$D$203,0))</f>
        <v/>
      </c>
      <c r="K217" s="194" t="e">
        <f t="shared" ca="1" si="76"/>
        <v>#VALUE!</v>
      </c>
      <c r="L217" s="194" t="e">
        <f t="shared" ca="1" si="76"/>
        <v>#VALUE!</v>
      </c>
      <c r="M217" s="194" t="e">
        <f t="shared" ca="1" si="76"/>
        <v>#VALUE!</v>
      </c>
      <c r="N217" s="194" t="e">
        <f t="shared" ca="1" si="76"/>
        <v>#VALUE!</v>
      </c>
      <c r="O217" s="194" t="e">
        <f t="shared" ca="1" si="76"/>
        <v>#VALUE!</v>
      </c>
      <c r="P217" s="194" t="e">
        <f t="shared" ca="1" si="76"/>
        <v>#VALUE!</v>
      </c>
      <c r="Q217" s="194" t="e">
        <f t="shared" ca="1" si="76"/>
        <v>#VALUE!</v>
      </c>
      <c r="R217" s="194" t="e">
        <f t="shared" ca="1" si="76"/>
        <v>#VALUE!</v>
      </c>
      <c r="S217" s="194" t="e">
        <f t="shared" ca="1" si="76"/>
        <v>#VALUE!</v>
      </c>
      <c r="T217" s="194" t="e">
        <f t="shared" ca="1" si="76"/>
        <v>#VALUE!</v>
      </c>
      <c r="U217" s="194" t="e">
        <f t="shared" ca="1" si="76"/>
        <v>#VALUE!</v>
      </c>
      <c r="V217" s="194" t="e">
        <f t="shared" ca="1" si="76"/>
        <v>#VALUE!</v>
      </c>
      <c r="W217" s="194" t="e">
        <f t="shared" ca="1" si="76"/>
        <v>#VALUE!</v>
      </c>
      <c r="X217" s="194" t="e">
        <f t="shared" ca="1" si="76"/>
        <v>#VALUE!</v>
      </c>
      <c r="Y217" s="194" t="e">
        <f t="shared" ca="1" si="76"/>
        <v>#VALUE!</v>
      </c>
      <c r="Z217" s="194" t="e">
        <f t="shared" ca="1" si="76"/>
        <v>#VALUE!</v>
      </c>
      <c r="AA217" s="194" t="e">
        <f t="shared" ca="1" si="77"/>
        <v>#VALUE!</v>
      </c>
      <c r="AB217" s="194" t="e">
        <f t="shared" ca="1" si="77"/>
        <v>#VALUE!</v>
      </c>
      <c r="AC217" s="194" t="e">
        <f t="shared" ca="1" si="77"/>
        <v>#VALUE!</v>
      </c>
      <c r="AD217" s="194" t="e">
        <f t="shared" ca="1" si="77"/>
        <v>#VALUE!</v>
      </c>
      <c r="AE217" s="194" t="e">
        <f t="shared" ca="1" si="77"/>
        <v>#VALUE!</v>
      </c>
      <c r="AF217" s="194" t="e">
        <f t="shared" ca="1" si="77"/>
        <v>#VALUE!</v>
      </c>
      <c r="AG217" s="194" t="e">
        <f t="shared" ca="1" si="77"/>
        <v>#VALUE!</v>
      </c>
      <c r="AH217" s="194" t="e">
        <f t="shared" ca="1" si="77"/>
        <v>#VALUE!</v>
      </c>
      <c r="AI217" s="194" t="e">
        <f t="shared" ca="1" si="77"/>
        <v>#VALUE!</v>
      </c>
      <c r="AJ217" s="194" t="e">
        <f t="shared" ca="1" si="77"/>
        <v>#VALUE!</v>
      </c>
      <c r="AK217" s="194" t="e">
        <f t="shared" ca="1" si="77"/>
        <v>#VALUE!</v>
      </c>
      <c r="AL217" s="194" t="e">
        <f t="shared" ca="1" si="77"/>
        <v>#VALUE!</v>
      </c>
      <c r="AM217" s="194" t="e">
        <f t="shared" ca="1" si="77"/>
        <v>#VALUE!</v>
      </c>
      <c r="AN217" s="194" t="e">
        <f t="shared" ca="1" si="77"/>
        <v>#VALUE!</v>
      </c>
      <c r="AO217" s="194" t="e">
        <f t="shared" ca="1" si="77"/>
        <v>#VALUE!</v>
      </c>
      <c r="AP217" s="194" t="e">
        <f t="shared" ca="1" si="77"/>
        <v>#VALUE!</v>
      </c>
    </row>
    <row r="218" spans="1:42">
      <c r="A218" s="59" t="str">
        <f>'[4]TS BYDem'!A157</f>
        <v>*</v>
      </c>
      <c r="B218" s="194" t="s">
        <v>288</v>
      </c>
      <c r="C218" s="194" t="s">
        <v>137</v>
      </c>
      <c r="D218" s="194" t="str">
        <f>'[4]TS BYDem'!D157</f>
        <v>IPPP</v>
      </c>
      <c r="E218" s="194" t="s">
        <v>137</v>
      </c>
      <c r="F218" s="194" t="s">
        <v>137</v>
      </c>
      <c r="G218" s="194" t="s">
        <v>137</v>
      </c>
      <c r="H218" s="194" t="s">
        <v>137</v>
      </c>
      <c r="I218" s="194">
        <v>0</v>
      </c>
      <c r="J218" s="194" t="str">
        <f>INDEX('[4]TS BYDem'!$J$10:$J$203,MATCH(D218,'[4]TS BYDem'!$D$10:$D$203,0))</f>
        <v/>
      </c>
      <c r="K218" s="194" t="e">
        <f t="shared" ca="1" si="76"/>
        <v>#VALUE!</v>
      </c>
      <c r="L218" s="194" t="e">
        <f t="shared" ca="1" si="76"/>
        <v>#VALUE!</v>
      </c>
      <c r="M218" s="194" t="e">
        <f t="shared" ca="1" si="76"/>
        <v>#VALUE!</v>
      </c>
      <c r="N218" s="194" t="e">
        <f t="shared" ca="1" si="76"/>
        <v>#VALUE!</v>
      </c>
      <c r="O218" s="194" t="e">
        <f t="shared" ca="1" si="76"/>
        <v>#VALUE!</v>
      </c>
      <c r="P218" s="194" t="e">
        <f t="shared" ca="1" si="76"/>
        <v>#VALUE!</v>
      </c>
      <c r="Q218" s="194" t="e">
        <f t="shared" ca="1" si="76"/>
        <v>#VALUE!</v>
      </c>
      <c r="R218" s="194" t="e">
        <f t="shared" ca="1" si="76"/>
        <v>#VALUE!</v>
      </c>
      <c r="S218" s="194" t="e">
        <f t="shared" ca="1" si="76"/>
        <v>#VALUE!</v>
      </c>
      <c r="T218" s="194" t="e">
        <f t="shared" ca="1" si="76"/>
        <v>#VALUE!</v>
      </c>
      <c r="U218" s="194" t="e">
        <f t="shared" ca="1" si="76"/>
        <v>#VALUE!</v>
      </c>
      <c r="V218" s="194" t="e">
        <f t="shared" ca="1" si="76"/>
        <v>#VALUE!</v>
      </c>
      <c r="W218" s="194" t="e">
        <f t="shared" ca="1" si="76"/>
        <v>#VALUE!</v>
      </c>
      <c r="X218" s="194" t="e">
        <f t="shared" ca="1" si="76"/>
        <v>#VALUE!</v>
      </c>
      <c r="Y218" s="194" t="e">
        <f t="shared" ca="1" si="76"/>
        <v>#VALUE!</v>
      </c>
      <c r="Z218" s="194" t="e">
        <f t="shared" ca="1" si="76"/>
        <v>#VALUE!</v>
      </c>
      <c r="AA218" s="194" t="e">
        <f t="shared" ca="1" si="77"/>
        <v>#VALUE!</v>
      </c>
      <c r="AB218" s="194" t="e">
        <f t="shared" ca="1" si="77"/>
        <v>#VALUE!</v>
      </c>
      <c r="AC218" s="194" t="e">
        <f t="shared" ca="1" si="77"/>
        <v>#VALUE!</v>
      </c>
      <c r="AD218" s="194" t="e">
        <f t="shared" ca="1" si="77"/>
        <v>#VALUE!</v>
      </c>
      <c r="AE218" s="194" t="e">
        <f t="shared" ca="1" si="77"/>
        <v>#VALUE!</v>
      </c>
      <c r="AF218" s="194" t="e">
        <f t="shared" ca="1" si="77"/>
        <v>#VALUE!</v>
      </c>
      <c r="AG218" s="194" t="e">
        <f t="shared" ca="1" si="77"/>
        <v>#VALUE!</v>
      </c>
      <c r="AH218" s="194" t="e">
        <f t="shared" ca="1" si="77"/>
        <v>#VALUE!</v>
      </c>
      <c r="AI218" s="194" t="e">
        <f t="shared" ca="1" si="77"/>
        <v>#VALUE!</v>
      </c>
      <c r="AJ218" s="194" t="e">
        <f t="shared" ca="1" si="77"/>
        <v>#VALUE!</v>
      </c>
      <c r="AK218" s="194" t="e">
        <f t="shared" ca="1" si="77"/>
        <v>#VALUE!</v>
      </c>
      <c r="AL218" s="194" t="e">
        <f t="shared" ca="1" si="77"/>
        <v>#VALUE!</v>
      </c>
      <c r="AM218" s="194" t="e">
        <f t="shared" ca="1" si="77"/>
        <v>#VALUE!</v>
      </c>
      <c r="AN218" s="194" t="e">
        <f t="shared" ca="1" si="77"/>
        <v>#VALUE!</v>
      </c>
      <c r="AO218" s="194" t="e">
        <f t="shared" ca="1" si="77"/>
        <v>#VALUE!</v>
      </c>
      <c r="AP218" s="194" t="e">
        <f t="shared" ca="1" si="77"/>
        <v>#VALUE!</v>
      </c>
    </row>
    <row r="219" spans="1:42">
      <c r="A219" s="59" t="str">
        <f>'[4]TS BYDem'!A158</f>
        <v>*</v>
      </c>
      <c r="B219" s="194" t="s">
        <v>288</v>
      </c>
      <c r="C219" s="194" t="s">
        <v>137</v>
      </c>
      <c r="D219" s="194" t="str">
        <f>'[4]TS BYDem'!D158</f>
        <v>IPPF</v>
      </c>
      <c r="E219" s="194" t="s">
        <v>137</v>
      </c>
      <c r="F219" s="194" t="s">
        <v>137</v>
      </c>
      <c r="G219" s="194" t="s">
        <v>137</v>
      </c>
      <c r="H219" s="194" t="s">
        <v>137</v>
      </c>
      <c r="I219" s="194">
        <v>0</v>
      </c>
      <c r="J219" s="194" t="str">
        <f>INDEX('[4]TS BYDem'!$J$10:$J$203,MATCH(D219,'[4]TS BYDem'!$D$10:$D$203,0))</f>
        <v/>
      </c>
      <c r="K219" s="194" t="e">
        <f t="shared" ca="1" si="76"/>
        <v>#VALUE!</v>
      </c>
      <c r="L219" s="194" t="e">
        <f t="shared" ca="1" si="76"/>
        <v>#VALUE!</v>
      </c>
      <c r="M219" s="194" t="e">
        <f t="shared" ca="1" si="76"/>
        <v>#VALUE!</v>
      </c>
      <c r="N219" s="194" t="e">
        <f t="shared" ca="1" si="76"/>
        <v>#VALUE!</v>
      </c>
      <c r="O219" s="194" t="e">
        <f t="shared" ca="1" si="76"/>
        <v>#VALUE!</v>
      </c>
      <c r="P219" s="194" t="e">
        <f t="shared" ca="1" si="76"/>
        <v>#VALUE!</v>
      </c>
      <c r="Q219" s="194" t="e">
        <f t="shared" ca="1" si="76"/>
        <v>#VALUE!</v>
      </c>
      <c r="R219" s="194" t="e">
        <f t="shared" ca="1" si="76"/>
        <v>#VALUE!</v>
      </c>
      <c r="S219" s="194" t="e">
        <f t="shared" ca="1" si="76"/>
        <v>#VALUE!</v>
      </c>
      <c r="T219" s="194" t="e">
        <f t="shared" ca="1" si="76"/>
        <v>#VALUE!</v>
      </c>
      <c r="U219" s="194" t="e">
        <f t="shared" ca="1" si="76"/>
        <v>#VALUE!</v>
      </c>
      <c r="V219" s="194" t="e">
        <f t="shared" ca="1" si="76"/>
        <v>#VALUE!</v>
      </c>
      <c r="W219" s="194" t="e">
        <f t="shared" ca="1" si="76"/>
        <v>#VALUE!</v>
      </c>
      <c r="X219" s="194" t="e">
        <f t="shared" ca="1" si="76"/>
        <v>#VALUE!</v>
      </c>
      <c r="Y219" s="194" t="e">
        <f t="shared" ca="1" si="76"/>
        <v>#VALUE!</v>
      </c>
      <c r="Z219" s="194" t="e">
        <f t="shared" ca="1" si="76"/>
        <v>#VALUE!</v>
      </c>
      <c r="AA219" s="194" t="e">
        <f t="shared" ca="1" si="77"/>
        <v>#VALUE!</v>
      </c>
      <c r="AB219" s="194" t="e">
        <f t="shared" ca="1" si="77"/>
        <v>#VALUE!</v>
      </c>
      <c r="AC219" s="194" t="e">
        <f t="shared" ca="1" si="77"/>
        <v>#VALUE!</v>
      </c>
      <c r="AD219" s="194" t="e">
        <f t="shared" ca="1" si="77"/>
        <v>#VALUE!</v>
      </c>
      <c r="AE219" s="194" t="e">
        <f t="shared" ca="1" si="77"/>
        <v>#VALUE!</v>
      </c>
      <c r="AF219" s="194" t="e">
        <f t="shared" ca="1" si="77"/>
        <v>#VALUE!</v>
      </c>
      <c r="AG219" s="194" t="e">
        <f t="shared" ca="1" si="77"/>
        <v>#VALUE!</v>
      </c>
      <c r="AH219" s="194" t="e">
        <f t="shared" ca="1" si="77"/>
        <v>#VALUE!</v>
      </c>
      <c r="AI219" s="194" t="e">
        <f t="shared" ca="1" si="77"/>
        <v>#VALUE!</v>
      </c>
      <c r="AJ219" s="194" t="e">
        <f t="shared" ca="1" si="77"/>
        <v>#VALUE!</v>
      </c>
      <c r="AK219" s="194" t="e">
        <f t="shared" ca="1" si="77"/>
        <v>#VALUE!</v>
      </c>
      <c r="AL219" s="194" t="e">
        <f t="shared" ca="1" si="77"/>
        <v>#VALUE!</v>
      </c>
      <c r="AM219" s="194" t="e">
        <f t="shared" ca="1" si="77"/>
        <v>#VALUE!</v>
      </c>
      <c r="AN219" s="194" t="e">
        <f t="shared" ca="1" si="77"/>
        <v>#VALUE!</v>
      </c>
      <c r="AO219" s="194" t="e">
        <f t="shared" ca="1" si="77"/>
        <v>#VALUE!</v>
      </c>
      <c r="AP219" s="194" t="e">
        <f t="shared" ca="1" si="77"/>
        <v>#VALUE!</v>
      </c>
    </row>
    <row r="220" spans="1:42">
      <c r="A220" s="59" t="str">
        <f>'[4]TS BYDem'!A159</f>
        <v>*</v>
      </c>
      <c r="B220" s="194" t="s">
        <v>288</v>
      </c>
      <c r="C220" s="194" t="s">
        <v>137</v>
      </c>
      <c r="D220" s="194" t="str">
        <f>'[4]TS BYDem'!D159</f>
        <v>IPPO</v>
      </c>
      <c r="E220" s="194" t="s">
        <v>137</v>
      </c>
      <c r="F220" s="194" t="s">
        <v>137</v>
      </c>
      <c r="G220" s="194" t="s">
        <v>137</v>
      </c>
      <c r="H220" s="194" t="s">
        <v>137</v>
      </c>
      <c r="I220" s="194">
        <v>0</v>
      </c>
      <c r="J220" s="194" t="str">
        <f>INDEX('[4]TS BYDem'!$J$10:$J$203,MATCH(D220,'[4]TS BYDem'!$D$10:$D$203,0))</f>
        <v/>
      </c>
      <c r="K220" s="194" t="e">
        <f t="shared" ca="1" si="76"/>
        <v>#VALUE!</v>
      </c>
      <c r="L220" s="194" t="e">
        <f t="shared" ca="1" si="76"/>
        <v>#VALUE!</v>
      </c>
      <c r="M220" s="194" t="e">
        <f t="shared" ca="1" si="76"/>
        <v>#VALUE!</v>
      </c>
      <c r="N220" s="194" t="e">
        <f t="shared" ca="1" si="76"/>
        <v>#VALUE!</v>
      </c>
      <c r="O220" s="194" t="e">
        <f t="shared" ca="1" si="76"/>
        <v>#VALUE!</v>
      </c>
      <c r="P220" s="194" t="e">
        <f t="shared" ca="1" si="76"/>
        <v>#VALUE!</v>
      </c>
      <c r="Q220" s="194" t="e">
        <f t="shared" ca="1" si="76"/>
        <v>#VALUE!</v>
      </c>
      <c r="R220" s="194" t="e">
        <f t="shared" ca="1" si="76"/>
        <v>#VALUE!</v>
      </c>
      <c r="S220" s="194" t="e">
        <f t="shared" ca="1" si="76"/>
        <v>#VALUE!</v>
      </c>
      <c r="T220" s="194" t="e">
        <f t="shared" ca="1" si="76"/>
        <v>#VALUE!</v>
      </c>
      <c r="U220" s="194" t="e">
        <f t="shared" ca="1" si="76"/>
        <v>#VALUE!</v>
      </c>
      <c r="V220" s="194" t="e">
        <f t="shared" ca="1" si="76"/>
        <v>#VALUE!</v>
      </c>
      <c r="W220" s="194" t="e">
        <f t="shared" ca="1" si="76"/>
        <v>#VALUE!</v>
      </c>
      <c r="X220" s="194" t="e">
        <f t="shared" ca="1" si="76"/>
        <v>#VALUE!</v>
      </c>
      <c r="Y220" s="194" t="e">
        <f t="shared" ca="1" si="76"/>
        <v>#VALUE!</v>
      </c>
      <c r="Z220" s="194" t="e">
        <f t="shared" ca="1" si="76"/>
        <v>#VALUE!</v>
      </c>
      <c r="AA220" s="194" t="e">
        <f t="shared" ca="1" si="77"/>
        <v>#VALUE!</v>
      </c>
      <c r="AB220" s="194" t="e">
        <f t="shared" ca="1" si="77"/>
        <v>#VALUE!</v>
      </c>
      <c r="AC220" s="194" t="e">
        <f t="shared" ca="1" si="77"/>
        <v>#VALUE!</v>
      </c>
      <c r="AD220" s="194" t="e">
        <f t="shared" ca="1" si="77"/>
        <v>#VALUE!</v>
      </c>
      <c r="AE220" s="194" t="e">
        <f t="shared" ca="1" si="77"/>
        <v>#VALUE!</v>
      </c>
      <c r="AF220" s="194" t="e">
        <f t="shared" ca="1" si="77"/>
        <v>#VALUE!</v>
      </c>
      <c r="AG220" s="194" t="e">
        <f t="shared" ca="1" si="77"/>
        <v>#VALUE!</v>
      </c>
      <c r="AH220" s="194" t="e">
        <f t="shared" ca="1" si="77"/>
        <v>#VALUE!</v>
      </c>
      <c r="AI220" s="194" t="e">
        <f t="shared" ca="1" si="77"/>
        <v>#VALUE!</v>
      </c>
      <c r="AJ220" s="194" t="e">
        <f t="shared" ca="1" si="77"/>
        <v>#VALUE!</v>
      </c>
      <c r="AK220" s="194" t="e">
        <f t="shared" ca="1" si="77"/>
        <v>#VALUE!</v>
      </c>
      <c r="AL220" s="194" t="e">
        <f t="shared" ca="1" si="77"/>
        <v>#VALUE!</v>
      </c>
      <c r="AM220" s="194" t="e">
        <f t="shared" ca="1" si="77"/>
        <v>#VALUE!</v>
      </c>
      <c r="AN220" s="194" t="e">
        <f t="shared" ca="1" si="77"/>
        <v>#VALUE!</v>
      </c>
      <c r="AO220" s="194" t="e">
        <f t="shared" ca="1" si="77"/>
        <v>#VALUE!</v>
      </c>
      <c r="AP220" s="194" t="e">
        <f t="shared" ca="1" si="77"/>
        <v>#VALUE!</v>
      </c>
    </row>
    <row r="221" spans="1:42">
      <c r="A221" s="59" t="str">
        <f>'[4]TS BYDem'!A160</f>
        <v>*</v>
      </c>
      <c r="B221" s="194" t="s">
        <v>288</v>
      </c>
      <c r="C221" s="194" t="s">
        <v>137</v>
      </c>
      <c r="D221" s="194" t="str">
        <f>'[4]TS BYDem'!D160</f>
        <v>IPPE</v>
      </c>
      <c r="E221" s="194" t="s">
        <v>137</v>
      </c>
      <c r="F221" s="194" t="s">
        <v>137</v>
      </c>
      <c r="G221" s="194" t="s">
        <v>137</v>
      </c>
      <c r="H221" s="194" t="s">
        <v>137</v>
      </c>
      <c r="I221" s="194">
        <v>0</v>
      </c>
      <c r="J221" s="194" t="str">
        <f>INDEX('[4]TS BYDem'!$J$10:$J$203,MATCH(D221,'[4]TS BYDem'!$D$10:$D$203,0))</f>
        <v/>
      </c>
      <c r="K221" s="194" t="e">
        <f t="shared" ca="1" si="76"/>
        <v>#VALUE!</v>
      </c>
      <c r="L221" s="194" t="e">
        <f t="shared" ca="1" si="76"/>
        <v>#VALUE!</v>
      </c>
      <c r="M221" s="194" t="e">
        <f t="shared" ca="1" si="76"/>
        <v>#VALUE!</v>
      </c>
      <c r="N221" s="194" t="e">
        <f t="shared" ca="1" si="76"/>
        <v>#VALUE!</v>
      </c>
      <c r="O221" s="194" t="e">
        <f t="shared" ca="1" si="76"/>
        <v>#VALUE!</v>
      </c>
      <c r="P221" s="194" t="e">
        <f t="shared" ca="1" si="76"/>
        <v>#VALUE!</v>
      </c>
      <c r="Q221" s="194" t="e">
        <f t="shared" ca="1" si="76"/>
        <v>#VALUE!</v>
      </c>
      <c r="R221" s="194" t="e">
        <f t="shared" ca="1" si="76"/>
        <v>#VALUE!</v>
      </c>
      <c r="S221" s="194" t="e">
        <f t="shared" ca="1" si="76"/>
        <v>#VALUE!</v>
      </c>
      <c r="T221" s="194" t="e">
        <f t="shared" ca="1" si="76"/>
        <v>#VALUE!</v>
      </c>
      <c r="U221" s="194" t="e">
        <f t="shared" ca="1" si="76"/>
        <v>#VALUE!</v>
      </c>
      <c r="V221" s="194" t="e">
        <f t="shared" ca="1" si="76"/>
        <v>#VALUE!</v>
      </c>
      <c r="W221" s="194" t="e">
        <f t="shared" ca="1" si="76"/>
        <v>#VALUE!</v>
      </c>
      <c r="X221" s="194" t="e">
        <f t="shared" ca="1" si="76"/>
        <v>#VALUE!</v>
      </c>
      <c r="Y221" s="194" t="e">
        <f t="shared" ca="1" si="76"/>
        <v>#VALUE!</v>
      </c>
      <c r="Z221" s="194" t="e">
        <f t="shared" ca="1" si="76"/>
        <v>#VALUE!</v>
      </c>
      <c r="AA221" s="194" t="e">
        <f t="shared" ca="1" si="77"/>
        <v>#VALUE!</v>
      </c>
      <c r="AB221" s="194" t="e">
        <f t="shared" ca="1" si="77"/>
        <v>#VALUE!</v>
      </c>
      <c r="AC221" s="194" t="e">
        <f t="shared" ca="1" si="77"/>
        <v>#VALUE!</v>
      </c>
      <c r="AD221" s="194" t="e">
        <f t="shared" ca="1" si="77"/>
        <v>#VALUE!</v>
      </c>
      <c r="AE221" s="194" t="e">
        <f t="shared" ca="1" si="77"/>
        <v>#VALUE!</v>
      </c>
      <c r="AF221" s="194" t="e">
        <f t="shared" ca="1" si="77"/>
        <v>#VALUE!</v>
      </c>
      <c r="AG221" s="194" t="e">
        <f t="shared" ca="1" si="77"/>
        <v>#VALUE!</v>
      </c>
      <c r="AH221" s="194" t="e">
        <f t="shared" ca="1" si="77"/>
        <v>#VALUE!</v>
      </c>
      <c r="AI221" s="194" t="e">
        <f t="shared" ca="1" si="77"/>
        <v>#VALUE!</v>
      </c>
      <c r="AJ221" s="194" t="e">
        <f t="shared" ca="1" si="77"/>
        <v>#VALUE!</v>
      </c>
      <c r="AK221" s="194" t="e">
        <f t="shared" ca="1" si="77"/>
        <v>#VALUE!</v>
      </c>
      <c r="AL221" s="194" t="e">
        <f t="shared" ca="1" si="77"/>
        <v>#VALUE!</v>
      </c>
      <c r="AM221" s="194" t="e">
        <f t="shared" ca="1" si="77"/>
        <v>#VALUE!</v>
      </c>
      <c r="AN221" s="194" t="e">
        <f t="shared" ca="1" si="77"/>
        <v>#VALUE!</v>
      </c>
      <c r="AO221" s="194" t="e">
        <f t="shared" ca="1" si="77"/>
        <v>#VALUE!</v>
      </c>
      <c r="AP221" s="194" t="e">
        <f t="shared" ca="1" si="77"/>
        <v>#VALUE!</v>
      </c>
    </row>
    <row r="222" spans="1:42">
      <c r="A222" s="59" t="str">
        <f>'[4]TS BYDem'!A161</f>
        <v>*</v>
      </c>
      <c r="B222" s="194" t="s">
        <v>288</v>
      </c>
      <c r="C222" s="194" t="s">
        <v>137</v>
      </c>
      <c r="D222" s="194" t="str">
        <f>'[4]TS BYDem'!D161</f>
        <v xml:space="preserve"> </v>
      </c>
      <c r="E222" s="194" t="s">
        <v>137</v>
      </c>
      <c r="F222" s="194" t="s">
        <v>137</v>
      </c>
      <c r="G222" s="194" t="s">
        <v>137</v>
      </c>
      <c r="H222" s="194" t="s">
        <v>137</v>
      </c>
      <c r="I222" s="194">
        <v>0</v>
      </c>
      <c r="J222" s="194" t="str">
        <f>INDEX('[4]TS BYDem'!$J$10:$J$203,MATCH(D222,'[4]TS BYDem'!$D$10:$D$203,0))</f>
        <v/>
      </c>
      <c r="K222" s="194" t="e">
        <f t="shared" ca="1" si="76"/>
        <v>#VALUE!</v>
      </c>
      <c r="L222" s="194" t="e">
        <f t="shared" ca="1" si="76"/>
        <v>#VALUE!</v>
      </c>
      <c r="M222" s="194" t="e">
        <f t="shared" ca="1" si="76"/>
        <v>#VALUE!</v>
      </c>
      <c r="N222" s="194" t="e">
        <f t="shared" ca="1" si="76"/>
        <v>#VALUE!</v>
      </c>
      <c r="O222" s="194" t="e">
        <f t="shared" ca="1" si="76"/>
        <v>#VALUE!</v>
      </c>
      <c r="P222" s="194" t="e">
        <f t="shared" ca="1" si="76"/>
        <v>#VALUE!</v>
      </c>
      <c r="Q222" s="194" t="e">
        <f t="shared" ca="1" si="76"/>
        <v>#VALUE!</v>
      </c>
      <c r="R222" s="194" t="e">
        <f t="shared" ca="1" si="76"/>
        <v>#VALUE!</v>
      </c>
      <c r="S222" s="194" t="e">
        <f t="shared" ca="1" si="76"/>
        <v>#VALUE!</v>
      </c>
      <c r="T222" s="194" t="e">
        <f t="shared" ca="1" si="76"/>
        <v>#VALUE!</v>
      </c>
      <c r="U222" s="194" t="e">
        <f t="shared" ca="1" si="76"/>
        <v>#VALUE!</v>
      </c>
      <c r="V222" s="194" t="e">
        <f t="shared" ca="1" si="76"/>
        <v>#VALUE!</v>
      </c>
      <c r="W222" s="194" t="e">
        <f t="shared" ca="1" si="76"/>
        <v>#VALUE!</v>
      </c>
      <c r="X222" s="194" t="e">
        <f t="shared" ca="1" si="76"/>
        <v>#VALUE!</v>
      </c>
      <c r="Y222" s="194" t="e">
        <f t="shared" ca="1" si="76"/>
        <v>#VALUE!</v>
      </c>
      <c r="Z222" s="194" t="e">
        <f t="shared" ca="1" si="76"/>
        <v>#VALUE!</v>
      </c>
      <c r="AA222" s="194" t="e">
        <f t="shared" ca="1" si="77"/>
        <v>#VALUE!</v>
      </c>
      <c r="AB222" s="194" t="e">
        <f t="shared" ca="1" si="77"/>
        <v>#VALUE!</v>
      </c>
      <c r="AC222" s="194" t="e">
        <f t="shared" ca="1" si="77"/>
        <v>#VALUE!</v>
      </c>
      <c r="AD222" s="194" t="e">
        <f t="shared" ca="1" si="77"/>
        <v>#VALUE!</v>
      </c>
      <c r="AE222" s="194" t="e">
        <f t="shared" ca="1" si="77"/>
        <v>#VALUE!</v>
      </c>
      <c r="AF222" s="194" t="e">
        <f t="shared" ca="1" si="77"/>
        <v>#VALUE!</v>
      </c>
      <c r="AG222" s="194" t="e">
        <f t="shared" ca="1" si="77"/>
        <v>#VALUE!</v>
      </c>
      <c r="AH222" s="194" t="e">
        <f t="shared" ca="1" si="77"/>
        <v>#VALUE!</v>
      </c>
      <c r="AI222" s="194" t="e">
        <f t="shared" ca="1" si="77"/>
        <v>#VALUE!</v>
      </c>
      <c r="AJ222" s="194" t="e">
        <f t="shared" ca="1" si="77"/>
        <v>#VALUE!</v>
      </c>
      <c r="AK222" s="194" t="e">
        <f t="shared" ca="1" si="77"/>
        <v>#VALUE!</v>
      </c>
      <c r="AL222" s="194" t="e">
        <f t="shared" ca="1" si="77"/>
        <v>#VALUE!</v>
      </c>
      <c r="AM222" s="194" t="e">
        <f t="shared" ca="1" si="77"/>
        <v>#VALUE!</v>
      </c>
      <c r="AN222" s="194" t="e">
        <f t="shared" ca="1" si="77"/>
        <v>#VALUE!</v>
      </c>
      <c r="AO222" s="194" t="e">
        <f t="shared" ca="1" si="77"/>
        <v>#VALUE!</v>
      </c>
      <c r="AP222" s="194" t="e">
        <f t="shared" ca="1" si="77"/>
        <v>#VALUE!</v>
      </c>
    </row>
    <row r="223" spans="1:42">
      <c r="A223" s="59" t="str">
        <f>'[4]TS BYDem'!A162</f>
        <v>*</v>
      </c>
      <c r="B223" s="194" t="s">
        <v>288</v>
      </c>
      <c r="C223" s="194" t="s">
        <v>137</v>
      </c>
      <c r="D223" s="194" t="str">
        <f>'[4]TS BYDem'!D162</f>
        <v>IPPS</v>
      </c>
      <c r="E223" s="194" t="s">
        <v>137</v>
      </c>
      <c r="F223" s="194" t="s">
        <v>137</v>
      </c>
      <c r="G223" s="194" t="s">
        <v>137</v>
      </c>
      <c r="H223" s="194" t="s">
        <v>137</v>
      </c>
      <c r="I223" s="194">
        <v>0</v>
      </c>
      <c r="J223" s="194" t="str">
        <f>INDEX('[4]TS BYDem'!$J$10:$J$203,MATCH(D223,'[4]TS BYDem'!$D$10:$D$203,0))</f>
        <v/>
      </c>
      <c r="K223" s="194" t="e">
        <f t="shared" ca="1" si="76"/>
        <v>#VALUE!</v>
      </c>
      <c r="L223" s="194" t="e">
        <f t="shared" ca="1" si="76"/>
        <v>#VALUE!</v>
      </c>
      <c r="M223" s="194" t="e">
        <f t="shared" ca="1" si="76"/>
        <v>#VALUE!</v>
      </c>
      <c r="N223" s="194" t="e">
        <f t="shared" ca="1" si="76"/>
        <v>#VALUE!</v>
      </c>
      <c r="O223" s="194" t="e">
        <f t="shared" ca="1" si="76"/>
        <v>#VALUE!</v>
      </c>
      <c r="P223" s="194" t="e">
        <f t="shared" ca="1" si="76"/>
        <v>#VALUE!</v>
      </c>
      <c r="Q223" s="194" t="e">
        <f t="shared" ca="1" si="76"/>
        <v>#VALUE!</v>
      </c>
      <c r="R223" s="194" t="e">
        <f t="shared" ca="1" si="76"/>
        <v>#VALUE!</v>
      </c>
      <c r="S223" s="194" t="e">
        <f t="shared" ca="1" si="76"/>
        <v>#VALUE!</v>
      </c>
      <c r="T223" s="194" t="e">
        <f t="shared" ca="1" si="76"/>
        <v>#VALUE!</v>
      </c>
      <c r="U223" s="194" t="e">
        <f t="shared" ca="1" si="76"/>
        <v>#VALUE!</v>
      </c>
      <c r="V223" s="194" t="e">
        <f t="shared" ca="1" si="76"/>
        <v>#VALUE!</v>
      </c>
      <c r="W223" s="194" t="e">
        <f t="shared" ca="1" si="76"/>
        <v>#VALUE!</v>
      </c>
      <c r="X223" s="194" t="e">
        <f t="shared" ca="1" si="76"/>
        <v>#VALUE!</v>
      </c>
      <c r="Y223" s="194" t="e">
        <f t="shared" ca="1" si="76"/>
        <v>#VALUE!</v>
      </c>
      <c r="Z223" s="194" t="e">
        <f t="shared" ca="1" si="76"/>
        <v>#VALUE!</v>
      </c>
      <c r="AA223" s="194" t="e">
        <f t="shared" ca="1" si="77"/>
        <v>#VALUE!</v>
      </c>
      <c r="AB223" s="194" t="e">
        <f t="shared" ca="1" si="77"/>
        <v>#VALUE!</v>
      </c>
      <c r="AC223" s="194" t="e">
        <f t="shared" ca="1" si="77"/>
        <v>#VALUE!</v>
      </c>
      <c r="AD223" s="194" t="e">
        <f t="shared" ca="1" si="77"/>
        <v>#VALUE!</v>
      </c>
      <c r="AE223" s="194" t="e">
        <f t="shared" ca="1" si="77"/>
        <v>#VALUE!</v>
      </c>
      <c r="AF223" s="194" t="e">
        <f t="shared" ca="1" si="77"/>
        <v>#VALUE!</v>
      </c>
      <c r="AG223" s="194" t="e">
        <f t="shared" ca="1" si="77"/>
        <v>#VALUE!</v>
      </c>
      <c r="AH223" s="194" t="e">
        <f t="shared" ca="1" si="77"/>
        <v>#VALUE!</v>
      </c>
      <c r="AI223" s="194" t="e">
        <f t="shared" ca="1" si="77"/>
        <v>#VALUE!</v>
      </c>
      <c r="AJ223" s="194" t="e">
        <f t="shared" ca="1" si="77"/>
        <v>#VALUE!</v>
      </c>
      <c r="AK223" s="194" t="e">
        <f t="shared" ca="1" si="77"/>
        <v>#VALUE!</v>
      </c>
      <c r="AL223" s="194" t="e">
        <f t="shared" ca="1" si="77"/>
        <v>#VALUE!</v>
      </c>
      <c r="AM223" s="194" t="e">
        <f t="shared" ca="1" si="77"/>
        <v>#VALUE!</v>
      </c>
      <c r="AN223" s="194" t="e">
        <f t="shared" ca="1" si="77"/>
        <v>#VALUE!</v>
      </c>
      <c r="AO223" s="194" t="e">
        <f t="shared" ca="1" si="77"/>
        <v>#VALUE!</v>
      </c>
      <c r="AP223" s="194" t="e">
        <f t="shared" ca="1" si="77"/>
        <v>#VALUE!</v>
      </c>
    </row>
    <row r="224" spans="1:42">
      <c r="A224" s="59" t="str">
        <f>'[4]TS BYDem'!A163</f>
        <v>*</v>
      </c>
      <c r="B224" s="194" t="s">
        <v>288</v>
      </c>
      <c r="C224" s="194" t="s">
        <v>137</v>
      </c>
      <c r="D224" s="194" t="str">
        <f>'[4]TS BYDem'!D163</f>
        <v>IPPS</v>
      </c>
      <c r="E224" s="194" t="s">
        <v>137</v>
      </c>
      <c r="F224" s="194" t="s">
        <v>137</v>
      </c>
      <c r="G224" s="194" t="s">
        <v>137</v>
      </c>
      <c r="H224" s="194" t="s">
        <v>137</v>
      </c>
      <c r="I224" s="194">
        <v>0</v>
      </c>
      <c r="J224" s="194" t="str">
        <f>INDEX('[4]TS BYDem'!$J$10:$J$203,MATCH(D224,'[4]TS BYDem'!$D$10:$D$203,0))</f>
        <v/>
      </c>
      <c r="K224" s="194" t="e">
        <f t="shared" ca="1" si="76"/>
        <v>#VALUE!</v>
      </c>
      <c r="L224" s="194" t="e">
        <f t="shared" ca="1" si="76"/>
        <v>#VALUE!</v>
      </c>
      <c r="M224" s="194" t="e">
        <f t="shared" ca="1" si="76"/>
        <v>#VALUE!</v>
      </c>
      <c r="N224" s="194" t="e">
        <f t="shared" ca="1" si="76"/>
        <v>#VALUE!</v>
      </c>
      <c r="O224" s="194" t="e">
        <f t="shared" ca="1" si="76"/>
        <v>#VALUE!</v>
      </c>
      <c r="P224" s="194" t="e">
        <f t="shared" ca="1" si="76"/>
        <v>#VALUE!</v>
      </c>
      <c r="Q224" s="194" t="e">
        <f t="shared" ca="1" si="76"/>
        <v>#VALUE!</v>
      </c>
      <c r="R224" s="194" t="e">
        <f t="shared" ca="1" si="76"/>
        <v>#VALUE!</v>
      </c>
      <c r="S224" s="194" t="e">
        <f t="shared" ca="1" si="76"/>
        <v>#VALUE!</v>
      </c>
      <c r="T224" s="194" t="e">
        <f t="shared" ca="1" si="76"/>
        <v>#VALUE!</v>
      </c>
      <c r="U224" s="194" t="e">
        <f t="shared" ca="1" si="76"/>
        <v>#VALUE!</v>
      </c>
      <c r="V224" s="194" t="e">
        <f t="shared" ca="1" si="76"/>
        <v>#VALUE!</v>
      </c>
      <c r="W224" s="194" t="e">
        <f t="shared" ca="1" si="76"/>
        <v>#VALUE!</v>
      </c>
      <c r="X224" s="194" t="e">
        <f t="shared" ca="1" si="76"/>
        <v>#VALUE!</v>
      </c>
      <c r="Y224" s="194" t="e">
        <f t="shared" ca="1" si="76"/>
        <v>#VALUE!</v>
      </c>
      <c r="Z224" s="194" t="e">
        <f t="shared" ca="1" si="76"/>
        <v>#VALUE!</v>
      </c>
      <c r="AA224" s="194" t="e">
        <f t="shared" ca="1" si="77"/>
        <v>#VALUE!</v>
      </c>
      <c r="AB224" s="194" t="e">
        <f t="shared" ca="1" si="77"/>
        <v>#VALUE!</v>
      </c>
      <c r="AC224" s="194" t="e">
        <f t="shared" ca="1" si="77"/>
        <v>#VALUE!</v>
      </c>
      <c r="AD224" s="194" t="e">
        <f t="shared" ca="1" si="77"/>
        <v>#VALUE!</v>
      </c>
      <c r="AE224" s="194" t="e">
        <f t="shared" ca="1" si="77"/>
        <v>#VALUE!</v>
      </c>
      <c r="AF224" s="194" t="e">
        <f t="shared" ca="1" si="77"/>
        <v>#VALUE!</v>
      </c>
      <c r="AG224" s="194" t="e">
        <f t="shared" ca="1" si="77"/>
        <v>#VALUE!</v>
      </c>
      <c r="AH224" s="194" t="e">
        <f t="shared" ca="1" si="77"/>
        <v>#VALUE!</v>
      </c>
      <c r="AI224" s="194" t="e">
        <f t="shared" ca="1" si="77"/>
        <v>#VALUE!</v>
      </c>
      <c r="AJ224" s="194" t="e">
        <f t="shared" ca="1" si="77"/>
        <v>#VALUE!</v>
      </c>
      <c r="AK224" s="194" t="e">
        <f t="shared" ca="1" si="77"/>
        <v>#VALUE!</v>
      </c>
      <c r="AL224" s="194" t="e">
        <f t="shared" ca="1" si="77"/>
        <v>#VALUE!</v>
      </c>
      <c r="AM224" s="194" t="e">
        <f t="shared" ca="1" si="77"/>
        <v>#VALUE!</v>
      </c>
      <c r="AN224" s="194" t="e">
        <f t="shared" ca="1" si="77"/>
        <v>#VALUE!</v>
      </c>
      <c r="AO224" s="194" t="e">
        <f t="shared" ca="1" si="77"/>
        <v>#VALUE!</v>
      </c>
      <c r="AP224" s="194" t="e">
        <f t="shared" ca="1" si="77"/>
        <v>#VALUE!</v>
      </c>
    </row>
    <row r="225" spans="1:42">
      <c r="A225" s="59" t="str">
        <f>'[4]TS BYDem'!A164</f>
        <v>*</v>
      </c>
      <c r="B225" s="194" t="s">
        <v>288</v>
      </c>
      <c r="C225" s="194" t="s">
        <v>137</v>
      </c>
      <c r="D225" s="194" t="str">
        <f>'[4]TS BYDem'!D164</f>
        <v>IPPS</v>
      </c>
      <c r="E225" s="194" t="s">
        <v>137</v>
      </c>
      <c r="F225" s="194" t="s">
        <v>137</v>
      </c>
      <c r="G225" s="194" t="s">
        <v>137</v>
      </c>
      <c r="H225" s="194" t="s">
        <v>137</v>
      </c>
      <c r="I225" s="194">
        <v>0</v>
      </c>
      <c r="J225" s="194" t="str">
        <f>INDEX('[4]TS BYDem'!$J$10:$J$203,MATCH(D225,'[4]TS BYDem'!$D$10:$D$203,0))</f>
        <v/>
      </c>
      <c r="K225" s="194" t="e">
        <f t="shared" ca="1" si="76"/>
        <v>#VALUE!</v>
      </c>
      <c r="L225" s="194" t="e">
        <f t="shared" ca="1" si="76"/>
        <v>#VALUE!</v>
      </c>
      <c r="M225" s="194" t="e">
        <f t="shared" ca="1" si="76"/>
        <v>#VALUE!</v>
      </c>
      <c r="N225" s="194" t="e">
        <f t="shared" ca="1" si="76"/>
        <v>#VALUE!</v>
      </c>
      <c r="O225" s="194" t="e">
        <f t="shared" ca="1" si="76"/>
        <v>#VALUE!</v>
      </c>
      <c r="P225" s="194" t="e">
        <f t="shared" ca="1" si="76"/>
        <v>#VALUE!</v>
      </c>
      <c r="Q225" s="194" t="e">
        <f t="shared" ca="1" si="76"/>
        <v>#VALUE!</v>
      </c>
      <c r="R225" s="194" t="e">
        <f t="shared" ca="1" si="76"/>
        <v>#VALUE!</v>
      </c>
      <c r="S225" s="194" t="e">
        <f t="shared" ca="1" si="76"/>
        <v>#VALUE!</v>
      </c>
      <c r="T225" s="194" t="e">
        <f t="shared" ca="1" si="76"/>
        <v>#VALUE!</v>
      </c>
      <c r="U225" s="194" t="e">
        <f t="shared" ca="1" si="76"/>
        <v>#VALUE!</v>
      </c>
      <c r="V225" s="194" t="e">
        <f t="shared" ca="1" si="76"/>
        <v>#VALUE!</v>
      </c>
      <c r="W225" s="194" t="e">
        <f t="shared" ca="1" si="76"/>
        <v>#VALUE!</v>
      </c>
      <c r="X225" s="194" t="e">
        <f t="shared" ca="1" si="76"/>
        <v>#VALUE!</v>
      </c>
      <c r="Y225" s="194" t="e">
        <f t="shared" ca="1" si="76"/>
        <v>#VALUE!</v>
      </c>
      <c r="Z225" s="194" t="e">
        <f t="shared" ca="1" si="76"/>
        <v>#VALUE!</v>
      </c>
      <c r="AA225" s="194" t="e">
        <f t="shared" ca="1" si="77"/>
        <v>#VALUE!</v>
      </c>
      <c r="AB225" s="194" t="e">
        <f t="shared" ca="1" si="77"/>
        <v>#VALUE!</v>
      </c>
      <c r="AC225" s="194" t="e">
        <f t="shared" ca="1" si="77"/>
        <v>#VALUE!</v>
      </c>
      <c r="AD225" s="194" t="e">
        <f t="shared" ca="1" si="77"/>
        <v>#VALUE!</v>
      </c>
      <c r="AE225" s="194" t="e">
        <f t="shared" ca="1" si="77"/>
        <v>#VALUE!</v>
      </c>
      <c r="AF225" s="194" t="e">
        <f t="shared" ca="1" si="77"/>
        <v>#VALUE!</v>
      </c>
      <c r="AG225" s="194" t="e">
        <f t="shared" ca="1" si="77"/>
        <v>#VALUE!</v>
      </c>
      <c r="AH225" s="194" t="e">
        <f t="shared" ca="1" si="77"/>
        <v>#VALUE!</v>
      </c>
      <c r="AI225" s="194" t="e">
        <f t="shared" ca="1" si="77"/>
        <v>#VALUE!</v>
      </c>
      <c r="AJ225" s="194" t="e">
        <f t="shared" ca="1" si="77"/>
        <v>#VALUE!</v>
      </c>
      <c r="AK225" s="194" t="e">
        <f t="shared" ca="1" si="77"/>
        <v>#VALUE!</v>
      </c>
      <c r="AL225" s="194" t="e">
        <f t="shared" ca="1" si="77"/>
        <v>#VALUE!</v>
      </c>
      <c r="AM225" s="194" t="e">
        <f t="shared" ca="1" si="77"/>
        <v>#VALUE!</v>
      </c>
      <c r="AN225" s="194" t="e">
        <f t="shared" ca="1" si="77"/>
        <v>#VALUE!</v>
      </c>
      <c r="AO225" s="194" t="e">
        <f t="shared" ca="1" si="77"/>
        <v>#VALUE!</v>
      </c>
      <c r="AP225" s="194" t="e">
        <f t="shared" ca="1" si="77"/>
        <v>#VALUE!</v>
      </c>
    </row>
    <row r="226" spans="1:42">
      <c r="A226" s="59" t="str">
        <f>'[4]TS BYDem'!A165</f>
        <v>*</v>
      </c>
      <c r="B226" s="194" t="s">
        <v>288</v>
      </c>
      <c r="C226" s="194" t="s">
        <v>137</v>
      </c>
      <c r="D226" s="194" t="str">
        <f>'[4]TS BYDem'!D165</f>
        <v>IPPS</v>
      </c>
      <c r="E226" s="194" t="s">
        <v>137</v>
      </c>
      <c r="F226" s="194" t="s">
        <v>137</v>
      </c>
      <c r="G226" s="194" t="s">
        <v>137</v>
      </c>
      <c r="H226" s="194" t="s">
        <v>137</v>
      </c>
      <c r="I226" s="194">
        <v>0</v>
      </c>
      <c r="J226" s="194" t="str">
        <f>INDEX('[4]TS BYDem'!$J$10:$J$203,MATCH(D226,'[4]TS BYDem'!$D$10:$D$203,0))</f>
        <v/>
      </c>
      <c r="K226" s="194" t="e">
        <f t="shared" ca="1" si="76"/>
        <v>#VALUE!</v>
      </c>
      <c r="L226" s="194" t="e">
        <f t="shared" ca="1" si="76"/>
        <v>#VALUE!</v>
      </c>
      <c r="M226" s="194" t="e">
        <f t="shared" ca="1" si="76"/>
        <v>#VALUE!</v>
      </c>
      <c r="N226" s="194" t="e">
        <f t="shared" ca="1" si="76"/>
        <v>#VALUE!</v>
      </c>
      <c r="O226" s="194" t="e">
        <f t="shared" ca="1" si="76"/>
        <v>#VALUE!</v>
      </c>
      <c r="P226" s="194" t="e">
        <f t="shared" ca="1" si="76"/>
        <v>#VALUE!</v>
      </c>
      <c r="Q226" s="194" t="e">
        <f t="shared" ca="1" si="76"/>
        <v>#VALUE!</v>
      </c>
      <c r="R226" s="194" t="e">
        <f t="shared" ca="1" si="76"/>
        <v>#VALUE!</v>
      </c>
      <c r="S226" s="194" t="e">
        <f t="shared" ca="1" si="76"/>
        <v>#VALUE!</v>
      </c>
      <c r="T226" s="194" t="e">
        <f t="shared" ca="1" si="76"/>
        <v>#VALUE!</v>
      </c>
      <c r="U226" s="194" t="e">
        <f t="shared" ca="1" si="76"/>
        <v>#VALUE!</v>
      </c>
      <c r="V226" s="194" t="e">
        <f t="shared" ca="1" si="76"/>
        <v>#VALUE!</v>
      </c>
      <c r="W226" s="194" t="e">
        <f t="shared" ca="1" si="76"/>
        <v>#VALUE!</v>
      </c>
      <c r="X226" s="194" t="e">
        <f t="shared" ca="1" si="76"/>
        <v>#VALUE!</v>
      </c>
      <c r="Y226" s="194" t="e">
        <f t="shared" ca="1" si="76"/>
        <v>#VALUE!</v>
      </c>
      <c r="Z226" s="194" t="e">
        <f t="shared" ca="1" si="76"/>
        <v>#VALUE!</v>
      </c>
      <c r="AA226" s="194" t="e">
        <f t="shared" ca="1" si="77"/>
        <v>#VALUE!</v>
      </c>
      <c r="AB226" s="194" t="e">
        <f t="shared" ca="1" si="77"/>
        <v>#VALUE!</v>
      </c>
      <c r="AC226" s="194" t="e">
        <f t="shared" ca="1" si="77"/>
        <v>#VALUE!</v>
      </c>
      <c r="AD226" s="194" t="e">
        <f t="shared" ca="1" si="77"/>
        <v>#VALUE!</v>
      </c>
      <c r="AE226" s="194" t="e">
        <f t="shared" ca="1" si="77"/>
        <v>#VALUE!</v>
      </c>
      <c r="AF226" s="194" t="e">
        <f t="shared" ca="1" si="77"/>
        <v>#VALUE!</v>
      </c>
      <c r="AG226" s="194" t="e">
        <f t="shared" ca="1" si="77"/>
        <v>#VALUE!</v>
      </c>
      <c r="AH226" s="194" t="e">
        <f t="shared" ca="1" si="77"/>
        <v>#VALUE!</v>
      </c>
      <c r="AI226" s="194" t="e">
        <f t="shared" ca="1" si="77"/>
        <v>#VALUE!</v>
      </c>
      <c r="AJ226" s="194" t="e">
        <f t="shared" ca="1" si="77"/>
        <v>#VALUE!</v>
      </c>
      <c r="AK226" s="194" t="e">
        <f t="shared" ca="1" si="77"/>
        <v>#VALUE!</v>
      </c>
      <c r="AL226" s="194" t="e">
        <f t="shared" ca="1" si="77"/>
        <v>#VALUE!</v>
      </c>
      <c r="AM226" s="194" t="e">
        <f t="shared" ca="1" si="77"/>
        <v>#VALUE!</v>
      </c>
      <c r="AN226" s="194" t="e">
        <f t="shared" ca="1" si="77"/>
        <v>#VALUE!</v>
      </c>
      <c r="AO226" s="194" t="e">
        <f t="shared" ca="1" si="77"/>
        <v>#VALUE!</v>
      </c>
      <c r="AP226" s="194" t="e">
        <f t="shared" ca="1" si="77"/>
        <v>#VALUE!</v>
      </c>
    </row>
    <row r="227" spans="1:42">
      <c r="A227" s="59" t="str">
        <f>'[4]TS BYDem'!A166</f>
        <v>*</v>
      </c>
      <c r="B227" s="194" t="s">
        <v>288</v>
      </c>
      <c r="C227" s="194" t="s">
        <v>137</v>
      </c>
      <c r="D227" s="194" t="str">
        <f>'[4]TS BYDem'!D166</f>
        <v>IPPS</v>
      </c>
      <c r="E227" s="194" t="s">
        <v>137</v>
      </c>
      <c r="F227" s="194" t="s">
        <v>137</v>
      </c>
      <c r="G227" s="194" t="s">
        <v>137</v>
      </c>
      <c r="H227" s="194" t="s">
        <v>137</v>
      </c>
      <c r="I227" s="194">
        <v>0</v>
      </c>
      <c r="J227" s="194" t="str">
        <f>INDEX('[4]TS BYDem'!$J$10:$J$203,MATCH(D227,'[4]TS BYDem'!$D$10:$D$203,0))</f>
        <v/>
      </c>
      <c r="K227" s="194" t="e">
        <f t="shared" ca="1" si="76"/>
        <v>#VALUE!</v>
      </c>
      <c r="L227" s="194" t="e">
        <f t="shared" ca="1" si="76"/>
        <v>#VALUE!</v>
      </c>
      <c r="M227" s="194" t="e">
        <f t="shared" ca="1" si="76"/>
        <v>#VALUE!</v>
      </c>
      <c r="N227" s="194" t="e">
        <f t="shared" ca="1" si="76"/>
        <v>#VALUE!</v>
      </c>
      <c r="O227" s="194" t="e">
        <f t="shared" ca="1" si="76"/>
        <v>#VALUE!</v>
      </c>
      <c r="P227" s="194" t="e">
        <f t="shared" ca="1" si="76"/>
        <v>#VALUE!</v>
      </c>
      <c r="Q227" s="194" t="e">
        <f t="shared" ca="1" si="76"/>
        <v>#VALUE!</v>
      </c>
      <c r="R227" s="194" t="e">
        <f t="shared" ca="1" si="76"/>
        <v>#VALUE!</v>
      </c>
      <c r="S227" s="194" t="e">
        <f t="shared" ca="1" si="76"/>
        <v>#VALUE!</v>
      </c>
      <c r="T227" s="194" t="e">
        <f t="shared" ca="1" si="76"/>
        <v>#VALUE!</v>
      </c>
      <c r="U227" s="194" t="e">
        <f t="shared" ca="1" si="76"/>
        <v>#VALUE!</v>
      </c>
      <c r="V227" s="194" t="e">
        <f t="shared" ca="1" si="76"/>
        <v>#VALUE!</v>
      </c>
      <c r="W227" s="194" t="e">
        <f t="shared" ca="1" si="76"/>
        <v>#VALUE!</v>
      </c>
      <c r="X227" s="194" t="e">
        <f t="shared" ca="1" si="76"/>
        <v>#VALUE!</v>
      </c>
      <c r="Y227" s="194" t="e">
        <f t="shared" ca="1" si="76"/>
        <v>#VALUE!</v>
      </c>
      <c r="Z227" s="194" t="e">
        <f t="shared" ref="Z227:AO228" ca="1" si="78">Z$211/Y$211*Y227</f>
        <v>#VALUE!</v>
      </c>
      <c r="AA227" s="194" t="e">
        <f t="shared" ca="1" si="78"/>
        <v>#VALUE!</v>
      </c>
      <c r="AB227" s="194" t="e">
        <f t="shared" ca="1" si="78"/>
        <v>#VALUE!</v>
      </c>
      <c r="AC227" s="194" t="e">
        <f t="shared" ca="1" si="78"/>
        <v>#VALUE!</v>
      </c>
      <c r="AD227" s="194" t="e">
        <f t="shared" ca="1" si="78"/>
        <v>#VALUE!</v>
      </c>
      <c r="AE227" s="194" t="e">
        <f t="shared" ca="1" si="78"/>
        <v>#VALUE!</v>
      </c>
      <c r="AF227" s="194" t="e">
        <f t="shared" ca="1" si="78"/>
        <v>#VALUE!</v>
      </c>
      <c r="AG227" s="194" t="e">
        <f t="shared" ca="1" si="78"/>
        <v>#VALUE!</v>
      </c>
      <c r="AH227" s="194" t="e">
        <f t="shared" ca="1" si="78"/>
        <v>#VALUE!</v>
      </c>
      <c r="AI227" s="194" t="e">
        <f t="shared" ca="1" si="78"/>
        <v>#VALUE!</v>
      </c>
      <c r="AJ227" s="194" t="e">
        <f t="shared" ca="1" si="78"/>
        <v>#VALUE!</v>
      </c>
      <c r="AK227" s="194" t="e">
        <f t="shared" ca="1" si="78"/>
        <v>#VALUE!</v>
      </c>
      <c r="AL227" s="194" t="e">
        <f t="shared" ca="1" si="78"/>
        <v>#VALUE!</v>
      </c>
      <c r="AM227" s="194" t="e">
        <f t="shared" ca="1" si="78"/>
        <v>#VALUE!</v>
      </c>
      <c r="AN227" s="194" t="e">
        <f t="shared" ca="1" si="78"/>
        <v>#VALUE!</v>
      </c>
      <c r="AO227" s="194" t="e">
        <f t="shared" ca="1" si="78"/>
        <v>#VALUE!</v>
      </c>
      <c r="AP227" s="194" t="e">
        <f t="shared" ca="1" si="77"/>
        <v>#VALUE!</v>
      </c>
    </row>
    <row r="228" spans="1:42">
      <c r="A228" s="59" t="str">
        <f>'[4]TS BYDem'!A167</f>
        <v>*</v>
      </c>
      <c r="B228" s="194" t="s">
        <v>288</v>
      </c>
      <c r="C228" s="194" t="s">
        <v>137</v>
      </c>
      <c r="D228" s="194" t="str">
        <f>'[4]TS BYDem'!D167</f>
        <v>IPPS</v>
      </c>
      <c r="E228" s="194" t="s">
        <v>137</v>
      </c>
      <c r="F228" s="194" t="s">
        <v>137</v>
      </c>
      <c r="G228" s="194" t="s">
        <v>137</v>
      </c>
      <c r="H228" s="194" t="s">
        <v>137</v>
      </c>
      <c r="I228" s="194">
        <v>0</v>
      </c>
      <c r="J228" s="194" t="str">
        <f>INDEX('[4]TS BYDem'!$J$10:$J$203,MATCH(D228,'[4]TS BYDem'!$D$10:$D$203,0))</f>
        <v/>
      </c>
      <c r="K228" s="194" t="e">
        <f t="shared" ref="K228:Z229" ca="1" si="79">K$211/J$211*J228</f>
        <v>#VALUE!</v>
      </c>
      <c r="L228" s="194" t="e">
        <f t="shared" ca="1" si="79"/>
        <v>#VALUE!</v>
      </c>
      <c r="M228" s="194" t="e">
        <f t="shared" ca="1" si="79"/>
        <v>#VALUE!</v>
      </c>
      <c r="N228" s="194" t="e">
        <f t="shared" ca="1" si="79"/>
        <v>#VALUE!</v>
      </c>
      <c r="O228" s="194" t="e">
        <f t="shared" ca="1" si="79"/>
        <v>#VALUE!</v>
      </c>
      <c r="P228" s="194" t="e">
        <f t="shared" ca="1" si="79"/>
        <v>#VALUE!</v>
      </c>
      <c r="Q228" s="194" t="e">
        <f t="shared" ca="1" si="79"/>
        <v>#VALUE!</v>
      </c>
      <c r="R228" s="194" t="e">
        <f t="shared" ca="1" si="79"/>
        <v>#VALUE!</v>
      </c>
      <c r="S228" s="194" t="e">
        <f t="shared" ca="1" si="79"/>
        <v>#VALUE!</v>
      </c>
      <c r="T228" s="194" t="e">
        <f t="shared" ca="1" si="79"/>
        <v>#VALUE!</v>
      </c>
      <c r="U228" s="194" t="e">
        <f t="shared" ca="1" si="79"/>
        <v>#VALUE!</v>
      </c>
      <c r="V228" s="194" t="e">
        <f t="shared" ca="1" si="79"/>
        <v>#VALUE!</v>
      </c>
      <c r="W228" s="194" t="e">
        <f t="shared" ca="1" si="79"/>
        <v>#VALUE!</v>
      </c>
      <c r="X228" s="194" t="e">
        <f t="shared" ca="1" si="79"/>
        <v>#VALUE!</v>
      </c>
      <c r="Y228" s="194" t="e">
        <f t="shared" ca="1" si="79"/>
        <v>#VALUE!</v>
      </c>
      <c r="Z228" s="194" t="e">
        <f t="shared" ca="1" si="79"/>
        <v>#VALUE!</v>
      </c>
      <c r="AA228" s="194" t="e">
        <f t="shared" ca="1" si="78"/>
        <v>#VALUE!</v>
      </c>
      <c r="AB228" s="194" t="e">
        <f t="shared" ca="1" si="78"/>
        <v>#VALUE!</v>
      </c>
      <c r="AC228" s="194" t="e">
        <f t="shared" ca="1" si="78"/>
        <v>#VALUE!</v>
      </c>
      <c r="AD228" s="194" t="e">
        <f t="shared" ca="1" si="78"/>
        <v>#VALUE!</v>
      </c>
      <c r="AE228" s="194" t="e">
        <f t="shared" ca="1" si="78"/>
        <v>#VALUE!</v>
      </c>
      <c r="AF228" s="194" t="e">
        <f t="shared" ca="1" si="78"/>
        <v>#VALUE!</v>
      </c>
      <c r="AG228" s="194" t="e">
        <f t="shared" ca="1" si="78"/>
        <v>#VALUE!</v>
      </c>
      <c r="AH228" s="194" t="e">
        <f t="shared" ca="1" si="78"/>
        <v>#VALUE!</v>
      </c>
      <c r="AI228" s="194" t="e">
        <f t="shared" ca="1" si="78"/>
        <v>#VALUE!</v>
      </c>
      <c r="AJ228" s="194" t="e">
        <f t="shared" ca="1" si="78"/>
        <v>#VALUE!</v>
      </c>
      <c r="AK228" s="194" t="e">
        <f t="shared" ca="1" si="78"/>
        <v>#VALUE!</v>
      </c>
      <c r="AL228" s="194" t="e">
        <f t="shared" ca="1" si="78"/>
        <v>#VALUE!</v>
      </c>
      <c r="AM228" s="194" t="e">
        <f t="shared" ca="1" si="78"/>
        <v>#VALUE!</v>
      </c>
      <c r="AN228" s="194" t="e">
        <f t="shared" ca="1" si="78"/>
        <v>#VALUE!</v>
      </c>
      <c r="AO228" s="194" t="e">
        <f t="shared" ca="1" si="78"/>
        <v>#VALUE!</v>
      </c>
      <c r="AP228" s="194" t="e">
        <f t="shared" ref="L228:AP229" ca="1" si="80">AP$211/AO$211*AO228</f>
        <v>#VALUE!</v>
      </c>
    </row>
    <row r="229" spans="1:42">
      <c r="A229" s="59" t="str">
        <f>'[4]TS BYDem'!A168</f>
        <v>*</v>
      </c>
      <c r="B229" s="194" t="s">
        <v>288</v>
      </c>
      <c r="C229" s="194" t="s">
        <v>137</v>
      </c>
      <c r="D229" s="194" t="str">
        <f>'[4]TS BYDem'!D168</f>
        <v>IPPS</v>
      </c>
      <c r="E229" s="194" t="s">
        <v>137</v>
      </c>
      <c r="F229" s="194" t="s">
        <v>137</v>
      </c>
      <c r="G229" s="194" t="s">
        <v>137</v>
      </c>
      <c r="H229" s="194" t="s">
        <v>137</v>
      </c>
      <c r="I229" s="194">
        <v>0</v>
      </c>
      <c r="J229" s="194" t="str">
        <f>INDEX('[4]TS BYDem'!$J$10:$J$203,MATCH(D229,'[4]TS BYDem'!$D$10:$D$203,0))</f>
        <v/>
      </c>
      <c r="K229" s="194" t="e">
        <f t="shared" ca="1" si="79"/>
        <v>#VALUE!</v>
      </c>
      <c r="L229" s="194" t="e">
        <f t="shared" ca="1" si="80"/>
        <v>#VALUE!</v>
      </c>
      <c r="M229" s="194" t="e">
        <f t="shared" ca="1" si="80"/>
        <v>#VALUE!</v>
      </c>
      <c r="N229" s="194" t="e">
        <f t="shared" ca="1" si="80"/>
        <v>#VALUE!</v>
      </c>
      <c r="O229" s="194" t="e">
        <f t="shared" ca="1" si="80"/>
        <v>#VALUE!</v>
      </c>
      <c r="P229" s="194" t="e">
        <f t="shared" ca="1" si="80"/>
        <v>#VALUE!</v>
      </c>
      <c r="Q229" s="194" t="e">
        <f t="shared" ca="1" si="80"/>
        <v>#VALUE!</v>
      </c>
      <c r="R229" s="194" t="e">
        <f t="shared" ca="1" si="80"/>
        <v>#VALUE!</v>
      </c>
      <c r="S229" s="194" t="e">
        <f t="shared" ca="1" si="80"/>
        <v>#VALUE!</v>
      </c>
      <c r="T229" s="194" t="e">
        <f t="shared" ca="1" si="80"/>
        <v>#VALUE!</v>
      </c>
      <c r="U229" s="194" t="e">
        <f t="shared" ca="1" si="80"/>
        <v>#VALUE!</v>
      </c>
      <c r="V229" s="194" t="e">
        <f t="shared" ca="1" si="80"/>
        <v>#VALUE!</v>
      </c>
      <c r="W229" s="194" t="e">
        <f t="shared" ca="1" si="80"/>
        <v>#VALUE!</v>
      </c>
      <c r="X229" s="194" t="e">
        <f t="shared" ca="1" si="80"/>
        <v>#VALUE!</v>
      </c>
      <c r="Y229" s="194" t="e">
        <f t="shared" ca="1" si="80"/>
        <v>#VALUE!</v>
      </c>
      <c r="Z229" s="194" t="e">
        <f t="shared" ca="1" si="80"/>
        <v>#VALUE!</v>
      </c>
      <c r="AA229" s="194" t="e">
        <f t="shared" ca="1" si="80"/>
        <v>#VALUE!</v>
      </c>
      <c r="AB229" s="194" t="e">
        <f t="shared" ca="1" si="80"/>
        <v>#VALUE!</v>
      </c>
      <c r="AC229" s="194" t="e">
        <f t="shared" ca="1" si="80"/>
        <v>#VALUE!</v>
      </c>
      <c r="AD229" s="194" t="e">
        <f t="shared" ca="1" si="80"/>
        <v>#VALUE!</v>
      </c>
      <c r="AE229" s="194" t="e">
        <f t="shared" ca="1" si="80"/>
        <v>#VALUE!</v>
      </c>
      <c r="AF229" s="194" t="e">
        <f t="shared" ca="1" si="80"/>
        <v>#VALUE!</v>
      </c>
      <c r="AG229" s="194" t="e">
        <f t="shared" ca="1" si="80"/>
        <v>#VALUE!</v>
      </c>
      <c r="AH229" s="194" t="e">
        <f t="shared" ca="1" si="80"/>
        <v>#VALUE!</v>
      </c>
      <c r="AI229" s="194" t="e">
        <f t="shared" ca="1" si="80"/>
        <v>#VALUE!</v>
      </c>
      <c r="AJ229" s="194" t="e">
        <f t="shared" ca="1" si="80"/>
        <v>#VALUE!</v>
      </c>
      <c r="AK229" s="194" t="e">
        <f t="shared" ca="1" si="80"/>
        <v>#VALUE!</v>
      </c>
      <c r="AL229" s="194" t="e">
        <f t="shared" ca="1" si="80"/>
        <v>#VALUE!</v>
      </c>
      <c r="AM229" s="194" t="e">
        <f t="shared" ca="1" si="80"/>
        <v>#VALUE!</v>
      </c>
      <c r="AN229" s="194" t="e">
        <f t="shared" ca="1" si="80"/>
        <v>#VALUE!</v>
      </c>
      <c r="AO229" s="194" t="e">
        <f t="shared" ca="1" si="80"/>
        <v>#VALUE!</v>
      </c>
      <c r="AP229" s="194" t="e">
        <f t="shared" ca="1" si="80"/>
        <v>#VALUE!</v>
      </c>
    </row>
    <row r="230" spans="1:42" s="5" customFormat="1">
      <c r="A230" s="59"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59" t="str">
        <f>'[4]TS BYDem'!A170</f>
        <v>*</v>
      </c>
      <c r="B231" s="194" t="s">
        <v>288</v>
      </c>
      <c r="C231" s="194" t="s">
        <v>137</v>
      </c>
      <c r="D231" s="194">
        <f>'[4]TS BYDem'!D170</f>
        <v>0</v>
      </c>
      <c r="E231" s="194" t="s">
        <v>137</v>
      </c>
      <c r="F231" s="194" t="s">
        <v>137</v>
      </c>
      <c r="G231" s="194" t="s">
        <v>137</v>
      </c>
      <c r="H231" s="194" t="s">
        <v>137</v>
      </c>
      <c r="I231" s="194">
        <v>0</v>
      </c>
      <c r="J231" s="194" t="str">
        <f>INDEX('[4]TS BYDem'!$J$10:$J$203,MATCH(D231,'[4]TS BYDem'!$D$10:$D$203,0))</f>
        <v/>
      </c>
      <c r="K231" s="194" t="e">
        <f t="shared" ref="K231:Z253" ca="1" si="82">K$230/J$230*J231</f>
        <v>#VALUE!</v>
      </c>
      <c r="L231" s="194" t="e">
        <f t="shared" ca="1" si="82"/>
        <v>#VALUE!</v>
      </c>
      <c r="M231" s="194" t="e">
        <f t="shared" ca="1" si="82"/>
        <v>#VALUE!</v>
      </c>
      <c r="N231" s="194" t="e">
        <f t="shared" ca="1" si="82"/>
        <v>#VALUE!</v>
      </c>
      <c r="O231" s="194" t="e">
        <f t="shared" ca="1" si="82"/>
        <v>#VALUE!</v>
      </c>
      <c r="P231" s="194" t="e">
        <f t="shared" ca="1" si="82"/>
        <v>#VALUE!</v>
      </c>
      <c r="Q231" s="194" t="e">
        <f t="shared" ca="1" si="82"/>
        <v>#VALUE!</v>
      </c>
      <c r="R231" s="194" t="e">
        <f t="shared" ca="1" si="82"/>
        <v>#VALUE!</v>
      </c>
      <c r="S231" s="194" t="e">
        <f t="shared" ca="1" si="82"/>
        <v>#VALUE!</v>
      </c>
      <c r="T231" s="194" t="e">
        <f t="shared" ca="1" si="82"/>
        <v>#VALUE!</v>
      </c>
      <c r="U231" s="194" t="e">
        <f t="shared" ca="1" si="82"/>
        <v>#VALUE!</v>
      </c>
      <c r="V231" s="194" t="e">
        <f t="shared" ca="1" si="82"/>
        <v>#VALUE!</v>
      </c>
      <c r="W231" s="194" t="e">
        <f t="shared" ca="1" si="82"/>
        <v>#VALUE!</v>
      </c>
      <c r="X231" s="194" t="e">
        <f t="shared" ca="1" si="82"/>
        <v>#VALUE!</v>
      </c>
      <c r="Y231" s="194" t="e">
        <f t="shared" ca="1" si="82"/>
        <v>#VALUE!</v>
      </c>
      <c r="Z231" s="194" t="e">
        <f t="shared" ca="1" si="82"/>
        <v>#VALUE!</v>
      </c>
      <c r="AA231" s="194" t="e">
        <f t="shared" ref="AA231:AP246" ca="1" si="83">AA$230/Z$230*Z231</f>
        <v>#VALUE!</v>
      </c>
      <c r="AB231" s="194" t="e">
        <f t="shared" ca="1" si="83"/>
        <v>#VALUE!</v>
      </c>
      <c r="AC231" s="194" t="e">
        <f t="shared" ca="1" si="83"/>
        <v>#VALUE!</v>
      </c>
      <c r="AD231" s="194" t="e">
        <f t="shared" ca="1" si="83"/>
        <v>#VALUE!</v>
      </c>
      <c r="AE231" s="194" t="e">
        <f t="shared" ca="1" si="83"/>
        <v>#VALUE!</v>
      </c>
      <c r="AF231" s="194" t="e">
        <f t="shared" ca="1" si="83"/>
        <v>#VALUE!</v>
      </c>
      <c r="AG231" s="194" t="e">
        <f t="shared" ca="1" si="83"/>
        <v>#VALUE!</v>
      </c>
      <c r="AH231" s="194" t="e">
        <f t="shared" ca="1" si="83"/>
        <v>#VALUE!</v>
      </c>
      <c r="AI231" s="194" t="e">
        <f t="shared" ca="1" si="83"/>
        <v>#VALUE!</v>
      </c>
      <c r="AJ231" s="194" t="e">
        <f t="shared" ca="1" si="83"/>
        <v>#VALUE!</v>
      </c>
      <c r="AK231" s="194" t="e">
        <f t="shared" ca="1" si="83"/>
        <v>#VALUE!</v>
      </c>
      <c r="AL231" s="194" t="e">
        <f t="shared" ca="1" si="83"/>
        <v>#VALUE!</v>
      </c>
      <c r="AM231" s="194" t="e">
        <f t="shared" ca="1" si="83"/>
        <v>#VALUE!</v>
      </c>
      <c r="AN231" s="194" t="e">
        <f t="shared" ca="1" si="83"/>
        <v>#VALUE!</v>
      </c>
      <c r="AO231" s="194" t="e">
        <f t="shared" ca="1" si="83"/>
        <v>#VALUE!</v>
      </c>
      <c r="AP231" s="194" t="e">
        <f t="shared" ca="1" si="83"/>
        <v>#VALUE!</v>
      </c>
    </row>
    <row r="232" spans="1:42">
      <c r="A232" s="59" t="str">
        <f>'[4]TS BYDem'!A171</f>
        <v>*</v>
      </c>
      <c r="B232" s="194" t="s">
        <v>288</v>
      </c>
      <c r="C232" s="194" t="s">
        <v>137</v>
      </c>
      <c r="D232" s="194">
        <f>'[4]TS BYDem'!D171</f>
        <v>2</v>
      </c>
      <c r="E232" s="194" t="s">
        <v>137</v>
      </c>
      <c r="F232" s="194" t="s">
        <v>137</v>
      </c>
      <c r="G232" s="194" t="s">
        <v>137</v>
      </c>
      <c r="H232" s="194" t="s">
        <v>137</v>
      </c>
      <c r="I232" s="194">
        <v>0</v>
      </c>
      <c r="J232" s="194" t="str">
        <f>INDEX('[4]TS BYDem'!$J$10:$J$203,MATCH(D232,'[4]TS BYDem'!$D$10:$D$203,0))</f>
        <v/>
      </c>
      <c r="K232" s="194" t="e">
        <f t="shared" ca="1" si="82"/>
        <v>#VALUE!</v>
      </c>
      <c r="L232" s="194" t="e">
        <f t="shared" ca="1" si="82"/>
        <v>#VALUE!</v>
      </c>
      <c r="M232" s="194" t="e">
        <f t="shared" ca="1" si="82"/>
        <v>#VALUE!</v>
      </c>
      <c r="N232" s="194" t="e">
        <f t="shared" ca="1" si="82"/>
        <v>#VALUE!</v>
      </c>
      <c r="O232" s="194" t="e">
        <f t="shared" ca="1" si="82"/>
        <v>#VALUE!</v>
      </c>
      <c r="P232" s="194" t="e">
        <f t="shared" ca="1" si="82"/>
        <v>#VALUE!</v>
      </c>
      <c r="Q232" s="194" t="e">
        <f t="shared" ca="1" si="82"/>
        <v>#VALUE!</v>
      </c>
      <c r="R232" s="194" t="e">
        <f t="shared" ca="1" si="82"/>
        <v>#VALUE!</v>
      </c>
      <c r="S232" s="194" t="e">
        <f t="shared" ca="1" si="82"/>
        <v>#VALUE!</v>
      </c>
      <c r="T232" s="194" t="e">
        <f t="shared" ca="1" si="82"/>
        <v>#VALUE!</v>
      </c>
      <c r="U232" s="194" t="e">
        <f t="shared" ca="1" si="82"/>
        <v>#VALUE!</v>
      </c>
      <c r="V232" s="194" t="e">
        <f t="shared" ca="1" si="82"/>
        <v>#VALUE!</v>
      </c>
      <c r="W232" s="194" t="e">
        <f t="shared" ca="1" si="82"/>
        <v>#VALUE!</v>
      </c>
      <c r="X232" s="194" t="e">
        <f t="shared" ca="1" si="82"/>
        <v>#VALUE!</v>
      </c>
      <c r="Y232" s="194" t="e">
        <f t="shared" ca="1" si="82"/>
        <v>#VALUE!</v>
      </c>
      <c r="Z232" s="194" t="e">
        <f t="shared" ca="1" si="82"/>
        <v>#VALUE!</v>
      </c>
      <c r="AA232" s="194" t="e">
        <f t="shared" ca="1" si="83"/>
        <v>#VALUE!</v>
      </c>
      <c r="AB232" s="194" t="e">
        <f t="shared" ca="1" si="83"/>
        <v>#VALUE!</v>
      </c>
      <c r="AC232" s="194" t="e">
        <f t="shared" ca="1" si="83"/>
        <v>#VALUE!</v>
      </c>
      <c r="AD232" s="194" t="e">
        <f t="shared" ca="1" si="83"/>
        <v>#VALUE!</v>
      </c>
      <c r="AE232" s="194" t="e">
        <f t="shared" ca="1" si="83"/>
        <v>#VALUE!</v>
      </c>
      <c r="AF232" s="194" t="e">
        <f t="shared" ca="1" si="83"/>
        <v>#VALUE!</v>
      </c>
      <c r="AG232" s="194" t="e">
        <f t="shared" ca="1" si="83"/>
        <v>#VALUE!</v>
      </c>
      <c r="AH232" s="194" t="e">
        <f t="shared" ca="1" si="83"/>
        <v>#VALUE!</v>
      </c>
      <c r="AI232" s="194" t="e">
        <f t="shared" ca="1" si="83"/>
        <v>#VALUE!</v>
      </c>
      <c r="AJ232" s="194" t="e">
        <f t="shared" ca="1" si="83"/>
        <v>#VALUE!</v>
      </c>
      <c r="AK232" s="194" t="e">
        <f t="shared" ca="1" si="83"/>
        <v>#VALUE!</v>
      </c>
      <c r="AL232" s="194" t="e">
        <f t="shared" ca="1" si="83"/>
        <v>#VALUE!</v>
      </c>
      <c r="AM232" s="194" t="e">
        <f t="shared" ca="1" si="83"/>
        <v>#VALUE!</v>
      </c>
      <c r="AN232" s="194" t="e">
        <f t="shared" ca="1" si="83"/>
        <v>#VALUE!</v>
      </c>
      <c r="AO232" s="194" t="e">
        <f t="shared" ca="1" si="83"/>
        <v>#VALUE!</v>
      </c>
      <c r="AP232" s="194" t="e">
        <f t="shared" ca="1" si="83"/>
        <v>#VALUE!</v>
      </c>
    </row>
    <row r="233" spans="1:42">
      <c r="A233" s="59" t="str">
        <f>'[4]TS BYDem'!A172</f>
        <v/>
      </c>
      <c r="B233" s="194" t="s">
        <v>288</v>
      </c>
      <c r="C233" s="194" t="s">
        <v>137</v>
      </c>
      <c r="D233" s="194" t="str">
        <f>'[4]TS BYDem'!D172</f>
        <v>IOTK</v>
      </c>
      <c r="E233" s="194" t="s">
        <v>137</v>
      </c>
      <c r="F233" s="194" t="s">
        <v>137</v>
      </c>
      <c r="G233" s="194" t="s">
        <v>137</v>
      </c>
      <c r="H233" s="194" t="s">
        <v>137</v>
      </c>
      <c r="I233" s="194">
        <v>0</v>
      </c>
      <c r="J233" s="194">
        <f>INDEX('[4]TS BYDem'!$J$10:$J$203,MATCH(D233,'[4]TS BYDem'!$D$10:$D$203,0))</f>
        <v>4.0241553496851505</v>
      </c>
      <c r="K233" s="194">
        <f t="shared" ca="1" si="82"/>
        <v>4.1289030027364033</v>
      </c>
      <c r="L233" s="194">
        <f t="shared" ca="1" si="82"/>
        <v>4.1975955908711562</v>
      </c>
      <c r="M233" s="201">
        <f t="shared" ref="M233:M241" si="84">O233</f>
        <v>2.1816720000000003</v>
      </c>
      <c r="N233" s="201">
        <f t="shared" ref="N233:N241" si="85">O233</f>
        <v>2.1816720000000003</v>
      </c>
      <c r="O233" s="201">
        <f>INDEX('[4]TS BYDem'!$O$10:$O$203,MATCH(D233,'[4]TS BYDem'!$D$10:$D$203,0))</f>
        <v>2.1816720000000003</v>
      </c>
      <c r="P233" s="194">
        <f t="shared" ca="1" si="82"/>
        <v>2.2006776165359949</v>
      </c>
      <c r="Q233" s="194">
        <f t="shared" ca="1" si="82"/>
        <v>2.2000728923734858</v>
      </c>
      <c r="R233" s="194">
        <f t="shared" ca="1" si="82"/>
        <v>1.9890241596578764</v>
      </c>
      <c r="S233" s="194">
        <f t="shared" ca="1" si="82"/>
        <v>2.0447451717747684</v>
      </c>
      <c r="T233" s="194">
        <f t="shared" ca="1" si="82"/>
        <v>2.0957147797576621</v>
      </c>
      <c r="U233" s="194">
        <f t="shared" ca="1" si="82"/>
        <v>2.1453021610833929</v>
      </c>
      <c r="V233" s="194">
        <f t="shared" ca="1" si="82"/>
        <v>2.192816202423379</v>
      </c>
      <c r="W233" s="194">
        <f t="shared" ca="1" si="82"/>
        <v>2.2427491404134003</v>
      </c>
      <c r="X233" s="194">
        <f t="shared" ca="1" si="82"/>
        <v>2.3058996208125451</v>
      </c>
      <c r="Y233" s="194">
        <f t="shared" ca="1" si="82"/>
        <v>2.3681862095509625</v>
      </c>
      <c r="Z233" s="194">
        <f t="shared" ca="1" si="82"/>
        <v>2.4329780841054887</v>
      </c>
      <c r="AA233" s="194">
        <f t="shared" ca="1" si="83"/>
        <v>2.4986338503207417</v>
      </c>
      <c r="AB233" s="194">
        <f t="shared" ca="1" si="83"/>
        <v>2.5659310106913757</v>
      </c>
      <c r="AC233" s="194">
        <f t="shared" ca="1" si="83"/>
        <v>2.6403984718460443</v>
      </c>
      <c r="AD233" s="194">
        <f t="shared" ca="1" si="83"/>
        <v>2.7118423121881685</v>
      </c>
      <c r="AE233" s="194">
        <f t="shared" ca="1" si="83"/>
        <v>2.79088839914469</v>
      </c>
      <c r="AF233" s="194">
        <f t="shared" ca="1" si="83"/>
        <v>2.87563617106201</v>
      </c>
      <c r="AG233" s="194">
        <f t="shared" ca="1" si="83"/>
        <v>2.9654809037776193</v>
      </c>
      <c r="AH233" s="194">
        <f t="shared" ca="1" si="83"/>
        <v>3.0589539814682825</v>
      </c>
      <c r="AI233" s="194">
        <f t="shared" ca="1" si="83"/>
        <v>3.1557962366357808</v>
      </c>
      <c r="AJ233" s="194">
        <f t="shared" ca="1" si="83"/>
        <v>3.2535887726300783</v>
      </c>
      <c r="AK233" s="194">
        <f t="shared" ca="1" si="83"/>
        <v>3.35500965359943</v>
      </c>
      <c r="AL233" s="194">
        <f t="shared" ca="1" si="83"/>
        <v>3.462391387027798</v>
      </c>
      <c r="AM233" s="194">
        <f t="shared" ca="1" si="83"/>
        <v>4.0580446870990743</v>
      </c>
      <c r="AN233" s="194">
        <f t="shared" ca="1" si="83"/>
        <v>4.8094576535994307</v>
      </c>
      <c r="AO233" s="194">
        <f t="shared" ca="1" si="83"/>
        <v>6.1305639757662203</v>
      </c>
      <c r="AP233" s="194">
        <f t="shared" ca="1" si="83"/>
        <v>7.477630242337824</v>
      </c>
    </row>
    <row r="234" spans="1:42">
      <c r="A234" s="59" t="str">
        <f>'[4]TS BYDem'!A173</f>
        <v/>
      </c>
      <c r="B234" s="194" t="s">
        <v>288</v>
      </c>
      <c r="C234" s="194" t="s">
        <v>137</v>
      </c>
      <c r="D234" s="194" t="str">
        <f>'[4]TS BYDem'!D173</f>
        <v>IOTA</v>
      </c>
      <c r="E234" s="194" t="s">
        <v>137</v>
      </c>
      <c r="F234" s="194" t="s">
        <v>137</v>
      </c>
      <c r="G234" s="194" t="s">
        <v>137</v>
      </c>
      <c r="H234" s="194" t="s">
        <v>137</v>
      </c>
      <c r="I234" s="194">
        <v>0</v>
      </c>
      <c r="J234" s="194">
        <f>INDEX('[4]TS BYDem'!$J$10:$J$203,MATCH(D234,'[4]TS BYDem'!$D$10:$D$203,0))</f>
        <v>0.22789646617646991</v>
      </c>
      <c r="K234" s="194">
        <f t="shared" ca="1" si="82"/>
        <v>0.23382854828968336</v>
      </c>
      <c r="L234" s="194">
        <f t="shared" ca="1" si="82"/>
        <v>0.23771875548301416</v>
      </c>
      <c r="M234" s="201">
        <f t="shared" si="84"/>
        <v>0.12355272</v>
      </c>
      <c r="N234" s="201">
        <f t="shared" si="85"/>
        <v>0.12355272</v>
      </c>
      <c r="O234" s="201">
        <f>INDEX('[4]TS BYDem'!$O$10:$O$203,MATCH(D234,'[4]TS BYDem'!$D$10:$D$203,0))</f>
        <v>0.12355272</v>
      </c>
      <c r="P234" s="194">
        <f t="shared" ca="1" si="82"/>
        <v>0.12462904843905918</v>
      </c>
      <c r="Q234" s="194">
        <f t="shared" ca="1" si="82"/>
        <v>0.12459480162508911</v>
      </c>
      <c r="R234" s="194">
        <f t="shared" ca="1" si="82"/>
        <v>0.11264266354953673</v>
      </c>
      <c r="S234" s="194">
        <f t="shared" ca="1" si="82"/>
        <v>0.11579826283677834</v>
      </c>
      <c r="T234" s="194">
        <f t="shared" ca="1" si="82"/>
        <v>0.11868478001425517</v>
      </c>
      <c r="U234" s="194">
        <f t="shared" ca="1" si="82"/>
        <v>0.12149301875980044</v>
      </c>
      <c r="V234" s="194">
        <f t="shared" ca="1" si="82"/>
        <v>0.12418383985744835</v>
      </c>
      <c r="W234" s="194">
        <f t="shared" ca="1" si="82"/>
        <v>0.12701164821097652</v>
      </c>
      <c r="X234" s="194">
        <f t="shared" ca="1" si="82"/>
        <v>0.13058799406985036</v>
      </c>
      <c r="Y234" s="194">
        <f t="shared" ca="1" si="82"/>
        <v>0.13411541590876697</v>
      </c>
      <c r="Z234" s="194">
        <f t="shared" ca="1" si="82"/>
        <v>0.13778471740555956</v>
      </c>
      <c r="AA234" s="194">
        <f t="shared" ca="1" si="83"/>
        <v>0.14150294292230939</v>
      </c>
      <c r="AB234" s="194">
        <f t="shared" ca="1" si="83"/>
        <v>0.14531412407697794</v>
      </c>
      <c r="AC234" s="194">
        <f t="shared" ca="1" si="83"/>
        <v>0.14953137459729157</v>
      </c>
      <c r="AD234" s="194">
        <f t="shared" ca="1" si="83"/>
        <v>0.15357739104775489</v>
      </c>
      <c r="AE234" s="194">
        <f t="shared" ca="1" si="83"/>
        <v>0.15805393887384184</v>
      </c>
      <c r="AF234" s="194">
        <f t="shared" ca="1" si="83"/>
        <v>0.16285338523164652</v>
      </c>
      <c r="AG234" s="194">
        <f t="shared" ca="1" si="83"/>
        <v>0.16794148330719891</v>
      </c>
      <c r="AH234" s="194">
        <f t="shared" ca="1" si="83"/>
        <v>0.1732350622665717</v>
      </c>
      <c r="AI234" s="194">
        <f t="shared" ca="1" si="83"/>
        <v>0.1787194449037777</v>
      </c>
      <c r="AJ234" s="194">
        <f t="shared" ca="1" si="83"/>
        <v>0.18425764396293662</v>
      </c>
      <c r="AK234" s="194">
        <f t="shared" ca="1" si="83"/>
        <v>0.19000132390591598</v>
      </c>
      <c r="AL234" s="194">
        <f t="shared" ca="1" si="83"/>
        <v>0.19608257958660025</v>
      </c>
      <c r="AM234" s="194">
        <f t="shared" ca="1" si="83"/>
        <v>0.22981569134711344</v>
      </c>
      <c r="AN234" s="194">
        <f t="shared" ca="1" si="83"/>
        <v>0.27236980390591603</v>
      </c>
      <c r="AO234" s="194">
        <f t="shared" ca="1" si="83"/>
        <v>0.34718686142551713</v>
      </c>
      <c r="AP234" s="194">
        <f t="shared" ca="1" si="83"/>
        <v>0.42347408574483131</v>
      </c>
    </row>
    <row r="235" spans="1:42">
      <c r="A235" s="59" t="str">
        <f>'[4]TS BYDem'!A174</f>
        <v/>
      </c>
      <c r="B235" s="194" t="s">
        <v>288</v>
      </c>
      <c r="C235" s="194" t="s">
        <v>137</v>
      </c>
      <c r="D235" s="194" t="str">
        <f>'[4]TS BYDem'!D174</f>
        <v>IOTL</v>
      </c>
      <c r="E235" s="194" t="s">
        <v>137</v>
      </c>
      <c r="F235" s="194" t="s">
        <v>137</v>
      </c>
      <c r="G235" s="194" t="s">
        <v>137</v>
      </c>
      <c r="H235" s="194" t="s">
        <v>137</v>
      </c>
      <c r="I235" s="194">
        <v>0</v>
      </c>
      <c r="J235" s="194">
        <f>INDEX('[4]TS BYDem'!$J$10:$J$203,MATCH(D235,'[4]TS BYDem'!$D$10:$D$203,0))</f>
        <v>1.0095834302163471</v>
      </c>
      <c r="K235" s="194">
        <f t="shared" ca="1" si="82"/>
        <v>1.0358626082512781</v>
      </c>
      <c r="L235" s="194">
        <f t="shared" ca="1" si="82"/>
        <v>1.0530962617097481</v>
      </c>
      <c r="M235" s="201">
        <f t="shared" si="84"/>
        <v>0.54733968</v>
      </c>
      <c r="N235" s="201">
        <f t="shared" si="85"/>
        <v>0.54733968</v>
      </c>
      <c r="O235" s="201">
        <f>INDEX('[4]TS BYDem'!$O$10:$O$203,MATCH(D235,'[4]TS BYDem'!$D$10:$D$203,0))</f>
        <v>0.54733968</v>
      </c>
      <c r="P235" s="194">
        <f t="shared" ca="1" si="82"/>
        <v>0.55210782483250187</v>
      </c>
      <c r="Q235" s="194">
        <f t="shared" ca="1" si="82"/>
        <v>0.55195611113328591</v>
      </c>
      <c r="R235" s="194">
        <f t="shared" ca="1" si="82"/>
        <v>0.49900803010691386</v>
      </c>
      <c r="S235" s="194">
        <f t="shared" ca="1" si="82"/>
        <v>0.5129873638203849</v>
      </c>
      <c r="T235" s="194">
        <f t="shared" ca="1" si="82"/>
        <v>0.52577466132573059</v>
      </c>
      <c r="U235" s="194">
        <f t="shared" ca="1" si="82"/>
        <v>0.5382151846614398</v>
      </c>
      <c r="V235" s="194">
        <f t="shared" ca="1" si="82"/>
        <v>0.55013554674269427</v>
      </c>
      <c r="W235" s="194">
        <f t="shared" ca="1" si="82"/>
        <v>0.56266276362081258</v>
      </c>
      <c r="X235" s="194">
        <f t="shared" ca="1" si="82"/>
        <v>0.5785060084960798</v>
      </c>
      <c r="Y235" s="194">
        <f t="shared" ca="1" si="82"/>
        <v>0.5941325195153242</v>
      </c>
      <c r="Z235" s="194">
        <f t="shared" ca="1" si="82"/>
        <v>0.61038755871703487</v>
      </c>
      <c r="AA235" s="194">
        <f t="shared" ca="1" si="83"/>
        <v>0.62685933177476827</v>
      </c>
      <c r="AB235" s="194">
        <f t="shared" ca="1" si="83"/>
        <v>0.643742899158945</v>
      </c>
      <c r="AC235" s="194">
        <f t="shared" ca="1" si="83"/>
        <v>0.66242535754811105</v>
      </c>
      <c r="AD235" s="194">
        <f t="shared" ca="1" si="83"/>
        <v>0.6803492474411974</v>
      </c>
      <c r="AE235" s="194">
        <f t="shared" ca="1" si="83"/>
        <v>0.70018039526728437</v>
      </c>
      <c r="AF235" s="194">
        <f t="shared" ca="1" si="83"/>
        <v>0.72144198654312175</v>
      </c>
      <c r="AG235" s="194">
        <f t="shared" ca="1" si="83"/>
        <v>0.74398230756949379</v>
      </c>
      <c r="AH235" s="194">
        <f t="shared" ca="1" si="83"/>
        <v>0.76743291079116172</v>
      </c>
      <c r="AI235" s="194">
        <f t="shared" ca="1" si="83"/>
        <v>0.79172877605131853</v>
      </c>
      <c r="AJ235" s="194">
        <f t="shared" ca="1" si="83"/>
        <v>0.81626304855310039</v>
      </c>
      <c r="AK235" s="194">
        <f t="shared" ca="1" si="83"/>
        <v>0.84170760325017813</v>
      </c>
      <c r="AL235" s="194">
        <f t="shared" ca="1" si="83"/>
        <v>0.86864762155381325</v>
      </c>
      <c r="AM235" s="194">
        <f t="shared" ca="1" si="83"/>
        <v>1.0180856152815396</v>
      </c>
      <c r="AN235" s="194">
        <f t="shared" ca="1" si="83"/>
        <v>1.2066007232501783</v>
      </c>
      <c r="AO235" s="194">
        <f t="shared" ca="1" si="83"/>
        <v>1.5380409725730588</v>
      </c>
      <c r="AP235" s="194">
        <f t="shared" ca="1" si="83"/>
        <v>1.8759940742694166</v>
      </c>
    </row>
    <row r="236" spans="1:42">
      <c r="A236" s="59" t="str">
        <f>'[4]TS BYDem'!A175</f>
        <v/>
      </c>
      <c r="B236" s="194" t="s">
        <v>288</v>
      </c>
      <c r="C236" s="194" t="s">
        <v>137</v>
      </c>
      <c r="D236" s="194" t="str">
        <f>'[4]TS BYDem'!D175</f>
        <v>IOTC</v>
      </c>
      <c r="E236" s="194" t="s">
        <v>137</v>
      </c>
      <c r="F236" s="194" t="s">
        <v>137</v>
      </c>
      <c r="G236" s="194" t="s">
        <v>137</v>
      </c>
      <c r="H236" s="194" t="s">
        <v>137</v>
      </c>
      <c r="I236" s="194">
        <v>0</v>
      </c>
      <c r="J236" s="194">
        <f>INDEX('[4]TS BYDem'!$J$10:$J$203,MATCH(D236,'[4]TS BYDem'!$D$10:$D$203,0))</f>
        <v>4.2868722274366169</v>
      </c>
      <c r="K236" s="194">
        <f t="shared" ca="1" si="82"/>
        <v>4.3984583283036507</v>
      </c>
      <c r="L236" s="194">
        <f t="shared" ca="1" si="82"/>
        <v>4.4716355102751804</v>
      </c>
      <c r="M236" s="201">
        <f t="shared" si="84"/>
        <v>2.3241024000000006</v>
      </c>
      <c r="N236" s="201">
        <f t="shared" si="85"/>
        <v>2.3241024000000006</v>
      </c>
      <c r="O236" s="201">
        <f>INDEX('[4]TS BYDem'!$O$10:$O$203,MATCH(D236,'[4]TS BYDem'!$D$10:$D$203,0))</f>
        <v>2.3241024000000006</v>
      </c>
      <c r="P236" s="194">
        <f t="shared" ca="1" si="82"/>
        <v>2.3443487977191744</v>
      </c>
      <c r="Q236" s="194">
        <f t="shared" ca="1" si="82"/>
        <v>2.3437045941553825</v>
      </c>
      <c r="R236" s="194">
        <f t="shared" ca="1" si="82"/>
        <v>2.1188775503920181</v>
      </c>
      <c r="S236" s="194">
        <f t="shared" ca="1" si="82"/>
        <v>2.1782363073414119</v>
      </c>
      <c r="T236" s="194">
        <f t="shared" ca="1" si="82"/>
        <v>2.2325334648610125</v>
      </c>
      <c r="U236" s="194">
        <f t="shared" ca="1" si="82"/>
        <v>2.2853581570919466</v>
      </c>
      <c r="V236" s="194">
        <f t="shared" ca="1" si="82"/>
        <v>2.33597415138988</v>
      </c>
      <c r="W236" s="194">
        <f t="shared" ca="1" si="82"/>
        <v>2.3891669599429806</v>
      </c>
      <c r="X236" s="194">
        <f t="shared" ca="1" si="82"/>
        <v>2.4564402178189604</v>
      </c>
      <c r="Y236" s="194">
        <f t="shared" ca="1" si="82"/>
        <v>2.5227931848895233</v>
      </c>
      <c r="Z236" s="194">
        <f t="shared" ca="1" si="82"/>
        <v>2.5918149952957958</v>
      </c>
      <c r="AA236" s="194">
        <f t="shared" ca="1" si="83"/>
        <v>2.6617570965074853</v>
      </c>
      <c r="AB236" s="194">
        <f t="shared" ca="1" si="83"/>
        <v>2.7334477502494665</v>
      </c>
      <c r="AC236" s="194">
        <f t="shared" ca="1" si="83"/>
        <v>2.8127768176764087</v>
      </c>
      <c r="AD236" s="194">
        <f t="shared" ca="1" si="83"/>
        <v>2.8888848672843919</v>
      </c>
      <c r="AE236" s="194">
        <f t="shared" ca="1" si="83"/>
        <v>2.973091475980044</v>
      </c>
      <c r="AF236" s="194">
        <f t="shared" ca="1" si="83"/>
        <v>3.0633720039914478</v>
      </c>
      <c r="AG236" s="194">
        <f t="shared" ca="1" si="83"/>
        <v>3.1590822477548119</v>
      </c>
      <c r="AH236" s="194">
        <f t="shared" ca="1" si="83"/>
        <v>3.2586577129009275</v>
      </c>
      <c r="AI236" s="194">
        <f t="shared" ca="1" si="83"/>
        <v>3.3618223121881696</v>
      </c>
      <c r="AJ236" s="194">
        <f t="shared" ca="1" si="83"/>
        <v>3.4659992313613697</v>
      </c>
      <c r="AK236" s="194">
        <f t="shared" ca="1" si="83"/>
        <v>3.5740413719173216</v>
      </c>
      <c r="AL236" s="194">
        <f t="shared" ca="1" si="83"/>
        <v>3.6884335190306508</v>
      </c>
      <c r="AM236" s="194">
        <f t="shared" ca="1" si="83"/>
        <v>4.3229740293656471</v>
      </c>
      <c r="AN236" s="194">
        <f t="shared" ca="1" si="83"/>
        <v>5.1234429719173225</v>
      </c>
      <c r="AO236" s="194">
        <f t="shared" ca="1" si="83"/>
        <v>6.5307976861012191</v>
      </c>
      <c r="AP236" s="194">
        <f t="shared" ca="1" si="83"/>
        <v>7.9658071389878602</v>
      </c>
    </row>
    <row r="237" spans="1:42">
      <c r="A237" s="59" t="str">
        <f>'[4]TS BYDem'!A176</f>
        <v/>
      </c>
      <c r="B237" s="194" t="s">
        <v>288</v>
      </c>
      <c r="C237" s="194" t="s">
        <v>137</v>
      </c>
      <c r="D237" s="194" t="str">
        <f>'[4]TS BYDem'!D176</f>
        <v>IOTH</v>
      </c>
      <c r="E237" s="194" t="s">
        <v>137</v>
      </c>
      <c r="F237" s="194" t="s">
        <v>137</v>
      </c>
      <c r="G237" s="194" t="s">
        <v>137</v>
      </c>
      <c r="H237" s="194" t="s">
        <v>137</v>
      </c>
      <c r="I237" s="194">
        <v>0</v>
      </c>
      <c r="J237" s="194">
        <f>INDEX('[4]TS BYDem'!$J$10:$J$203,MATCH(D237,'[4]TS BYDem'!$D$10:$D$203,0))</f>
        <v>3.1863804172999206</v>
      </c>
      <c r="K237" s="194">
        <f t="shared" ca="1" si="82"/>
        <v>3.269321020094182</v>
      </c>
      <c r="L237" s="194">
        <f t="shared" ca="1" si="82"/>
        <v>3.3237127367716583</v>
      </c>
      <c r="M237" s="201">
        <f t="shared" si="84"/>
        <v>1.7274772800000002</v>
      </c>
      <c r="N237" s="201">
        <f t="shared" si="85"/>
        <v>1.7274772800000002</v>
      </c>
      <c r="O237" s="201">
        <f>INDEX('[4]TS BYDem'!$O$10:$O$203,MATCH(D237,'[4]TS BYDem'!$D$10:$D$203,0))</f>
        <v>1.7274772800000002</v>
      </c>
      <c r="P237" s="194">
        <f t="shared" ca="1" si="82"/>
        <v>1.7425261832074133</v>
      </c>
      <c r="Q237" s="194">
        <f t="shared" ca="1" si="82"/>
        <v>1.7420473544689956</v>
      </c>
      <c r="R237" s="194">
        <f t="shared" ca="1" si="82"/>
        <v>1.5749361247612266</v>
      </c>
      <c r="S237" s="194">
        <f t="shared" ca="1" si="82"/>
        <v>1.6190567728011409</v>
      </c>
      <c r="T237" s="194">
        <f t="shared" ca="1" si="82"/>
        <v>1.6594151950392022</v>
      </c>
      <c r="U237" s="194">
        <f t="shared" ca="1" si="82"/>
        <v>1.6986791515894519</v>
      </c>
      <c r="V237" s="194">
        <f t="shared" ca="1" si="82"/>
        <v>1.7363014096079838</v>
      </c>
      <c r="W237" s="194">
        <f t="shared" ca="1" si="82"/>
        <v>1.7758389825801864</v>
      </c>
      <c r="X237" s="194">
        <f t="shared" ca="1" si="82"/>
        <v>1.8258423836920894</v>
      </c>
      <c r="Y237" s="194">
        <f t="shared" ca="1" si="82"/>
        <v>1.8751617437491099</v>
      </c>
      <c r="Z237" s="194">
        <f t="shared" ca="1" si="82"/>
        <v>1.9264648228652896</v>
      </c>
      <c r="AA237" s="194">
        <f t="shared" ca="1" si="83"/>
        <v>1.9784519430363516</v>
      </c>
      <c r="AB237" s="194">
        <f t="shared" ca="1" si="83"/>
        <v>2.0317387412116901</v>
      </c>
      <c r="AC237" s="194">
        <f t="shared" ca="1" si="83"/>
        <v>2.0907030801425526</v>
      </c>
      <c r="AD237" s="194">
        <f t="shared" ca="1" si="83"/>
        <v>2.1472732753813268</v>
      </c>
      <c r="AE237" s="194">
        <f t="shared" ca="1" si="83"/>
        <v>2.2098630319030659</v>
      </c>
      <c r="AF237" s="194">
        <f t="shared" ca="1" si="83"/>
        <v>2.2769674593870288</v>
      </c>
      <c r="AG237" s="194">
        <f t="shared" ca="1" si="83"/>
        <v>2.348107729094798</v>
      </c>
      <c r="AH237" s="194">
        <f t="shared" ca="1" si="83"/>
        <v>2.4221209712330736</v>
      </c>
      <c r="AI237" s="194">
        <f t="shared" ca="1" si="83"/>
        <v>2.4988019734853903</v>
      </c>
      <c r="AJ237" s="194">
        <f t="shared" ca="1" si="83"/>
        <v>2.5762354208980773</v>
      </c>
      <c r="AK237" s="194">
        <f t="shared" ca="1" si="83"/>
        <v>2.6565418407412706</v>
      </c>
      <c r="AL237" s="194">
        <f t="shared" ca="1" si="83"/>
        <v>2.7415681438631525</v>
      </c>
      <c r="AM237" s="194">
        <f t="shared" ca="1" si="83"/>
        <v>3.2132144512045642</v>
      </c>
      <c r="AN237" s="194">
        <f t="shared" ca="1" si="83"/>
        <v>3.8081933607412717</v>
      </c>
      <c r="AO237" s="194">
        <f t="shared" ca="1" si="83"/>
        <v>4.8542631439201775</v>
      </c>
      <c r="AP237" s="194">
        <f t="shared" ca="1" si="83"/>
        <v>5.9208883607982736</v>
      </c>
    </row>
    <row r="238" spans="1:42">
      <c r="A238" s="59" t="str">
        <f>'[4]TS BYDem'!A177</f>
        <v/>
      </c>
      <c r="B238" s="194" t="s">
        <v>288</v>
      </c>
      <c r="C238" s="194" t="s">
        <v>137</v>
      </c>
      <c r="D238" s="194" t="str">
        <f>'[4]TS BYDem'!D177</f>
        <v>IOTP</v>
      </c>
      <c r="E238" s="194" t="s">
        <v>137</v>
      </c>
      <c r="F238" s="194" t="s">
        <v>137</v>
      </c>
      <c r="G238" s="194" t="s">
        <v>137</v>
      </c>
      <c r="H238" s="194" t="s">
        <v>137</v>
      </c>
      <c r="I238" s="194">
        <v>0</v>
      </c>
      <c r="J238" s="194">
        <f>INDEX('[4]TS BYDem'!$J$10:$J$203,MATCH(D238,'[4]TS BYDem'!$D$10:$D$203,0))</f>
        <v>4.3369135374845138</v>
      </c>
      <c r="K238" s="194">
        <f t="shared" ca="1" si="82"/>
        <v>4.4498021998402679</v>
      </c>
      <c r="L238" s="194">
        <f t="shared" ca="1" si="82"/>
        <v>4.5238335901616598</v>
      </c>
      <c r="M238" s="201">
        <f t="shared" si="84"/>
        <v>2.3512320000000004</v>
      </c>
      <c r="N238" s="201">
        <f t="shared" si="85"/>
        <v>2.3512320000000004</v>
      </c>
      <c r="O238" s="201">
        <f>INDEX('[4]TS BYDem'!$O$10:$O$203,MATCH(D238,'[4]TS BYDem'!$D$10:$D$203,0))</f>
        <v>2.3512320000000004</v>
      </c>
      <c r="P238" s="194">
        <f t="shared" ca="1" si="82"/>
        <v>2.3717147369921605</v>
      </c>
      <c r="Q238" s="194">
        <f t="shared" ca="1" si="82"/>
        <v>2.3710630135424098</v>
      </c>
      <c r="R238" s="194">
        <f t="shared" ca="1" si="82"/>
        <v>2.1436115295794731</v>
      </c>
      <c r="S238" s="194">
        <f t="shared" ca="1" si="82"/>
        <v>2.2036631903064863</v>
      </c>
      <c r="T238" s="194">
        <f t="shared" ca="1" si="82"/>
        <v>2.2585941667854597</v>
      </c>
      <c r="U238" s="194">
        <f t="shared" ca="1" si="82"/>
        <v>2.3120354896650039</v>
      </c>
      <c r="V238" s="194">
        <f t="shared" ca="1" si="82"/>
        <v>2.3632423321454032</v>
      </c>
      <c r="W238" s="194">
        <f t="shared" ca="1" si="82"/>
        <v>2.4170560684248046</v>
      </c>
      <c r="X238" s="194">
        <f t="shared" ca="1" si="82"/>
        <v>2.4851146172487533</v>
      </c>
      <c r="Y238" s="194">
        <f t="shared" ca="1" si="82"/>
        <v>2.552242132573058</v>
      </c>
      <c r="Z238" s="194">
        <f t="shared" ca="1" si="82"/>
        <v>2.6220696450463299</v>
      </c>
      <c r="AA238" s="194">
        <f t="shared" ca="1" si="83"/>
        <v>2.6928281910192449</v>
      </c>
      <c r="AB238" s="194">
        <f t="shared" ca="1" si="83"/>
        <v>2.7653557006414826</v>
      </c>
      <c r="AC238" s="194">
        <f t="shared" ca="1" si="83"/>
        <v>2.8456107883107631</v>
      </c>
      <c r="AD238" s="194">
        <f t="shared" ca="1" si="83"/>
        <v>2.9226072587312908</v>
      </c>
      <c r="AE238" s="194">
        <f t="shared" ca="1" si="83"/>
        <v>3.0077968239486821</v>
      </c>
      <c r="AF238" s="194">
        <f t="shared" ca="1" si="83"/>
        <v>3.099131210263721</v>
      </c>
      <c r="AG238" s="194">
        <f t="shared" ca="1" si="83"/>
        <v>3.1959586942266576</v>
      </c>
      <c r="AH238" s="194">
        <f t="shared" ca="1" si="83"/>
        <v>3.2966965188880977</v>
      </c>
      <c r="AI238" s="194">
        <f t="shared" ca="1" si="83"/>
        <v>3.401065374198148</v>
      </c>
      <c r="AJ238" s="194">
        <f t="shared" ca="1" si="83"/>
        <v>3.5064583663578057</v>
      </c>
      <c r="AK238" s="194">
        <f t="shared" ca="1" si="83"/>
        <v>3.6157616992159674</v>
      </c>
      <c r="AL238" s="194">
        <f t="shared" ca="1" si="83"/>
        <v>3.7314891632216698</v>
      </c>
      <c r="AM238" s="194">
        <f t="shared" ca="1" si="83"/>
        <v>4.373436761225947</v>
      </c>
      <c r="AN238" s="194">
        <f t="shared" ca="1" si="83"/>
        <v>5.1832496992159687</v>
      </c>
      <c r="AO238" s="194">
        <f t="shared" ca="1" si="83"/>
        <v>6.6070326785459805</v>
      </c>
      <c r="AP238" s="194">
        <f t="shared" ca="1" si="83"/>
        <v>8.0587932145402483</v>
      </c>
    </row>
    <row r="239" spans="1:42">
      <c r="A239" s="59" t="str">
        <f>'[4]TS BYDem'!A178</f>
        <v/>
      </c>
      <c r="B239" s="194" t="s">
        <v>288</v>
      </c>
      <c r="C239" s="194" t="s">
        <v>137</v>
      </c>
      <c r="D239" s="194" t="str">
        <f>'[4]TS BYDem'!D178</f>
        <v>IOTF</v>
      </c>
      <c r="E239" s="194" t="s">
        <v>137</v>
      </c>
      <c r="F239" s="194" t="s">
        <v>137</v>
      </c>
      <c r="G239" s="194" t="s">
        <v>137</v>
      </c>
      <c r="H239" s="194" t="s">
        <v>137</v>
      </c>
      <c r="I239" s="194">
        <v>0</v>
      </c>
      <c r="J239" s="194">
        <f>INDEX('[4]TS BYDem'!$J$10:$J$203,MATCH(D239,'[4]TS BYDem'!$D$10:$D$203,0))</f>
        <v>1.8465243407674456</v>
      </c>
      <c r="K239" s="194">
        <f t="shared" ca="1" si="82"/>
        <v>1.8945888597012226</v>
      </c>
      <c r="L239" s="194">
        <f t="shared" ca="1" si="82"/>
        <v>1.9261091478111381</v>
      </c>
      <c r="M239" s="201">
        <f t="shared" si="84"/>
        <v>1.0010822400000001</v>
      </c>
      <c r="N239" s="201">
        <f t="shared" si="85"/>
        <v>1.0010822400000001</v>
      </c>
      <c r="O239" s="201">
        <f>INDEX('[4]TS BYDem'!$O$10:$O$203,MATCH(D239,'[4]TS BYDem'!$D$10:$D$203,0))</f>
        <v>1.0010822400000001</v>
      </c>
      <c r="P239" s="194">
        <f t="shared" ca="1" si="82"/>
        <v>1.0098031591732006</v>
      </c>
      <c r="Q239" s="194">
        <f t="shared" ca="1" si="82"/>
        <v>1.009525675381326</v>
      </c>
      <c r="R239" s="194">
        <f t="shared" ca="1" si="82"/>
        <v>0.91268383201710646</v>
      </c>
      <c r="S239" s="194">
        <f t="shared" ca="1" si="82"/>
        <v>0.93825198141126176</v>
      </c>
      <c r="T239" s="194">
        <f t="shared" ca="1" si="82"/>
        <v>0.96163990101211705</v>
      </c>
      <c r="U239" s="194">
        <f t="shared" ca="1" si="82"/>
        <v>0.98439357194583066</v>
      </c>
      <c r="V239" s="194">
        <f t="shared" ca="1" si="82"/>
        <v>1.0061958698788316</v>
      </c>
      <c r="W239" s="194">
        <f t="shared" ca="1" si="82"/>
        <v>1.0291081029793305</v>
      </c>
      <c r="X239" s="194">
        <f t="shared" ca="1" si="82"/>
        <v>1.0580853389593732</v>
      </c>
      <c r="Y239" s="194">
        <f t="shared" ca="1" si="82"/>
        <v>1.0866661695224522</v>
      </c>
      <c r="Z239" s="194">
        <f t="shared" ca="1" si="82"/>
        <v>1.1163965757947261</v>
      </c>
      <c r="AA239" s="194">
        <f t="shared" ca="1" si="83"/>
        <v>1.1465233874839633</v>
      </c>
      <c r="AB239" s="194">
        <f t="shared" ca="1" si="83"/>
        <v>1.1774033694654316</v>
      </c>
      <c r="AC239" s="194">
        <f t="shared" ca="1" si="83"/>
        <v>1.2115735164076982</v>
      </c>
      <c r="AD239" s="194">
        <f t="shared" ca="1" si="83"/>
        <v>1.2443562443905922</v>
      </c>
      <c r="AE239" s="194">
        <f t="shared" ca="1" si="83"/>
        <v>1.2806273400427661</v>
      </c>
      <c r="AF239" s="194">
        <f t="shared" ca="1" si="83"/>
        <v>1.3195147114469001</v>
      </c>
      <c r="AG239" s="194">
        <f t="shared" ca="1" si="83"/>
        <v>1.3607408748111196</v>
      </c>
      <c r="AH239" s="194">
        <f t="shared" ca="1" si="83"/>
        <v>1.4036319409265865</v>
      </c>
      <c r="AI239" s="194">
        <f t="shared" ca="1" si="83"/>
        <v>1.4480689881682116</v>
      </c>
      <c r="AJ239" s="194">
        <f t="shared" ca="1" si="83"/>
        <v>1.4929420813684966</v>
      </c>
      <c r="AK239" s="194">
        <f t="shared" ca="1" si="83"/>
        <v>1.5394800773200292</v>
      </c>
      <c r="AL239" s="194">
        <f t="shared" ca="1" si="83"/>
        <v>1.5887532706486109</v>
      </c>
      <c r="AM239" s="194">
        <f t="shared" ca="1" si="83"/>
        <v>1.8620748056450473</v>
      </c>
      <c r="AN239" s="194">
        <f t="shared" ca="1" si="83"/>
        <v>2.2068682373200299</v>
      </c>
      <c r="AO239" s="194">
        <f t="shared" ca="1" si="83"/>
        <v>2.8130712212116928</v>
      </c>
      <c r="AP239" s="194">
        <f t="shared" ca="1" si="83"/>
        <v>3.4311861878830983</v>
      </c>
    </row>
    <row r="240" spans="1:42">
      <c r="A240" s="59" t="str">
        <f>'[4]TS BYDem'!A179</f>
        <v/>
      </c>
      <c r="B240" s="194" t="s">
        <v>288</v>
      </c>
      <c r="C240" s="194" t="s">
        <v>137</v>
      </c>
      <c r="D240" s="194" t="str">
        <f>'[4]TS BYDem'!D179</f>
        <v>IOTO</v>
      </c>
      <c r="E240" s="194" t="s">
        <v>137</v>
      </c>
      <c r="F240" s="194" t="s">
        <v>137</v>
      </c>
      <c r="G240" s="194" t="s">
        <v>137</v>
      </c>
      <c r="H240" s="194" t="s">
        <v>137</v>
      </c>
      <c r="I240" s="194">
        <v>0</v>
      </c>
      <c r="J240" s="194">
        <f>INDEX('[4]TS BYDem'!$J$10:$J$203,MATCH(D240,'[4]TS BYDem'!$D$10:$D$203,0))</f>
        <v>12.304490923310874</v>
      </c>
      <c r="K240" s="194">
        <f t="shared" ca="1" si="82"/>
        <v>12.624773425900665</v>
      </c>
      <c r="L240" s="194">
        <f t="shared" ca="1" si="82"/>
        <v>12.834811869687117</v>
      </c>
      <c r="M240" s="201">
        <f t="shared" si="84"/>
        <v>6.6708069120000006</v>
      </c>
      <c r="N240" s="201">
        <f t="shared" si="85"/>
        <v>6.6708069120000006</v>
      </c>
      <c r="O240" s="201">
        <f>INDEX('[4]TS BYDem'!$O$10:$O$203,MATCH(D240,'[4]TS BYDem'!$D$10:$D$203,0))</f>
        <v>6.6708069120000006</v>
      </c>
      <c r="P240" s="194">
        <f t="shared" ca="1" si="82"/>
        <v>6.7289195880370656</v>
      </c>
      <c r="Q240" s="194">
        <f t="shared" ca="1" si="82"/>
        <v>6.7270705483449769</v>
      </c>
      <c r="R240" s="194">
        <f t="shared" ca="1" si="82"/>
        <v>6.0817556958061312</v>
      </c>
      <c r="S240" s="194">
        <f t="shared" ca="1" si="82"/>
        <v>6.2521314960057026</v>
      </c>
      <c r="T240" s="194">
        <f t="shared" ca="1" si="82"/>
        <v>6.4079791271960085</v>
      </c>
      <c r="U240" s="194">
        <f t="shared" ca="1" si="82"/>
        <v>6.5596003819472566</v>
      </c>
      <c r="V240" s="194">
        <f t="shared" ca="1" si="82"/>
        <v>6.7048820720399158</v>
      </c>
      <c r="W240" s="194">
        <f t="shared" ca="1" si="82"/>
        <v>6.8575599209009281</v>
      </c>
      <c r="X240" s="194">
        <f t="shared" ca="1" si="82"/>
        <v>7.0506524944604427</v>
      </c>
      <c r="Y240" s="194">
        <f t="shared" ca="1" si="82"/>
        <v>7.241103582745545</v>
      </c>
      <c r="Z240" s="194">
        <f t="shared" ca="1" si="82"/>
        <v>7.4392149783264436</v>
      </c>
      <c r="AA240" s="194">
        <f t="shared" ca="1" si="83"/>
        <v>7.6399678591817537</v>
      </c>
      <c r="AB240" s="194">
        <f t="shared" ca="1" si="83"/>
        <v>7.845739562058446</v>
      </c>
      <c r="AC240" s="194">
        <f t="shared" ca="1" si="83"/>
        <v>8.0734355927127588</v>
      </c>
      <c r="AD240" s="194">
        <f t="shared" ca="1" si="83"/>
        <v>8.2918864249066306</v>
      </c>
      <c r="AE240" s="194">
        <f t="shared" ca="1" si="83"/>
        <v>8.533582327515326</v>
      </c>
      <c r="AF240" s="194">
        <f t="shared" ca="1" si="83"/>
        <v>8.7927120329351407</v>
      </c>
      <c r="AG240" s="194">
        <f t="shared" ca="1" si="83"/>
        <v>9.0674265014739852</v>
      </c>
      <c r="AH240" s="194">
        <f t="shared" ca="1" si="83"/>
        <v>9.353235208165362</v>
      </c>
      <c r="AI240" s="194">
        <f t="shared" ca="1" si="83"/>
        <v>9.6493457074269458</v>
      </c>
      <c r="AJ240" s="194">
        <f t="shared" ca="1" si="83"/>
        <v>9.9483618404903797</v>
      </c>
      <c r="AK240" s="194">
        <f t="shared" ca="1" si="83"/>
        <v>10.258472211706346</v>
      </c>
      <c r="AL240" s="194">
        <f t="shared" ca="1" si="83"/>
        <v>10.586808831315755</v>
      </c>
      <c r="AM240" s="194">
        <f t="shared" ca="1" si="83"/>
        <v>12.408112928022812</v>
      </c>
      <c r="AN240" s="194">
        <f t="shared" ca="1" si="83"/>
        <v>14.705676819706348</v>
      </c>
      <c r="AO240" s="194">
        <f t="shared" ca="1" si="83"/>
        <v>18.74516817560087</v>
      </c>
      <c r="AP240" s="194">
        <f t="shared" ca="1" si="83"/>
        <v>22.864036163991376</v>
      </c>
    </row>
    <row r="241" spans="1:42">
      <c r="A241" s="59" t="str">
        <f>'[4]TS BYDem'!A180</f>
        <v/>
      </c>
      <c r="B241" s="194" t="s">
        <v>288</v>
      </c>
      <c r="C241" s="194" t="s">
        <v>137</v>
      </c>
      <c r="D241" s="194" t="str">
        <f>'[4]TS BYDem'!D180</f>
        <v>IOTE</v>
      </c>
      <c r="E241" s="194" t="s">
        <v>137</v>
      </c>
      <c r="F241" s="194" t="s">
        <v>137</v>
      </c>
      <c r="G241" s="194" t="s">
        <v>137</v>
      </c>
      <c r="H241" s="194" t="s">
        <v>137</v>
      </c>
      <c r="I241" s="194">
        <v>0</v>
      </c>
      <c r="J241" s="194">
        <f>INDEX('[4]TS BYDem'!$J$10:$J$203,MATCH(D241,'[4]TS BYDem'!$D$10:$D$203,0))</f>
        <v>0.41264064265496897</v>
      </c>
      <c r="K241" s="194">
        <f t="shared" ca="1" si="82"/>
        <v>0.42338156469095606</v>
      </c>
      <c r="L241" s="194">
        <f t="shared" ca="1" si="82"/>
        <v>0.43042536674391985</v>
      </c>
      <c r="M241" s="201">
        <f t="shared" si="84"/>
        <v>0.22371068160000002</v>
      </c>
      <c r="N241" s="201">
        <f t="shared" si="85"/>
        <v>0.22371068160000002</v>
      </c>
      <c r="O241" s="201">
        <f>INDEX('[4]TS BYDem'!$O$10:$O$203,MATCH(D241,'[4]TS BYDem'!$D$10:$D$203,0))</f>
        <v>0.22371068160000002</v>
      </c>
      <c r="P241" s="194">
        <f t="shared" ca="1" si="82"/>
        <v>0.22565953524504639</v>
      </c>
      <c r="Q241" s="194">
        <f t="shared" ca="1" si="82"/>
        <v>0.22559752626543128</v>
      </c>
      <c r="R241" s="194">
        <f t="shared" ca="1" si="82"/>
        <v>0.20395639237975771</v>
      </c>
      <c r="S241" s="194">
        <f t="shared" ca="1" si="82"/>
        <v>0.20967007693000717</v>
      </c>
      <c r="T241" s="194">
        <f t="shared" ca="1" si="82"/>
        <v>0.21489654806899502</v>
      </c>
      <c r="U241" s="194">
        <f t="shared" ca="1" si="82"/>
        <v>0.21998128439743411</v>
      </c>
      <c r="V241" s="194">
        <f t="shared" ca="1" si="82"/>
        <v>0.22485341851004997</v>
      </c>
      <c r="W241" s="194">
        <f t="shared" ca="1" si="82"/>
        <v>0.22997358854112623</v>
      </c>
      <c r="X241" s="194">
        <f t="shared" ca="1" si="82"/>
        <v>0.23644909769807562</v>
      </c>
      <c r="Y241" s="194">
        <f t="shared" ca="1" si="82"/>
        <v>0.24283602259843198</v>
      </c>
      <c r="Z241" s="194">
        <f t="shared" ca="1" si="82"/>
        <v>0.24947984184290814</v>
      </c>
      <c r="AA241" s="194">
        <f t="shared" ca="1" si="83"/>
        <v>0.2562122453439773</v>
      </c>
      <c r="AB241" s="194">
        <f t="shared" ca="1" si="83"/>
        <v>0.26311295893257314</v>
      </c>
      <c r="AC241" s="194">
        <f t="shared" ca="1" si="83"/>
        <v>0.27074892185089106</v>
      </c>
      <c r="AD241" s="194">
        <f t="shared" ca="1" si="83"/>
        <v>0.27807483987113346</v>
      </c>
      <c r="AE241" s="194">
        <f t="shared" ca="1" si="83"/>
        <v>0.28618029934939432</v>
      </c>
      <c r="AF241" s="194">
        <f t="shared" ca="1" si="83"/>
        <v>0.29487041492116906</v>
      </c>
      <c r="AG241" s="194">
        <f t="shared" ca="1" si="83"/>
        <v>0.30408317760684261</v>
      </c>
      <c r="AH241" s="194">
        <f t="shared" ca="1" si="83"/>
        <v>0.31366799417020685</v>
      </c>
      <c r="AI241" s="194">
        <f t="shared" ca="1" si="83"/>
        <v>0.32359828933428386</v>
      </c>
      <c r="AJ241" s="194">
        <f t="shared" ca="1" si="83"/>
        <v>0.33362602718061313</v>
      </c>
      <c r="AK241" s="194">
        <f t="shared" ca="1" si="83"/>
        <v>0.34402581890463313</v>
      </c>
      <c r="AL241" s="194">
        <f t="shared" ca="1" si="83"/>
        <v>0.35503684199914493</v>
      </c>
      <c r="AM241" s="194">
        <f t="shared" ca="1" si="83"/>
        <v>0.41611568692002876</v>
      </c>
      <c r="AN241" s="194">
        <f t="shared" ca="1" si="83"/>
        <v>0.49316627330463325</v>
      </c>
      <c r="AO241" s="194">
        <f t="shared" ca="1" si="83"/>
        <v>0.62863374769950187</v>
      </c>
      <c r="AP241" s="194">
        <f t="shared" ca="1" si="83"/>
        <v>0.76676317900498725</v>
      </c>
    </row>
    <row r="242" spans="1:42">
      <c r="A242" s="59" t="str">
        <f>'[4]TS BYDem'!A181</f>
        <v>*</v>
      </c>
      <c r="B242" s="194" t="s">
        <v>288</v>
      </c>
      <c r="C242" s="194" t="s">
        <v>137</v>
      </c>
      <c r="D242" s="194" t="str">
        <f>'[4]TS BYDem'!D181</f>
        <v xml:space="preserve"> </v>
      </c>
      <c r="E242" s="194" t="s">
        <v>137</v>
      </c>
      <c r="F242" s="194" t="s">
        <v>137</v>
      </c>
      <c r="G242" s="194" t="s">
        <v>137</v>
      </c>
      <c r="H242" s="194" t="s">
        <v>137</v>
      </c>
      <c r="I242" s="194">
        <v>0</v>
      </c>
      <c r="J242" s="194" t="str">
        <f>INDEX('[4]TS BYDem'!$J$10:$J$203,MATCH(D242,'[4]TS BYDem'!$D$10:$D$203,0))</f>
        <v/>
      </c>
      <c r="K242" s="194" t="e">
        <f t="shared" ca="1" si="82"/>
        <v>#VALUE!</v>
      </c>
      <c r="L242" s="194" t="e">
        <f t="shared" ca="1" si="82"/>
        <v>#VALUE!</v>
      </c>
      <c r="M242" s="194" t="e">
        <f t="shared" ca="1" si="82"/>
        <v>#VALUE!</v>
      </c>
      <c r="N242" s="194" t="e">
        <f t="shared" ca="1" si="82"/>
        <v>#VALUE!</v>
      </c>
      <c r="O242" s="194" t="e">
        <f t="shared" ca="1" si="82"/>
        <v>#VALUE!</v>
      </c>
      <c r="P242" s="194" t="e">
        <f t="shared" ca="1" si="82"/>
        <v>#VALUE!</v>
      </c>
      <c r="Q242" s="194" t="e">
        <f t="shared" ca="1" si="82"/>
        <v>#VALUE!</v>
      </c>
      <c r="R242" s="194" t="e">
        <f t="shared" ca="1" si="82"/>
        <v>#VALUE!</v>
      </c>
      <c r="S242" s="194" t="e">
        <f t="shared" ca="1" si="82"/>
        <v>#VALUE!</v>
      </c>
      <c r="T242" s="194" t="e">
        <f t="shared" ca="1" si="82"/>
        <v>#VALUE!</v>
      </c>
      <c r="U242" s="194" t="e">
        <f t="shared" ca="1" si="82"/>
        <v>#VALUE!</v>
      </c>
      <c r="V242" s="194" t="e">
        <f t="shared" ca="1" si="82"/>
        <v>#VALUE!</v>
      </c>
      <c r="W242" s="194" t="e">
        <f t="shared" ca="1" si="82"/>
        <v>#VALUE!</v>
      </c>
      <c r="X242" s="194" t="e">
        <f t="shared" ca="1" si="82"/>
        <v>#VALUE!</v>
      </c>
      <c r="Y242" s="194" t="e">
        <f t="shared" ca="1" si="82"/>
        <v>#VALUE!</v>
      </c>
      <c r="Z242" s="194" t="e">
        <f t="shared" ca="1" si="82"/>
        <v>#VALUE!</v>
      </c>
      <c r="AA242" s="194" t="e">
        <f t="shared" ca="1" si="83"/>
        <v>#VALUE!</v>
      </c>
      <c r="AB242" s="194" t="e">
        <f t="shared" ca="1" si="83"/>
        <v>#VALUE!</v>
      </c>
      <c r="AC242" s="194" t="e">
        <f t="shared" ca="1" si="83"/>
        <v>#VALUE!</v>
      </c>
      <c r="AD242" s="194" t="e">
        <f t="shared" ca="1" si="83"/>
        <v>#VALUE!</v>
      </c>
      <c r="AE242" s="194" t="e">
        <f t="shared" ca="1" si="83"/>
        <v>#VALUE!</v>
      </c>
      <c r="AF242" s="194" t="e">
        <f t="shared" ca="1" si="83"/>
        <v>#VALUE!</v>
      </c>
      <c r="AG242" s="194" t="e">
        <f t="shared" ca="1" si="83"/>
        <v>#VALUE!</v>
      </c>
      <c r="AH242" s="194" t="e">
        <f t="shared" ca="1" si="83"/>
        <v>#VALUE!</v>
      </c>
      <c r="AI242" s="194" t="e">
        <f t="shared" ca="1" si="83"/>
        <v>#VALUE!</v>
      </c>
      <c r="AJ242" s="194" t="e">
        <f t="shared" ca="1" si="83"/>
        <v>#VALUE!</v>
      </c>
      <c r="AK242" s="194" t="e">
        <f t="shared" ca="1" si="83"/>
        <v>#VALUE!</v>
      </c>
      <c r="AL242" s="194" t="e">
        <f t="shared" ca="1" si="83"/>
        <v>#VALUE!</v>
      </c>
      <c r="AM242" s="194" t="e">
        <f t="shared" ca="1" si="83"/>
        <v>#VALUE!</v>
      </c>
      <c r="AN242" s="194" t="e">
        <f t="shared" ca="1" si="83"/>
        <v>#VALUE!</v>
      </c>
      <c r="AO242" s="194" t="e">
        <f t="shared" ca="1" si="83"/>
        <v>#VALUE!</v>
      </c>
      <c r="AP242" s="194" t="e">
        <f t="shared" ca="1" si="83"/>
        <v>#VALUE!</v>
      </c>
    </row>
    <row r="243" spans="1:42">
      <c r="A243" s="59" t="str">
        <f>'[4]TS BYDem'!A182</f>
        <v/>
      </c>
      <c r="B243" s="194" t="s">
        <v>288</v>
      </c>
      <c r="C243" s="194" t="s">
        <v>137</v>
      </c>
      <c r="D243" s="194" t="str">
        <f>'[4]TS BYDem'!D182</f>
        <v>IOTS</v>
      </c>
      <c r="E243" s="194" t="s">
        <v>137</v>
      </c>
      <c r="F243" s="194" t="s">
        <v>137</v>
      </c>
      <c r="G243" s="194" t="s">
        <v>137</v>
      </c>
      <c r="H243" s="194" t="s">
        <v>137</v>
      </c>
      <c r="I243" s="194">
        <v>0</v>
      </c>
      <c r="J243" s="194">
        <f>INDEX('[4]TS BYDem'!$J$10:$J$203,MATCH(D243,'[4]TS BYDem'!$D$10:$D$203,0))</f>
        <v>73.690487252999532</v>
      </c>
      <c r="K243" s="194">
        <f t="shared" ca="1" si="82"/>
        <v>75.608630296994804</v>
      </c>
      <c r="L243" s="194">
        <f t="shared" ca="1" si="82"/>
        <v>76.866531608065117</v>
      </c>
      <c r="M243" s="201">
        <f t="shared" ref="M243" si="86">O243</f>
        <v>61.561340800000004</v>
      </c>
      <c r="N243" s="201">
        <f t="shared" ref="N243" si="87">O243</f>
        <v>61.561340800000004</v>
      </c>
      <c r="O243" s="201">
        <f>INDEX('[4]TS BYDem'!$O$10:$O$203,MATCH(D243,'[4]TS BYDem'!$D$10:$D$203,0))</f>
        <v>61.561340800000004</v>
      </c>
      <c r="P243" s="194">
        <f t="shared" ca="1" si="82"/>
        <v>62.097631881650443</v>
      </c>
      <c r="Q243" s="194">
        <f t="shared" ca="1" si="82"/>
        <v>62.080568074507021</v>
      </c>
      <c r="R243" s="194">
        <f t="shared" ca="1" si="82"/>
        <v>56.125299381452457</v>
      </c>
      <c r="S243" s="194">
        <f t="shared" ca="1" si="82"/>
        <v>57.69760732538213</v>
      </c>
      <c r="T243" s="194">
        <f t="shared" ca="1" si="82"/>
        <v>59.135842498899194</v>
      </c>
      <c r="U243" s="194">
        <f t="shared" ca="1" si="82"/>
        <v>60.535074684659875</v>
      </c>
      <c r="V243" s="194">
        <f t="shared" ca="1" si="82"/>
        <v>61.875802388785964</v>
      </c>
      <c r="W243" s="194">
        <f t="shared" ca="1" si="82"/>
        <v>63.284785321485735</v>
      </c>
      <c r="X243" s="194">
        <f t="shared" ca="1" si="82"/>
        <v>65.066734324606031</v>
      </c>
      <c r="Y243" s="194">
        <f t="shared" ca="1" si="82"/>
        <v>66.82430646037858</v>
      </c>
      <c r="Z243" s="194">
        <f t="shared" ca="1" si="82"/>
        <v>68.652571511459598</v>
      </c>
      <c r="AA243" s="194">
        <f t="shared" ca="1" si="83"/>
        <v>70.505213429888357</v>
      </c>
      <c r="AB243" s="194">
        <f t="shared" ca="1" si="83"/>
        <v>72.404171396277832</v>
      </c>
      <c r="AC243" s="194">
        <f t="shared" ca="1" si="83"/>
        <v>74.505457361653612</v>
      </c>
      <c r="AD243" s="194">
        <f t="shared" ca="1" si="83"/>
        <v>76.521424291312286</v>
      </c>
      <c r="AE243" s="194">
        <f t="shared" ca="1" si="83"/>
        <v>78.751907653631122</v>
      </c>
      <c r="AF243" s="194">
        <f t="shared" ca="1" si="83"/>
        <v>81.143278340445079</v>
      </c>
      <c r="AG243" s="194">
        <f t="shared" ca="1" si="83"/>
        <v>83.678472544610756</v>
      </c>
      <c r="AH243" s="194">
        <f t="shared" ca="1" si="83"/>
        <v>86.316049591636968</v>
      </c>
      <c r="AI243" s="194">
        <f t="shared" ca="1" si="83"/>
        <v>89.048696421319406</v>
      </c>
      <c r="AJ243" s="194">
        <f t="shared" ca="1" si="83"/>
        <v>91.808157805084349</v>
      </c>
      <c r="AK243" s="194">
        <f t="shared" ca="1" si="83"/>
        <v>94.670002031709842</v>
      </c>
      <c r="AL243" s="194">
        <f t="shared" ca="1" si="83"/>
        <v>97.700046643034796</v>
      </c>
      <c r="AM243" s="194">
        <f t="shared" ca="1" si="83"/>
        <v>114.50789667930628</v>
      </c>
      <c r="AN243" s="194">
        <f t="shared" ca="1" si="83"/>
        <v>135.71089589837655</v>
      </c>
      <c r="AO243" s="194">
        <f t="shared" ca="1" si="83"/>
        <v>172.98922028991859</v>
      </c>
      <c r="AP243" s="194">
        <f t="shared" ca="1" si="83"/>
        <v>211.00006954525952</v>
      </c>
    </row>
    <row r="244" spans="1:42">
      <c r="A244" s="59" t="str">
        <f>'[4]TS BYDem'!A183</f>
        <v>*</v>
      </c>
      <c r="B244" s="194" t="s">
        <v>288</v>
      </c>
      <c r="C244" s="194" t="s">
        <v>137</v>
      </c>
      <c r="D244" s="194" t="str">
        <f>'[4]TS BYDem'!D183</f>
        <v>IOTS</v>
      </c>
      <c r="E244" s="194" t="s">
        <v>137</v>
      </c>
      <c r="F244" s="194" t="s">
        <v>137</v>
      </c>
      <c r="G244" s="194" t="s">
        <v>137</v>
      </c>
      <c r="H244" s="194" t="s">
        <v>137</v>
      </c>
      <c r="I244" s="194">
        <v>0</v>
      </c>
      <c r="J244" s="194">
        <f>INDEX('[4]TS BYDem'!$J$10:$J$203,MATCH(D244,'[4]TS BYDem'!$D$10:$D$203,0))</f>
        <v>73.690487252999532</v>
      </c>
      <c r="K244" s="194">
        <f t="shared" ca="1" si="82"/>
        <v>75.608630296994804</v>
      </c>
      <c r="L244" s="194">
        <f t="shared" ca="1" si="82"/>
        <v>76.866531608065117</v>
      </c>
      <c r="M244" s="194">
        <f t="shared" ca="1" si="82"/>
        <v>77.748939990457714</v>
      </c>
      <c r="N244" s="194">
        <f t="shared" ca="1" si="82"/>
        <v>78.56250800259275</v>
      </c>
      <c r="O244" s="194">
        <f t="shared" ca="1" si="82"/>
        <v>79.022486840222939</v>
      </c>
      <c r="P244" s="194">
        <f t="shared" ca="1" si="82"/>
        <v>79.710890542798751</v>
      </c>
      <c r="Q244" s="194">
        <f t="shared" ca="1" si="82"/>
        <v>79.688986788625883</v>
      </c>
      <c r="R244" s="194">
        <f t="shared" ca="1" si="82"/>
        <v>72.044576582295619</v>
      </c>
      <c r="S244" s="194">
        <f t="shared" ca="1" si="82"/>
        <v>74.062851073938276</v>
      </c>
      <c r="T244" s="194">
        <f t="shared" ca="1" si="82"/>
        <v>75.909024639936987</v>
      </c>
      <c r="U244" s="194">
        <f t="shared" ca="1" si="82"/>
        <v>77.70513248211202</v>
      </c>
      <c r="V244" s="194">
        <f t="shared" ca="1" si="82"/>
        <v>79.426141738551507</v>
      </c>
      <c r="W244" s="194">
        <f t="shared" ca="1" si="82"/>
        <v>81.234766011682453</v>
      </c>
      <c r="X244" s="194">
        <f t="shared" ca="1" si="82"/>
        <v>83.52214376887747</v>
      </c>
      <c r="Y244" s="194">
        <f t="shared" ca="1" si="82"/>
        <v>85.778230448682663</v>
      </c>
      <c r="Z244" s="194">
        <f t="shared" ca="1" si="82"/>
        <v>88.125061252918329</v>
      </c>
      <c r="AA244" s="194">
        <f t="shared" ca="1" si="83"/>
        <v>90.503183134543789</v>
      </c>
      <c r="AB244" s="194">
        <f t="shared" ca="1" si="83"/>
        <v>92.940758063209884</v>
      </c>
      <c r="AC244" s="194">
        <f t="shared" ca="1" si="83"/>
        <v>95.638048934211398</v>
      </c>
      <c r="AD244" s="194">
        <f t="shared" ca="1" si="83"/>
        <v>98.225821034348598</v>
      </c>
      <c r="AE244" s="194">
        <f t="shared" ca="1" si="83"/>
        <v>101.08895461551609</v>
      </c>
      <c r="AF244" s="194">
        <f t="shared" ca="1" si="83"/>
        <v>104.15860930745632</v>
      </c>
      <c r="AG244" s="194">
        <f t="shared" ca="1" si="83"/>
        <v>107.41288135599642</v>
      </c>
      <c r="AH244" s="194">
        <f t="shared" ca="1" si="83"/>
        <v>110.79857592957373</v>
      </c>
      <c r="AI244" s="194">
        <f t="shared" ca="1" si="83"/>
        <v>114.30630570497129</v>
      </c>
      <c r="AJ244" s="194">
        <f t="shared" ca="1" si="83"/>
        <v>117.84845566549764</v>
      </c>
      <c r="AK244" s="194">
        <f t="shared" ca="1" si="83"/>
        <v>121.52202815106119</v>
      </c>
      <c r="AL244" s="194">
        <f t="shared" ca="1" si="83"/>
        <v>125.41150907061443</v>
      </c>
      <c r="AM244" s="194">
        <f t="shared" ca="1" si="83"/>
        <v>146.98670693088755</v>
      </c>
      <c r="AN244" s="194">
        <f t="shared" ca="1" si="83"/>
        <v>174.20368604454319</v>
      </c>
      <c r="AO244" s="194">
        <f t="shared" ca="1" si="83"/>
        <v>222.05556614290833</v>
      </c>
      <c r="AP244" s="194">
        <f t="shared" ca="1" si="83"/>
        <v>270.84774311683606</v>
      </c>
    </row>
    <row r="245" spans="1:42">
      <c r="A245" s="59" t="str">
        <f>'[4]TS BYDem'!A184</f>
        <v>*</v>
      </c>
      <c r="B245" s="194" t="s">
        <v>288</v>
      </c>
      <c r="C245" s="194" t="s">
        <v>137</v>
      </c>
      <c r="D245" s="194" t="str">
        <f>'[4]TS BYDem'!D184</f>
        <v>IOTS</v>
      </c>
      <c r="E245" s="194" t="s">
        <v>137</v>
      </c>
      <c r="F245" s="194" t="s">
        <v>137</v>
      </c>
      <c r="G245" s="194" t="s">
        <v>137</v>
      </c>
      <c r="H245" s="194" t="s">
        <v>137</v>
      </c>
      <c r="I245" s="194">
        <v>0</v>
      </c>
      <c r="J245" s="194">
        <f>INDEX('[4]TS BYDem'!$J$10:$J$203,MATCH(D245,'[4]TS BYDem'!$D$10:$D$203,0))</f>
        <v>73.690487252999532</v>
      </c>
      <c r="K245" s="194">
        <f t="shared" ca="1" si="82"/>
        <v>75.608630296994804</v>
      </c>
      <c r="L245" s="194">
        <f t="shared" ca="1" si="82"/>
        <v>76.866531608065117</v>
      </c>
      <c r="M245" s="194">
        <f t="shared" ca="1" si="82"/>
        <v>77.748939990457714</v>
      </c>
      <c r="N245" s="194">
        <f t="shared" ca="1" si="82"/>
        <v>78.56250800259275</v>
      </c>
      <c r="O245" s="194">
        <f t="shared" ca="1" si="82"/>
        <v>79.022486840222939</v>
      </c>
      <c r="P245" s="194">
        <f t="shared" ca="1" si="82"/>
        <v>79.710890542798751</v>
      </c>
      <c r="Q245" s="194">
        <f t="shared" ca="1" si="82"/>
        <v>79.688986788625883</v>
      </c>
      <c r="R245" s="194">
        <f t="shared" ca="1" si="82"/>
        <v>72.044576582295619</v>
      </c>
      <c r="S245" s="194">
        <f t="shared" ca="1" si="82"/>
        <v>74.062851073938276</v>
      </c>
      <c r="T245" s="194">
        <f t="shared" ca="1" si="82"/>
        <v>75.909024639936987</v>
      </c>
      <c r="U245" s="194">
        <f t="shared" ca="1" si="82"/>
        <v>77.70513248211202</v>
      </c>
      <c r="V245" s="194">
        <f t="shared" ca="1" si="82"/>
        <v>79.426141738551507</v>
      </c>
      <c r="W245" s="194">
        <f t="shared" ca="1" si="82"/>
        <v>81.234766011682453</v>
      </c>
      <c r="X245" s="194">
        <f t="shared" ca="1" si="82"/>
        <v>83.52214376887747</v>
      </c>
      <c r="Y245" s="194">
        <f t="shared" ca="1" si="82"/>
        <v>85.778230448682663</v>
      </c>
      <c r="Z245" s="194">
        <f t="shared" ca="1" si="82"/>
        <v>88.125061252918329</v>
      </c>
      <c r="AA245" s="194">
        <f t="shared" ca="1" si="83"/>
        <v>90.503183134543789</v>
      </c>
      <c r="AB245" s="194">
        <f t="shared" ca="1" si="83"/>
        <v>92.940758063209884</v>
      </c>
      <c r="AC245" s="194">
        <f t="shared" ca="1" si="83"/>
        <v>95.638048934211398</v>
      </c>
      <c r="AD245" s="194">
        <f t="shared" ca="1" si="83"/>
        <v>98.225821034348598</v>
      </c>
      <c r="AE245" s="194">
        <f t="shared" ca="1" si="83"/>
        <v>101.08895461551609</v>
      </c>
      <c r="AF245" s="194">
        <f t="shared" ca="1" si="83"/>
        <v>104.15860930745632</v>
      </c>
      <c r="AG245" s="194">
        <f t="shared" ca="1" si="83"/>
        <v>107.41288135599642</v>
      </c>
      <c r="AH245" s="194">
        <f t="shared" ca="1" si="83"/>
        <v>110.79857592957373</v>
      </c>
      <c r="AI245" s="194">
        <f t="shared" ca="1" si="83"/>
        <v>114.30630570497129</v>
      </c>
      <c r="AJ245" s="194">
        <f t="shared" ca="1" si="83"/>
        <v>117.84845566549764</v>
      </c>
      <c r="AK245" s="194">
        <f t="shared" ca="1" si="83"/>
        <v>121.52202815106119</v>
      </c>
      <c r="AL245" s="194">
        <f t="shared" ca="1" si="83"/>
        <v>125.41150907061443</v>
      </c>
      <c r="AM245" s="194">
        <f t="shared" ca="1" si="83"/>
        <v>146.98670693088755</v>
      </c>
      <c r="AN245" s="194">
        <f t="shared" ca="1" si="83"/>
        <v>174.20368604454319</v>
      </c>
      <c r="AO245" s="194">
        <f t="shared" ca="1" si="83"/>
        <v>222.05556614290833</v>
      </c>
      <c r="AP245" s="194">
        <f t="shared" ca="1" si="83"/>
        <v>270.84774311683606</v>
      </c>
    </row>
    <row r="246" spans="1:42">
      <c r="A246" s="59" t="str">
        <f>'[4]TS BYDem'!A185</f>
        <v>*</v>
      </c>
      <c r="B246" s="194" t="s">
        <v>288</v>
      </c>
      <c r="C246" s="194" t="s">
        <v>137</v>
      </c>
      <c r="D246" s="194" t="str">
        <f>'[4]TS BYDem'!D185</f>
        <v>IOTS</v>
      </c>
      <c r="E246" s="194" t="s">
        <v>137</v>
      </c>
      <c r="F246" s="194" t="s">
        <v>137</v>
      </c>
      <c r="G246" s="194" t="s">
        <v>137</v>
      </c>
      <c r="H246" s="194" t="s">
        <v>137</v>
      </c>
      <c r="I246" s="194">
        <v>0</v>
      </c>
      <c r="J246" s="194">
        <f>INDEX('[4]TS BYDem'!$J$10:$J$203,MATCH(D246,'[4]TS BYDem'!$D$10:$D$203,0))</f>
        <v>73.690487252999532</v>
      </c>
      <c r="K246" s="194">
        <f t="shared" ca="1" si="82"/>
        <v>75.608630296994804</v>
      </c>
      <c r="L246" s="194">
        <f t="shared" ca="1" si="82"/>
        <v>76.866531608065117</v>
      </c>
      <c r="M246" s="194">
        <f t="shared" ca="1" si="82"/>
        <v>77.748939990457714</v>
      </c>
      <c r="N246" s="194">
        <f t="shared" ca="1" si="82"/>
        <v>78.56250800259275</v>
      </c>
      <c r="O246" s="194">
        <f t="shared" ca="1" si="82"/>
        <v>79.022486840222939</v>
      </c>
      <c r="P246" s="194">
        <f t="shared" ca="1" si="82"/>
        <v>79.710890542798751</v>
      </c>
      <c r="Q246" s="194">
        <f t="shared" ca="1" si="82"/>
        <v>79.688986788625883</v>
      </c>
      <c r="R246" s="194">
        <f t="shared" ca="1" si="82"/>
        <v>72.044576582295619</v>
      </c>
      <c r="S246" s="194">
        <f t="shared" ca="1" si="82"/>
        <v>74.062851073938276</v>
      </c>
      <c r="T246" s="194">
        <f t="shared" ca="1" si="82"/>
        <v>75.909024639936987</v>
      </c>
      <c r="U246" s="194">
        <f t="shared" ca="1" si="82"/>
        <v>77.70513248211202</v>
      </c>
      <c r="V246" s="194">
        <f t="shared" ca="1" si="82"/>
        <v>79.426141738551507</v>
      </c>
      <c r="W246" s="194">
        <f t="shared" ca="1" si="82"/>
        <v>81.234766011682453</v>
      </c>
      <c r="X246" s="194">
        <f t="shared" ca="1" si="82"/>
        <v>83.52214376887747</v>
      </c>
      <c r="Y246" s="194">
        <f t="shared" ca="1" si="82"/>
        <v>85.778230448682663</v>
      </c>
      <c r="Z246" s="194">
        <f t="shared" ca="1" si="82"/>
        <v>88.125061252918329</v>
      </c>
      <c r="AA246" s="194">
        <f t="shared" ca="1" si="83"/>
        <v>90.503183134543789</v>
      </c>
      <c r="AB246" s="194">
        <f t="shared" ca="1" si="83"/>
        <v>92.940758063209884</v>
      </c>
      <c r="AC246" s="194">
        <f t="shared" ca="1" si="83"/>
        <v>95.638048934211398</v>
      </c>
      <c r="AD246" s="194">
        <f t="shared" ca="1" si="83"/>
        <v>98.225821034348598</v>
      </c>
      <c r="AE246" s="194">
        <f t="shared" ca="1" si="83"/>
        <v>101.08895461551609</v>
      </c>
      <c r="AF246" s="194">
        <f t="shared" ca="1" si="83"/>
        <v>104.15860930745632</v>
      </c>
      <c r="AG246" s="194">
        <f t="shared" ca="1" si="83"/>
        <v>107.41288135599642</v>
      </c>
      <c r="AH246" s="194">
        <f t="shared" ca="1" si="83"/>
        <v>110.79857592957373</v>
      </c>
      <c r="AI246" s="194">
        <f t="shared" ca="1" si="83"/>
        <v>114.30630570497129</v>
      </c>
      <c r="AJ246" s="194">
        <f t="shared" ca="1" si="83"/>
        <v>117.84845566549764</v>
      </c>
      <c r="AK246" s="194">
        <f t="shared" ca="1" si="83"/>
        <v>121.52202815106119</v>
      </c>
      <c r="AL246" s="194">
        <f t="shared" ca="1" si="83"/>
        <v>125.41150907061443</v>
      </c>
      <c r="AM246" s="194">
        <f t="shared" ca="1" si="83"/>
        <v>146.98670693088755</v>
      </c>
      <c r="AN246" s="194">
        <f t="shared" ca="1" si="83"/>
        <v>174.20368604454319</v>
      </c>
      <c r="AO246" s="194">
        <f t="shared" ca="1" si="83"/>
        <v>222.05556614290833</v>
      </c>
      <c r="AP246" s="194">
        <f t="shared" ref="L246:AP253" ca="1" si="88">AP$230/AO$230*AO246</f>
        <v>270.84774311683606</v>
      </c>
    </row>
    <row r="247" spans="1:42">
      <c r="A247" s="59" t="str">
        <f>'[4]TS BYDem'!A186</f>
        <v>*</v>
      </c>
      <c r="B247" s="194" t="s">
        <v>288</v>
      </c>
      <c r="C247" s="194" t="s">
        <v>137</v>
      </c>
      <c r="D247" s="194" t="str">
        <f>'[4]TS BYDem'!D186</f>
        <v>IOTS</v>
      </c>
      <c r="E247" s="194" t="s">
        <v>137</v>
      </c>
      <c r="F247" s="194" t="s">
        <v>137</v>
      </c>
      <c r="G247" s="194" t="s">
        <v>137</v>
      </c>
      <c r="H247" s="194" t="s">
        <v>137</v>
      </c>
      <c r="I247" s="194">
        <v>0</v>
      </c>
      <c r="J247" s="194">
        <f>INDEX('[4]TS BYDem'!$J$10:$J$203,MATCH(D247,'[4]TS BYDem'!$D$10:$D$203,0))</f>
        <v>73.690487252999532</v>
      </c>
      <c r="K247" s="194">
        <f t="shared" ca="1" si="82"/>
        <v>75.608630296994804</v>
      </c>
      <c r="L247" s="194">
        <f t="shared" ca="1" si="88"/>
        <v>76.866531608065117</v>
      </c>
      <c r="M247" s="194">
        <f t="shared" ca="1" si="88"/>
        <v>77.748939990457714</v>
      </c>
      <c r="N247" s="194">
        <f t="shared" ca="1" si="88"/>
        <v>78.56250800259275</v>
      </c>
      <c r="O247" s="194">
        <f t="shared" ca="1" si="88"/>
        <v>79.022486840222939</v>
      </c>
      <c r="P247" s="194">
        <f t="shared" ca="1" si="88"/>
        <v>79.710890542798751</v>
      </c>
      <c r="Q247" s="194">
        <f t="shared" ca="1" si="88"/>
        <v>79.688986788625883</v>
      </c>
      <c r="R247" s="194">
        <f t="shared" ca="1" si="88"/>
        <v>72.044576582295619</v>
      </c>
      <c r="S247" s="194">
        <f t="shared" ca="1" si="88"/>
        <v>74.062851073938276</v>
      </c>
      <c r="T247" s="194">
        <f t="shared" ca="1" si="88"/>
        <v>75.909024639936987</v>
      </c>
      <c r="U247" s="194">
        <f t="shared" ca="1" si="88"/>
        <v>77.70513248211202</v>
      </c>
      <c r="V247" s="194">
        <f t="shared" ca="1" si="88"/>
        <v>79.426141738551507</v>
      </c>
      <c r="W247" s="194">
        <f t="shared" ca="1" si="88"/>
        <v>81.234766011682453</v>
      </c>
      <c r="X247" s="194">
        <f t="shared" ca="1" si="88"/>
        <v>83.52214376887747</v>
      </c>
      <c r="Y247" s="194">
        <f t="shared" ca="1" si="88"/>
        <v>85.778230448682663</v>
      </c>
      <c r="Z247" s="194">
        <f t="shared" ca="1" si="88"/>
        <v>88.125061252918329</v>
      </c>
      <c r="AA247" s="194">
        <f t="shared" ca="1" si="88"/>
        <v>90.503183134543789</v>
      </c>
      <c r="AB247" s="194">
        <f t="shared" ca="1" si="88"/>
        <v>92.940758063209884</v>
      </c>
      <c r="AC247" s="194">
        <f t="shared" ca="1" si="88"/>
        <v>95.638048934211398</v>
      </c>
      <c r="AD247" s="194">
        <f t="shared" ca="1" si="88"/>
        <v>98.225821034348598</v>
      </c>
      <c r="AE247" s="194">
        <f t="shared" ca="1" si="88"/>
        <v>101.08895461551609</v>
      </c>
      <c r="AF247" s="194">
        <f t="shared" ca="1" si="88"/>
        <v>104.15860930745632</v>
      </c>
      <c r="AG247" s="194">
        <f t="shared" ca="1" si="88"/>
        <v>107.41288135599642</v>
      </c>
      <c r="AH247" s="194">
        <f t="shared" ca="1" si="88"/>
        <v>110.79857592957373</v>
      </c>
      <c r="AI247" s="194">
        <f t="shared" ca="1" si="88"/>
        <v>114.30630570497129</v>
      </c>
      <c r="AJ247" s="194">
        <f t="shared" ca="1" si="88"/>
        <v>117.84845566549764</v>
      </c>
      <c r="AK247" s="194">
        <f t="shared" ca="1" si="88"/>
        <v>121.52202815106119</v>
      </c>
      <c r="AL247" s="194">
        <f t="shared" ca="1" si="88"/>
        <v>125.41150907061443</v>
      </c>
      <c r="AM247" s="194">
        <f t="shared" ca="1" si="88"/>
        <v>146.98670693088755</v>
      </c>
      <c r="AN247" s="194">
        <f t="shared" ca="1" si="88"/>
        <v>174.20368604454319</v>
      </c>
      <c r="AO247" s="194">
        <f t="shared" ca="1" si="88"/>
        <v>222.05556614290833</v>
      </c>
      <c r="AP247" s="194">
        <f t="shared" ca="1" si="88"/>
        <v>270.84774311683606</v>
      </c>
    </row>
    <row r="248" spans="1:42">
      <c r="A248" s="59" t="str">
        <f>'[4]TS BYDem'!A187</f>
        <v>*</v>
      </c>
      <c r="B248" s="194" t="s">
        <v>288</v>
      </c>
      <c r="C248" s="194" t="s">
        <v>137</v>
      </c>
      <c r="D248" s="194" t="str">
        <f>'[4]TS BYDem'!D187</f>
        <v>IOTS</v>
      </c>
      <c r="E248" s="194" t="s">
        <v>137</v>
      </c>
      <c r="F248" s="194" t="s">
        <v>137</v>
      </c>
      <c r="G248" s="194" t="s">
        <v>137</v>
      </c>
      <c r="H248" s="194" t="s">
        <v>137</v>
      </c>
      <c r="I248" s="194">
        <v>0</v>
      </c>
      <c r="J248" s="194">
        <f>INDEX('[4]TS BYDem'!$J$10:$J$203,MATCH(D248,'[4]TS BYDem'!$D$10:$D$203,0))</f>
        <v>73.690487252999532</v>
      </c>
      <c r="K248" s="194">
        <f t="shared" ca="1" si="82"/>
        <v>75.608630296994804</v>
      </c>
      <c r="L248" s="194">
        <f t="shared" ca="1" si="88"/>
        <v>76.866531608065117</v>
      </c>
      <c r="M248" s="194">
        <f t="shared" ca="1" si="88"/>
        <v>77.748939990457714</v>
      </c>
      <c r="N248" s="194">
        <f t="shared" ca="1" si="88"/>
        <v>78.56250800259275</v>
      </c>
      <c r="O248" s="194">
        <f t="shared" ca="1" si="88"/>
        <v>79.022486840222939</v>
      </c>
      <c r="P248" s="194">
        <f t="shared" ca="1" si="88"/>
        <v>79.710890542798751</v>
      </c>
      <c r="Q248" s="194">
        <f t="shared" ca="1" si="88"/>
        <v>79.688986788625883</v>
      </c>
      <c r="R248" s="194">
        <f t="shared" ca="1" si="88"/>
        <v>72.044576582295619</v>
      </c>
      <c r="S248" s="194">
        <f t="shared" ca="1" si="88"/>
        <v>74.062851073938276</v>
      </c>
      <c r="T248" s="194">
        <f t="shared" ca="1" si="88"/>
        <v>75.909024639936987</v>
      </c>
      <c r="U248" s="194">
        <f t="shared" ca="1" si="88"/>
        <v>77.70513248211202</v>
      </c>
      <c r="V248" s="194">
        <f t="shared" ca="1" si="88"/>
        <v>79.426141738551507</v>
      </c>
      <c r="W248" s="194">
        <f t="shared" ca="1" si="88"/>
        <v>81.234766011682453</v>
      </c>
      <c r="X248" s="194">
        <f t="shared" ca="1" si="88"/>
        <v>83.52214376887747</v>
      </c>
      <c r="Y248" s="194">
        <f t="shared" ca="1" si="88"/>
        <v>85.778230448682663</v>
      </c>
      <c r="Z248" s="194">
        <f t="shared" ca="1" si="88"/>
        <v>88.125061252918329</v>
      </c>
      <c r="AA248" s="194">
        <f t="shared" ca="1" si="88"/>
        <v>90.503183134543789</v>
      </c>
      <c r="AB248" s="194">
        <f t="shared" ca="1" si="88"/>
        <v>92.940758063209884</v>
      </c>
      <c r="AC248" s="194">
        <f t="shared" ca="1" si="88"/>
        <v>95.638048934211398</v>
      </c>
      <c r="AD248" s="194">
        <f t="shared" ca="1" si="88"/>
        <v>98.225821034348598</v>
      </c>
      <c r="AE248" s="194">
        <f t="shared" ca="1" si="88"/>
        <v>101.08895461551609</v>
      </c>
      <c r="AF248" s="194">
        <f t="shared" ca="1" si="88"/>
        <v>104.15860930745632</v>
      </c>
      <c r="AG248" s="194">
        <f t="shared" ca="1" si="88"/>
        <v>107.41288135599642</v>
      </c>
      <c r="AH248" s="194">
        <f t="shared" ca="1" si="88"/>
        <v>110.79857592957373</v>
      </c>
      <c r="AI248" s="194">
        <f t="shared" ca="1" si="88"/>
        <v>114.30630570497129</v>
      </c>
      <c r="AJ248" s="194">
        <f t="shared" ca="1" si="88"/>
        <v>117.84845566549764</v>
      </c>
      <c r="AK248" s="194">
        <f t="shared" ca="1" si="88"/>
        <v>121.52202815106119</v>
      </c>
      <c r="AL248" s="194">
        <f t="shared" ca="1" si="88"/>
        <v>125.41150907061443</v>
      </c>
      <c r="AM248" s="194">
        <f t="shared" ca="1" si="88"/>
        <v>146.98670693088755</v>
      </c>
      <c r="AN248" s="194">
        <f t="shared" ca="1" si="88"/>
        <v>174.20368604454319</v>
      </c>
      <c r="AO248" s="194">
        <f t="shared" ca="1" si="88"/>
        <v>222.05556614290833</v>
      </c>
      <c r="AP248" s="194">
        <f t="shared" ca="1" si="88"/>
        <v>270.84774311683606</v>
      </c>
    </row>
    <row r="249" spans="1:42">
      <c r="A249" s="59" t="str">
        <f>'[4]TS BYDem'!A184</f>
        <v>*</v>
      </c>
      <c r="B249" s="194" t="s">
        <v>288</v>
      </c>
      <c r="C249" s="194" t="s">
        <v>137</v>
      </c>
      <c r="D249" s="194" t="str">
        <f>'[4]TS BYDem'!D184</f>
        <v>IOTS</v>
      </c>
      <c r="E249" s="194" t="s">
        <v>137</v>
      </c>
      <c r="F249" s="194" t="s">
        <v>137</v>
      </c>
      <c r="G249" s="194" t="s">
        <v>137</v>
      </c>
      <c r="H249" s="194" t="s">
        <v>137</v>
      </c>
      <c r="I249" s="194">
        <v>0</v>
      </c>
      <c r="J249" s="194">
        <f>INDEX('[4]TS BYDem'!$J$10:$J$203,MATCH(D249,'[4]TS BYDem'!$D$10:$D$203,0))</f>
        <v>73.690487252999532</v>
      </c>
      <c r="K249" s="194">
        <f t="shared" ca="1" si="82"/>
        <v>75.608630296994804</v>
      </c>
      <c r="L249" s="194">
        <f t="shared" ca="1" si="88"/>
        <v>76.866531608065117</v>
      </c>
      <c r="M249" s="194">
        <f t="shared" ca="1" si="88"/>
        <v>77.748939990457714</v>
      </c>
      <c r="N249" s="194">
        <f t="shared" ca="1" si="88"/>
        <v>78.56250800259275</v>
      </c>
      <c r="O249" s="194">
        <f t="shared" ca="1" si="88"/>
        <v>79.022486840222939</v>
      </c>
      <c r="P249" s="194">
        <f t="shared" ca="1" si="88"/>
        <v>79.710890542798751</v>
      </c>
      <c r="Q249" s="194">
        <f t="shared" ca="1" si="88"/>
        <v>79.688986788625883</v>
      </c>
      <c r="R249" s="194">
        <f t="shared" ca="1" si="88"/>
        <v>72.044576582295619</v>
      </c>
      <c r="S249" s="194">
        <f t="shared" ca="1" si="88"/>
        <v>74.062851073938276</v>
      </c>
      <c r="T249" s="194">
        <f t="shared" ca="1" si="88"/>
        <v>75.909024639936987</v>
      </c>
      <c r="U249" s="194">
        <f t="shared" ca="1" si="88"/>
        <v>77.70513248211202</v>
      </c>
      <c r="V249" s="194">
        <f t="shared" ca="1" si="88"/>
        <v>79.426141738551507</v>
      </c>
      <c r="W249" s="194">
        <f t="shared" ca="1" si="88"/>
        <v>81.234766011682453</v>
      </c>
      <c r="X249" s="194">
        <f t="shared" ca="1" si="88"/>
        <v>83.52214376887747</v>
      </c>
      <c r="Y249" s="194">
        <f t="shared" ca="1" si="88"/>
        <v>85.778230448682663</v>
      </c>
      <c r="Z249" s="194">
        <f t="shared" ca="1" si="88"/>
        <v>88.125061252918329</v>
      </c>
      <c r="AA249" s="194">
        <f t="shared" ca="1" si="88"/>
        <v>90.503183134543789</v>
      </c>
      <c r="AB249" s="194">
        <f t="shared" ca="1" si="88"/>
        <v>92.940758063209884</v>
      </c>
      <c r="AC249" s="194">
        <f t="shared" ca="1" si="88"/>
        <v>95.638048934211398</v>
      </c>
      <c r="AD249" s="194">
        <f t="shared" ca="1" si="88"/>
        <v>98.225821034348598</v>
      </c>
      <c r="AE249" s="194">
        <f t="shared" ca="1" si="88"/>
        <v>101.08895461551609</v>
      </c>
      <c r="AF249" s="194">
        <f t="shared" ca="1" si="88"/>
        <v>104.15860930745632</v>
      </c>
      <c r="AG249" s="194">
        <f t="shared" ca="1" si="88"/>
        <v>107.41288135599642</v>
      </c>
      <c r="AH249" s="194">
        <f t="shared" ca="1" si="88"/>
        <v>110.79857592957373</v>
      </c>
      <c r="AI249" s="194">
        <f t="shared" ca="1" si="88"/>
        <v>114.30630570497129</v>
      </c>
      <c r="AJ249" s="194">
        <f t="shared" ca="1" si="88"/>
        <v>117.84845566549764</v>
      </c>
      <c r="AK249" s="194">
        <f t="shared" ca="1" si="88"/>
        <v>121.52202815106119</v>
      </c>
      <c r="AL249" s="194">
        <f t="shared" ca="1" si="88"/>
        <v>125.41150907061443</v>
      </c>
      <c r="AM249" s="194">
        <f t="shared" ca="1" si="88"/>
        <v>146.98670693088755</v>
      </c>
      <c r="AN249" s="194">
        <f t="shared" ca="1" si="88"/>
        <v>174.20368604454319</v>
      </c>
      <c r="AO249" s="194">
        <f t="shared" ca="1" si="88"/>
        <v>222.05556614290833</v>
      </c>
      <c r="AP249" s="194">
        <f t="shared" ca="1" si="88"/>
        <v>270.84774311683606</v>
      </c>
    </row>
    <row r="250" spans="1:42">
      <c r="A250" s="59" t="str">
        <f>'[4]TS BYDem'!A185</f>
        <v>*</v>
      </c>
      <c r="B250" s="194" t="s">
        <v>288</v>
      </c>
      <c r="C250" s="194" t="s">
        <v>137</v>
      </c>
      <c r="D250" s="194" t="str">
        <f>'[4]TS BYDem'!D185</f>
        <v>IOTS</v>
      </c>
      <c r="E250" s="194" t="s">
        <v>137</v>
      </c>
      <c r="F250" s="194" t="s">
        <v>137</v>
      </c>
      <c r="G250" s="194" t="s">
        <v>137</v>
      </c>
      <c r="H250" s="194" t="s">
        <v>137</v>
      </c>
      <c r="I250" s="194">
        <v>0</v>
      </c>
      <c r="J250" s="194">
        <f>INDEX('[4]TS BYDem'!$J$10:$J$203,MATCH(D250,'[4]TS BYDem'!$D$10:$D$203,0))</f>
        <v>73.690487252999532</v>
      </c>
      <c r="K250" s="194">
        <f t="shared" ca="1" si="82"/>
        <v>75.608630296994804</v>
      </c>
      <c r="L250" s="194">
        <f t="shared" ca="1" si="88"/>
        <v>76.866531608065117</v>
      </c>
      <c r="M250" s="194">
        <f t="shared" ca="1" si="88"/>
        <v>77.748939990457714</v>
      </c>
      <c r="N250" s="194">
        <f t="shared" ca="1" si="88"/>
        <v>78.56250800259275</v>
      </c>
      <c r="O250" s="194">
        <f t="shared" ca="1" si="88"/>
        <v>79.022486840222939</v>
      </c>
      <c r="P250" s="194">
        <f t="shared" ca="1" si="88"/>
        <v>79.710890542798751</v>
      </c>
      <c r="Q250" s="194">
        <f t="shared" ca="1" si="88"/>
        <v>79.688986788625883</v>
      </c>
      <c r="R250" s="194">
        <f t="shared" ca="1" si="88"/>
        <v>72.044576582295619</v>
      </c>
      <c r="S250" s="194">
        <f t="shared" ca="1" si="88"/>
        <v>74.062851073938276</v>
      </c>
      <c r="T250" s="194">
        <f t="shared" ca="1" si="88"/>
        <v>75.909024639936987</v>
      </c>
      <c r="U250" s="194">
        <f t="shared" ca="1" si="88"/>
        <v>77.70513248211202</v>
      </c>
      <c r="V250" s="194">
        <f t="shared" ca="1" si="88"/>
        <v>79.426141738551507</v>
      </c>
      <c r="W250" s="194">
        <f t="shared" ca="1" si="88"/>
        <v>81.234766011682453</v>
      </c>
      <c r="X250" s="194">
        <f t="shared" ca="1" si="88"/>
        <v>83.52214376887747</v>
      </c>
      <c r="Y250" s="194">
        <f t="shared" ca="1" si="88"/>
        <v>85.778230448682663</v>
      </c>
      <c r="Z250" s="194">
        <f t="shared" ca="1" si="88"/>
        <v>88.125061252918329</v>
      </c>
      <c r="AA250" s="194">
        <f t="shared" ca="1" si="88"/>
        <v>90.503183134543789</v>
      </c>
      <c r="AB250" s="194">
        <f t="shared" ca="1" si="88"/>
        <v>92.940758063209884</v>
      </c>
      <c r="AC250" s="194">
        <f t="shared" ca="1" si="88"/>
        <v>95.638048934211398</v>
      </c>
      <c r="AD250" s="194">
        <f t="shared" ca="1" si="88"/>
        <v>98.225821034348598</v>
      </c>
      <c r="AE250" s="194">
        <f t="shared" ca="1" si="88"/>
        <v>101.08895461551609</v>
      </c>
      <c r="AF250" s="194">
        <f t="shared" ca="1" si="88"/>
        <v>104.15860930745632</v>
      </c>
      <c r="AG250" s="194">
        <f t="shared" ca="1" si="88"/>
        <v>107.41288135599642</v>
      </c>
      <c r="AH250" s="194">
        <f t="shared" ca="1" si="88"/>
        <v>110.79857592957373</v>
      </c>
      <c r="AI250" s="194">
        <f t="shared" ca="1" si="88"/>
        <v>114.30630570497129</v>
      </c>
      <c r="AJ250" s="194">
        <f t="shared" ca="1" si="88"/>
        <v>117.84845566549764</v>
      </c>
      <c r="AK250" s="194">
        <f t="shared" ca="1" si="88"/>
        <v>121.52202815106119</v>
      </c>
      <c r="AL250" s="194">
        <f t="shared" ca="1" si="88"/>
        <v>125.41150907061443</v>
      </c>
      <c r="AM250" s="194">
        <f t="shared" ca="1" si="88"/>
        <v>146.98670693088755</v>
      </c>
      <c r="AN250" s="194">
        <f t="shared" ca="1" si="88"/>
        <v>174.20368604454319</v>
      </c>
      <c r="AO250" s="194">
        <f t="shared" ca="1" si="88"/>
        <v>222.05556614290833</v>
      </c>
      <c r="AP250" s="194">
        <f t="shared" ca="1" si="88"/>
        <v>270.84774311683606</v>
      </c>
    </row>
    <row r="251" spans="1:42">
      <c r="A251" s="59" t="str">
        <f>'[4]TS BYDem'!A186</f>
        <v>*</v>
      </c>
      <c r="B251" s="194" t="s">
        <v>288</v>
      </c>
      <c r="C251" s="194" t="s">
        <v>137</v>
      </c>
      <c r="D251" s="194" t="str">
        <f>'[4]TS BYDem'!D186</f>
        <v>IOTS</v>
      </c>
      <c r="E251" s="194" t="s">
        <v>137</v>
      </c>
      <c r="F251" s="194" t="s">
        <v>137</v>
      </c>
      <c r="G251" s="194" t="s">
        <v>137</v>
      </c>
      <c r="H251" s="194" t="s">
        <v>137</v>
      </c>
      <c r="I251" s="194">
        <v>0</v>
      </c>
      <c r="J251" s="194">
        <f>INDEX('[4]TS BYDem'!$J$10:$J$203,MATCH(D251,'[4]TS BYDem'!$D$10:$D$203,0))</f>
        <v>73.690487252999532</v>
      </c>
      <c r="K251" s="194">
        <f t="shared" ca="1" si="82"/>
        <v>75.608630296994804</v>
      </c>
      <c r="L251" s="194">
        <f t="shared" ca="1" si="88"/>
        <v>76.866531608065117</v>
      </c>
      <c r="M251" s="194">
        <f t="shared" ca="1" si="88"/>
        <v>77.748939990457714</v>
      </c>
      <c r="N251" s="194">
        <f t="shared" ca="1" si="88"/>
        <v>78.56250800259275</v>
      </c>
      <c r="O251" s="194">
        <f t="shared" ca="1" si="88"/>
        <v>79.022486840222939</v>
      </c>
      <c r="P251" s="194">
        <f t="shared" ca="1" si="88"/>
        <v>79.710890542798751</v>
      </c>
      <c r="Q251" s="194">
        <f t="shared" ca="1" si="88"/>
        <v>79.688986788625883</v>
      </c>
      <c r="R251" s="194">
        <f t="shared" ca="1" si="88"/>
        <v>72.044576582295619</v>
      </c>
      <c r="S251" s="194">
        <f t="shared" ca="1" si="88"/>
        <v>74.062851073938276</v>
      </c>
      <c r="T251" s="194">
        <f t="shared" ca="1" si="88"/>
        <v>75.909024639936987</v>
      </c>
      <c r="U251" s="194">
        <f t="shared" ca="1" si="88"/>
        <v>77.70513248211202</v>
      </c>
      <c r="V251" s="194">
        <f t="shared" ca="1" si="88"/>
        <v>79.426141738551507</v>
      </c>
      <c r="W251" s="194">
        <f t="shared" ca="1" si="88"/>
        <v>81.234766011682453</v>
      </c>
      <c r="X251" s="194">
        <f t="shared" ca="1" si="88"/>
        <v>83.52214376887747</v>
      </c>
      <c r="Y251" s="194">
        <f t="shared" ca="1" si="88"/>
        <v>85.778230448682663</v>
      </c>
      <c r="Z251" s="194">
        <f t="shared" ca="1" si="88"/>
        <v>88.125061252918329</v>
      </c>
      <c r="AA251" s="194">
        <f t="shared" ca="1" si="88"/>
        <v>90.503183134543789</v>
      </c>
      <c r="AB251" s="194">
        <f t="shared" ca="1" si="88"/>
        <v>92.940758063209884</v>
      </c>
      <c r="AC251" s="194">
        <f t="shared" ca="1" si="88"/>
        <v>95.638048934211398</v>
      </c>
      <c r="AD251" s="194">
        <f t="shared" ca="1" si="88"/>
        <v>98.225821034348598</v>
      </c>
      <c r="AE251" s="194">
        <f t="shared" ca="1" si="88"/>
        <v>101.08895461551609</v>
      </c>
      <c r="AF251" s="194">
        <f t="shared" ca="1" si="88"/>
        <v>104.15860930745632</v>
      </c>
      <c r="AG251" s="194">
        <f t="shared" ca="1" si="88"/>
        <v>107.41288135599642</v>
      </c>
      <c r="AH251" s="194">
        <f t="shared" ca="1" si="88"/>
        <v>110.79857592957373</v>
      </c>
      <c r="AI251" s="194">
        <f t="shared" ca="1" si="88"/>
        <v>114.30630570497129</v>
      </c>
      <c r="AJ251" s="194">
        <f t="shared" ca="1" si="88"/>
        <v>117.84845566549764</v>
      </c>
      <c r="AK251" s="194">
        <f t="shared" ca="1" si="88"/>
        <v>121.52202815106119</v>
      </c>
      <c r="AL251" s="194">
        <f t="shared" ca="1" si="88"/>
        <v>125.41150907061443</v>
      </c>
      <c r="AM251" s="194">
        <f t="shared" ca="1" si="88"/>
        <v>146.98670693088755</v>
      </c>
      <c r="AN251" s="194">
        <f t="shared" ca="1" si="88"/>
        <v>174.20368604454319</v>
      </c>
      <c r="AO251" s="194">
        <f t="shared" ca="1" si="88"/>
        <v>222.05556614290833</v>
      </c>
      <c r="AP251" s="194">
        <f t="shared" ca="1" si="88"/>
        <v>270.84774311683606</v>
      </c>
    </row>
    <row r="252" spans="1:42">
      <c r="A252" s="59" t="str">
        <f>'[4]TS BYDem'!A187</f>
        <v>*</v>
      </c>
      <c r="B252" s="194" t="s">
        <v>288</v>
      </c>
      <c r="C252" s="194" t="s">
        <v>137</v>
      </c>
      <c r="D252" s="194" t="str">
        <f>'[4]TS BYDem'!D187</f>
        <v>IOTS</v>
      </c>
      <c r="E252" s="194" t="s">
        <v>137</v>
      </c>
      <c r="F252" s="194" t="s">
        <v>137</v>
      </c>
      <c r="G252" s="194" t="s">
        <v>137</v>
      </c>
      <c r="H252" s="194" t="s">
        <v>137</v>
      </c>
      <c r="I252" s="194">
        <v>0</v>
      </c>
      <c r="J252" s="194">
        <f>INDEX('[4]TS BYDem'!$J$10:$J$203,MATCH(D252,'[4]TS BYDem'!$D$10:$D$203,0))</f>
        <v>73.690487252999532</v>
      </c>
      <c r="K252" s="194">
        <f t="shared" ca="1" si="82"/>
        <v>75.608630296994804</v>
      </c>
      <c r="L252" s="194">
        <f t="shared" ca="1" si="88"/>
        <v>76.866531608065117</v>
      </c>
      <c r="M252" s="194">
        <f t="shared" ca="1" si="88"/>
        <v>77.748939990457714</v>
      </c>
      <c r="N252" s="194">
        <f t="shared" ca="1" si="88"/>
        <v>78.56250800259275</v>
      </c>
      <c r="O252" s="194">
        <f t="shared" ca="1" si="88"/>
        <v>79.022486840222939</v>
      </c>
      <c r="P252" s="194">
        <f t="shared" ca="1" si="88"/>
        <v>79.710890542798751</v>
      </c>
      <c r="Q252" s="194">
        <f t="shared" ca="1" si="88"/>
        <v>79.688986788625883</v>
      </c>
      <c r="R252" s="194">
        <f t="shared" ca="1" si="88"/>
        <v>72.044576582295619</v>
      </c>
      <c r="S252" s="194">
        <f t="shared" ca="1" si="88"/>
        <v>74.062851073938276</v>
      </c>
      <c r="T252" s="194">
        <f t="shared" ca="1" si="88"/>
        <v>75.909024639936987</v>
      </c>
      <c r="U252" s="194">
        <f t="shared" ca="1" si="88"/>
        <v>77.70513248211202</v>
      </c>
      <c r="V252" s="194">
        <f t="shared" ca="1" si="88"/>
        <v>79.426141738551507</v>
      </c>
      <c r="W252" s="194">
        <f t="shared" ca="1" si="88"/>
        <v>81.234766011682453</v>
      </c>
      <c r="X252" s="194">
        <f t="shared" ca="1" si="88"/>
        <v>83.52214376887747</v>
      </c>
      <c r="Y252" s="194">
        <f t="shared" ca="1" si="88"/>
        <v>85.778230448682663</v>
      </c>
      <c r="Z252" s="194">
        <f t="shared" ca="1" si="88"/>
        <v>88.125061252918329</v>
      </c>
      <c r="AA252" s="194">
        <f t="shared" ca="1" si="88"/>
        <v>90.503183134543789</v>
      </c>
      <c r="AB252" s="194">
        <f t="shared" ca="1" si="88"/>
        <v>92.940758063209884</v>
      </c>
      <c r="AC252" s="194">
        <f t="shared" ca="1" si="88"/>
        <v>95.638048934211398</v>
      </c>
      <c r="AD252" s="194">
        <f t="shared" ca="1" si="88"/>
        <v>98.225821034348598</v>
      </c>
      <c r="AE252" s="194">
        <f t="shared" ca="1" si="88"/>
        <v>101.08895461551609</v>
      </c>
      <c r="AF252" s="194">
        <f t="shared" ca="1" si="88"/>
        <v>104.15860930745632</v>
      </c>
      <c r="AG252" s="194">
        <f t="shared" ca="1" si="88"/>
        <v>107.41288135599642</v>
      </c>
      <c r="AH252" s="194">
        <f t="shared" ca="1" si="88"/>
        <v>110.79857592957373</v>
      </c>
      <c r="AI252" s="194">
        <f t="shared" ca="1" si="88"/>
        <v>114.30630570497129</v>
      </c>
      <c r="AJ252" s="194">
        <f t="shared" ca="1" si="88"/>
        <v>117.84845566549764</v>
      </c>
      <c r="AK252" s="194">
        <f t="shared" ca="1" si="88"/>
        <v>121.52202815106119</v>
      </c>
      <c r="AL252" s="194">
        <f t="shared" ca="1" si="88"/>
        <v>125.41150907061443</v>
      </c>
      <c r="AM252" s="194">
        <f t="shared" ca="1" si="88"/>
        <v>146.98670693088755</v>
      </c>
      <c r="AN252" s="194">
        <f t="shared" ca="1" si="88"/>
        <v>174.20368604454319</v>
      </c>
      <c r="AO252" s="194">
        <f t="shared" ca="1" si="88"/>
        <v>222.05556614290833</v>
      </c>
      <c r="AP252" s="194">
        <f t="shared" ca="1" si="88"/>
        <v>270.84774311683606</v>
      </c>
    </row>
    <row r="253" spans="1:42">
      <c r="A253" s="59" t="str">
        <f>'[4]TS BYDem'!A188</f>
        <v/>
      </c>
      <c r="B253" s="194" t="s">
        <v>288</v>
      </c>
      <c r="C253" s="194" t="s">
        <v>137</v>
      </c>
      <c r="D253" s="194" t="str">
        <f>'[4]TS BYDem'!D188</f>
        <v>IOTR</v>
      </c>
      <c r="E253" s="194" t="s">
        <v>137</v>
      </c>
      <c r="F253" s="194" t="s">
        <v>137</v>
      </c>
      <c r="G253" s="194" t="s">
        <v>137</v>
      </c>
      <c r="H253" s="194" t="s">
        <v>137</v>
      </c>
      <c r="I253" s="194">
        <v>0</v>
      </c>
      <c r="J253" s="194">
        <f>INDEX('[4]TS BYDem'!$J$10:$J$203,MATCH(D253,'[4]TS BYDem'!$D$10:$D$203,0))</f>
        <v>9.4685659246785185</v>
      </c>
      <c r="K253" s="194">
        <f t="shared" ca="1" si="82"/>
        <v>9.7150300822932927</v>
      </c>
      <c r="L253" s="194">
        <f t="shared" ca="1" si="88"/>
        <v>9.8766591057209254</v>
      </c>
      <c r="M253" s="201">
        <f t="shared" ref="M253" si="89">O253</f>
        <v>37.630000000000003</v>
      </c>
      <c r="N253" s="201">
        <f t="shared" ref="N253" si="90">O253</f>
        <v>37.630000000000003</v>
      </c>
      <c r="O253" s="201">
        <f>INDEX('[4]TS BYDem'!$O$10:$O$203,MATCH(D253,'[4]TS BYDem'!$D$10:$D$203,0))</f>
        <v>37.630000000000003</v>
      </c>
      <c r="P253" s="194">
        <f t="shared" ca="1" si="88"/>
        <v>37.957813415696535</v>
      </c>
      <c r="Q253" s="194">
        <f t="shared" ca="1" si="88"/>
        <v>37.947382988833461</v>
      </c>
      <c r="R253" s="194">
        <f t="shared" ca="1" si="88"/>
        <v>34.307164013621616</v>
      </c>
      <c r="S253" s="194">
        <f t="shared" ca="1" si="88"/>
        <v>35.268253346004599</v>
      </c>
      <c r="T253" s="194">
        <f t="shared" ca="1" si="88"/>
        <v>36.147389324463454</v>
      </c>
      <c r="U253" s="194">
        <f t="shared" ca="1" si="88"/>
        <v>37.002684327235293</v>
      </c>
      <c r="V253" s="194">
        <f t="shared" ca="1" si="88"/>
        <v>37.822217866476606</v>
      </c>
      <c r="W253" s="194">
        <f t="shared" ca="1" si="88"/>
        <v>38.683473113170201</v>
      </c>
      <c r="X253" s="194">
        <f t="shared" ca="1" si="88"/>
        <v>39.77270768987092</v>
      </c>
      <c r="Y253" s="194">
        <f t="shared" ca="1" si="88"/>
        <v>40.847041656767246</v>
      </c>
      <c r="Z253" s="194">
        <f t="shared" ca="1" si="88"/>
        <v>41.964587392096306</v>
      </c>
      <c r="AA253" s="194">
        <f t="shared" ca="1" si="88"/>
        <v>43.097033737229751</v>
      </c>
      <c r="AB253" s="194">
        <f t="shared" ca="1" si="88"/>
        <v>44.25779124099153</v>
      </c>
      <c r="AC253" s="194">
        <f t="shared" ca="1" si="88"/>
        <v>45.542223806129726</v>
      </c>
      <c r="AD253" s="194">
        <f t="shared" ca="1" si="88"/>
        <v>46.774504236952573</v>
      </c>
      <c r="AE253" s="194">
        <f t="shared" ca="1" si="88"/>
        <v>48.137910034054023</v>
      </c>
      <c r="AF253" s="194">
        <f t="shared" ca="1" si="88"/>
        <v>49.599659855864424</v>
      </c>
      <c r="AG253" s="194">
        <f t="shared" ca="1" si="88"/>
        <v>51.149323275520715</v>
      </c>
      <c r="AH253" s="194">
        <f t="shared" ca="1" si="88"/>
        <v>52.761569256355436</v>
      </c>
      <c r="AI253" s="194">
        <f t="shared" ca="1" si="88"/>
        <v>54.43192761542727</v>
      </c>
      <c r="AJ253" s="194">
        <f t="shared" ca="1" si="88"/>
        <v>56.118676645283919</v>
      </c>
      <c r="AK253" s="194">
        <f t="shared" ca="1" si="88"/>
        <v>57.868008236319007</v>
      </c>
      <c r="AL253" s="194">
        <f t="shared" ca="1" si="88"/>
        <v>59.72015403500437</v>
      </c>
      <c r="AM253" s="194">
        <f t="shared" ca="1" si="88"/>
        <v>69.994124495129498</v>
      </c>
      <c r="AN253" s="194">
        <f t="shared" ca="1" si="88"/>
        <v>82.954674902985687</v>
      </c>
      <c r="AO253" s="194">
        <f t="shared" ca="1" si="88"/>
        <v>105.74143244634523</v>
      </c>
      <c r="AP253" s="194">
        <f t="shared" ca="1" si="88"/>
        <v>128.97595331432603</v>
      </c>
    </row>
    <row r="254" spans="1:42">
      <c r="A254" s="59" t="str">
        <f>'[4]TS BYDem'!A189</f>
        <v>*</v>
      </c>
      <c r="B254" s="194" t="s">
        <v>288</v>
      </c>
      <c r="C254" s="194" t="s">
        <v>137</v>
      </c>
      <c r="D254" s="194">
        <f>'[4]TS BYDem'!D189</f>
        <v>0</v>
      </c>
      <c r="E254" s="194" t="s">
        <v>137</v>
      </c>
      <c r="F254" s="194" t="s">
        <v>137</v>
      </c>
      <c r="G254" s="194" t="s">
        <v>137</v>
      </c>
      <c r="H254" s="194" t="s">
        <v>137</v>
      </c>
      <c r="I254" s="194">
        <v>0</v>
      </c>
      <c r="J254" s="194"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6" t="str">
        <f>[5]ITEMS_Comm!A27</f>
        <v/>
      </c>
      <c r="B9" s="57" t="str">
        <f>[5]ITEMS_Comm!B27</f>
        <v>E</v>
      </c>
      <c r="C9" s="56" t="str">
        <f>[5]ITEMS_Comm!C27</f>
        <v>RLEL</v>
      </c>
      <c r="D9" s="56" t="str">
        <f>[5]ITEMS_Comm!D27</f>
        <v>Residential - Lighting - Low Income Electrified</v>
      </c>
      <c r="E9" s="57" t="str">
        <f>[5]ITEMS_Comm!E27</f>
        <v>PJ</v>
      </c>
      <c r="F9" s="57" t="str">
        <f>[5]ITEMS_Comm!F27</f>
        <v>COM,DEM,DAYNITE,RES</v>
      </c>
    </row>
    <row r="10" spans="1:8">
      <c r="A10" s="56" t="str">
        <f>[5]ITEMS_Comm!A28</f>
        <v/>
      </c>
      <c r="B10" s="57" t="str">
        <f>[5]ITEMS_Comm!B28</f>
        <v>E</v>
      </c>
      <c r="C10" s="56" t="str">
        <f>[5]ITEMS_Comm!C28</f>
        <v>RLNL</v>
      </c>
      <c r="D10" s="56" t="str">
        <f>[5]ITEMS_Comm!D28</f>
        <v>Residential - Lighting - Low Income Electrified paraffin</v>
      </c>
      <c r="E10" s="57" t="str">
        <f>[5]ITEMS_Comm!E28</f>
        <v>PJ</v>
      </c>
      <c r="F10" s="57" t="str">
        <f>[5]ITEMS_Comm!F28</f>
        <v>COM,DEM,DAYNITE,RES</v>
      </c>
    </row>
    <row r="11" spans="1:8">
      <c r="A11" s="56" t="str">
        <f>[5]ITEMS_Comm!A29</f>
        <v/>
      </c>
      <c r="B11" s="57" t="str">
        <f>[5]ITEMS_Comm!B29</f>
        <v>E</v>
      </c>
      <c r="C11" s="56" t="str">
        <f>[5]ITEMS_Comm!C29</f>
        <v>RLEK</v>
      </c>
      <c r="D11" s="56" t="str">
        <f>[5]ITEMS_Comm!D29</f>
        <v>Residential - Cooking - Low Income Electrified</v>
      </c>
      <c r="E11" s="57" t="str">
        <f>[5]ITEMS_Comm!E29</f>
        <v>PJ</v>
      </c>
      <c r="F11" s="57" t="str">
        <f>[5]ITEMS_Comm!F29</f>
        <v>COM,DEM,DAYNITE,RES</v>
      </c>
    </row>
    <row r="12" spans="1:8">
      <c r="A12" s="56" t="str">
        <f>[5]ITEMS_Comm!A30</f>
        <v/>
      </c>
      <c r="B12" s="57" t="str">
        <f>[5]ITEMS_Comm!B30</f>
        <v>E</v>
      </c>
      <c r="C12" s="56" t="str">
        <f>[5]ITEMS_Comm!C30</f>
        <v>RLEH</v>
      </c>
      <c r="D12" s="56" t="str">
        <f>[5]ITEMS_Comm!D30</f>
        <v>Residential - Space Heating - Low Income Electrified</v>
      </c>
      <c r="E12" s="57" t="str">
        <f>[5]ITEMS_Comm!E30</f>
        <v>PJ</v>
      </c>
      <c r="F12" s="57" t="str">
        <f>[5]ITEMS_Comm!F30</f>
        <v>COM,DEM,DAYNITE,RES</v>
      </c>
    </row>
    <row r="13" spans="1:8">
      <c r="A13" s="56" t="str">
        <f>[5]ITEMS_Comm!A31</f>
        <v/>
      </c>
      <c r="B13" s="57" t="str">
        <f>[5]ITEMS_Comm!B31</f>
        <v>E</v>
      </c>
      <c r="C13" s="56" t="str">
        <f>[5]ITEMS_Comm!C31</f>
        <v>RLEWG</v>
      </c>
      <c r="D13" s="56" t="str">
        <f>[5]ITEMS_Comm!D31</f>
        <v>Residential - Water Heating Geyser - Low Income Electrified</v>
      </c>
      <c r="E13" s="57" t="str">
        <f>[5]ITEMS_Comm!E31</f>
        <v>PJ</v>
      </c>
      <c r="F13" s="57" t="str">
        <f>[5]ITEMS_Comm!F31</f>
        <v>COM,DEM,DAYNITE,RES</v>
      </c>
    </row>
    <row r="14" spans="1:8">
      <c r="A14" s="56" t="str">
        <f>[5]ITEMS_Comm!A32</f>
        <v/>
      </c>
      <c r="B14" s="57" t="str">
        <f>[5]ITEMS_Comm!B32</f>
        <v>E</v>
      </c>
      <c r="C14" s="56" t="str">
        <f>[5]ITEMS_Comm!C32</f>
        <v>RLEW</v>
      </c>
      <c r="D14" s="56" t="str">
        <f>[5]ITEMS_Comm!D32</f>
        <v>Residential - Water Heating - Low Income Electrified</v>
      </c>
      <c r="E14" s="57" t="str">
        <f>[5]ITEMS_Comm!E32</f>
        <v>PJ</v>
      </c>
      <c r="F14" s="57" t="str">
        <f>[5]ITEMS_Comm!F32</f>
        <v>COM,DEM,DAYNITE,RES</v>
      </c>
    </row>
    <row r="15" spans="1:8">
      <c r="A15" s="56" t="str">
        <f>[5]ITEMS_Comm!A33</f>
        <v/>
      </c>
      <c r="B15" s="57" t="str">
        <f>[5]ITEMS_Comm!B33</f>
        <v>E</v>
      </c>
      <c r="C15" s="56" t="str">
        <f>[5]ITEMS_Comm!C33</f>
        <v>RLER</v>
      </c>
      <c r="D15" s="56" t="str">
        <f>[5]ITEMS_Comm!D33</f>
        <v>Residential - Refrigeration - Low Income Electrified</v>
      </c>
      <c r="E15" s="57" t="str">
        <f>[5]ITEMS_Comm!E33</f>
        <v>PJ</v>
      </c>
      <c r="F15" s="57" t="str">
        <f>[5]ITEMS_Comm!F33</f>
        <v>COM,DEM,DAYNITE,RES</v>
      </c>
    </row>
    <row r="16" spans="1:8">
      <c r="A16" s="56" t="str">
        <f>[5]ITEMS_Comm!A34</f>
        <v/>
      </c>
      <c r="B16" s="57" t="str">
        <f>[5]ITEMS_Comm!B34</f>
        <v>E</v>
      </c>
      <c r="C16" s="56" t="str">
        <f>[5]ITEMS_Comm!C34</f>
        <v>RLEO</v>
      </c>
      <c r="D16" s="56" t="str">
        <f>[5]ITEMS_Comm!D34</f>
        <v>Residential - Other - Low Income Electrified</v>
      </c>
      <c r="E16" s="57" t="str">
        <f>[5]ITEMS_Comm!E34</f>
        <v>PJ</v>
      </c>
      <c r="F16" s="57" t="str">
        <f>[5]ITEMS_Comm!F34</f>
        <v>COM,DEM,DAYNITE,RES</v>
      </c>
    </row>
    <row r="17" spans="1:6">
      <c r="A17" s="56" t="str">
        <f>[5]ITEMS_Comm!A35</f>
        <v>*</v>
      </c>
      <c r="B17" s="57" t="str">
        <f>[5]ITEMS_Comm!B35</f>
        <v>E</v>
      </c>
      <c r="C17" s="56">
        <f>[5]ITEMS_Comm!C35</f>
        <v>0</v>
      </c>
      <c r="D17" s="56" t="str">
        <f>[5]ITEMS_Comm!D35</f>
        <v/>
      </c>
      <c r="E17" s="57" t="str">
        <f>[5]ITEMS_Comm!E35</f>
        <v/>
      </c>
      <c r="F17" s="57" t="str">
        <f>[5]ITEMS_Comm!F35</f>
        <v/>
      </c>
    </row>
    <row r="18" spans="1:6">
      <c r="A18" s="56" t="str">
        <f>[5]ITEMS_Comm!A36</f>
        <v>*</v>
      </c>
      <c r="B18" s="57" t="str">
        <f>[5]ITEMS_Comm!B36</f>
        <v>E</v>
      </c>
      <c r="C18" s="56">
        <f>[5]ITEMS_Comm!C36</f>
        <v>0</v>
      </c>
      <c r="D18" s="56" t="str">
        <f>[5]ITEMS_Comm!D36</f>
        <v/>
      </c>
      <c r="E18" s="57" t="str">
        <f>[5]ITEMS_Comm!E36</f>
        <v/>
      </c>
      <c r="F18" s="57" t="str">
        <f>[5]ITEMS_Comm!F36</f>
        <v/>
      </c>
    </row>
    <row r="19" spans="1:6">
      <c r="A19" s="56" t="str">
        <f>[5]ITEMS_Comm!A37</f>
        <v>*</v>
      </c>
      <c r="B19" s="57" t="str">
        <f>[5]ITEMS_Comm!B37</f>
        <v>E</v>
      </c>
      <c r="C19" s="56">
        <f>[5]ITEMS_Comm!C37</f>
        <v>0</v>
      </c>
      <c r="D19" s="56" t="str">
        <f>[5]ITEMS_Comm!D37</f>
        <v/>
      </c>
      <c r="E19" s="57" t="str">
        <f>[5]ITEMS_Comm!E37</f>
        <v/>
      </c>
      <c r="F19" s="57" t="str">
        <f>[5]ITEMS_Comm!F37</f>
        <v/>
      </c>
    </row>
    <row r="20" spans="1:6">
      <c r="A20" s="56" t="str">
        <f>[5]ITEMS_Comm!A38</f>
        <v/>
      </c>
      <c r="B20" s="57" t="str">
        <f>[5]ITEMS_Comm!B38</f>
        <v>E</v>
      </c>
      <c r="C20" s="56" t="str">
        <f>[5]ITEMS_Comm!C38</f>
        <v>RMEL</v>
      </c>
      <c r="D20" s="56" t="str">
        <f>[5]ITEMS_Comm!D38</f>
        <v>Residential - Lighting - Middle Income Electrified</v>
      </c>
      <c r="E20" s="57" t="str">
        <f>[5]ITEMS_Comm!E38</f>
        <v>PJ</v>
      </c>
      <c r="F20" s="57" t="str">
        <f>[5]ITEMS_Comm!F38</f>
        <v>COM,DEM,DAYNITE,RES</v>
      </c>
    </row>
    <row r="21" spans="1:6">
      <c r="A21" s="56" t="str">
        <f>[5]ITEMS_Comm!A39</f>
        <v/>
      </c>
      <c r="B21" s="57" t="str">
        <f>[5]ITEMS_Comm!B39</f>
        <v>E</v>
      </c>
      <c r="C21" s="56" t="str">
        <f>[5]ITEMS_Comm!C39</f>
        <v>RMNL</v>
      </c>
      <c r="D21" s="56" t="str">
        <f>[5]ITEMS_Comm!D39</f>
        <v>Residential - Lighting - Middle Income Electrified paraffin</v>
      </c>
      <c r="E21" s="57" t="str">
        <f>[5]ITEMS_Comm!E39</f>
        <v>PJ</v>
      </c>
      <c r="F21" s="57" t="str">
        <f>[5]ITEMS_Comm!F39</f>
        <v>COM,DEM,DAYNITE,RES</v>
      </c>
    </row>
    <row r="22" spans="1:6">
      <c r="A22" s="56" t="str">
        <f>[5]ITEMS_Comm!A40</f>
        <v/>
      </c>
      <c r="B22" s="57" t="str">
        <f>[5]ITEMS_Comm!B40</f>
        <v>E</v>
      </c>
      <c r="C22" s="56" t="str">
        <f>[5]ITEMS_Comm!C40</f>
        <v>RMEK</v>
      </c>
      <c r="D22" s="56" t="str">
        <f>[5]ITEMS_Comm!D40</f>
        <v>Residential - Cooking - Middle Income Electrified</v>
      </c>
      <c r="E22" s="57" t="str">
        <f>[5]ITEMS_Comm!E40</f>
        <v>PJ</v>
      </c>
      <c r="F22" s="57" t="str">
        <f>[5]ITEMS_Comm!F40</f>
        <v>COM,DEM,DAYNITE,RES</v>
      </c>
    </row>
    <row r="23" spans="1:6">
      <c r="A23" s="56" t="str">
        <f>[5]ITEMS_Comm!A41</f>
        <v/>
      </c>
      <c r="B23" s="57" t="str">
        <f>[5]ITEMS_Comm!B41</f>
        <v>E</v>
      </c>
      <c r="C23" s="56" t="str">
        <f>[5]ITEMS_Comm!C41</f>
        <v>RMEH</v>
      </c>
      <c r="D23" s="56" t="str">
        <f>[5]ITEMS_Comm!D41</f>
        <v>Residential - Space Heating - Middle Income Electrified</v>
      </c>
      <c r="E23" s="57" t="str">
        <f>[5]ITEMS_Comm!E41</f>
        <v>PJ</v>
      </c>
      <c r="F23" s="57" t="str">
        <f>[5]ITEMS_Comm!F41</f>
        <v>COM,DEM,DAYNITE,RES</v>
      </c>
    </row>
    <row r="24" spans="1:6">
      <c r="A24" s="56" t="str">
        <f>[5]ITEMS_Comm!A42</f>
        <v/>
      </c>
      <c r="B24" s="57" t="str">
        <f>[5]ITEMS_Comm!B42</f>
        <v>E</v>
      </c>
      <c r="C24" s="56" t="str">
        <f>[5]ITEMS_Comm!C42</f>
        <v>RMEWG</v>
      </c>
      <c r="D24" s="56" t="str">
        <f>[5]ITEMS_Comm!D42</f>
        <v>Residential - Water Heating Geyser - Middle Income Electrified</v>
      </c>
      <c r="E24" s="57" t="str">
        <f>[5]ITEMS_Comm!E42</f>
        <v>PJ</v>
      </c>
      <c r="F24" s="57" t="str">
        <f>[5]ITEMS_Comm!F42</f>
        <v>COM,DEM,DAYNITE,RES</v>
      </c>
    </row>
    <row r="25" spans="1:6">
      <c r="A25" s="56" t="str">
        <f>[5]ITEMS_Comm!A43</f>
        <v/>
      </c>
      <c r="B25" s="57" t="str">
        <f>[5]ITEMS_Comm!B43</f>
        <v>E</v>
      </c>
      <c r="C25" s="56" t="str">
        <f>[5]ITEMS_Comm!C43</f>
        <v>RMEW</v>
      </c>
      <c r="D25" s="56">
        <f>[5]ITEMS_Comm!D43</f>
        <v>0</v>
      </c>
      <c r="E25" s="57" t="str">
        <f>[5]ITEMS_Comm!E43</f>
        <v>PJ</v>
      </c>
      <c r="F25" s="57" t="str">
        <f>[5]ITEMS_Comm!F43</f>
        <v>COM,DEM,DAYNITE,RES</v>
      </c>
    </row>
    <row r="26" spans="1:6">
      <c r="A26" s="56" t="str">
        <f>[5]ITEMS_Comm!A44</f>
        <v/>
      </c>
      <c r="B26" s="57" t="str">
        <f>[5]ITEMS_Comm!B44</f>
        <v>E</v>
      </c>
      <c r="C26" s="56" t="str">
        <f>[5]ITEMS_Comm!C44</f>
        <v>RMER</v>
      </c>
      <c r="D26" s="56" t="str">
        <f>[5]ITEMS_Comm!D44</f>
        <v>Residential - Refrigeration - Middle Income Electrified</v>
      </c>
      <c r="E26" s="57" t="str">
        <f>[5]ITEMS_Comm!E44</f>
        <v>PJ</v>
      </c>
      <c r="F26" s="57" t="str">
        <f>[5]ITEMS_Comm!F44</f>
        <v>COM,DEM,DAYNITE,RES</v>
      </c>
    </row>
    <row r="27" spans="1:6">
      <c r="A27" s="56" t="str">
        <f>[5]ITEMS_Comm!A45</f>
        <v/>
      </c>
      <c r="B27" s="57" t="str">
        <f>[5]ITEMS_Comm!B45</f>
        <v>E</v>
      </c>
      <c r="C27" s="56" t="str">
        <f>[5]ITEMS_Comm!C45</f>
        <v>RMEO</v>
      </c>
      <c r="D27" s="56" t="str">
        <f>[5]ITEMS_Comm!D45</f>
        <v>Residential - Other - Middle Income Electrified</v>
      </c>
      <c r="E27" s="57" t="str">
        <f>[5]ITEMS_Comm!E45</f>
        <v>PJ</v>
      </c>
      <c r="F27" s="57" t="str">
        <f>[5]ITEMS_Comm!F45</f>
        <v>COM,DEM,DAYNITE,RES</v>
      </c>
    </row>
    <row r="28" spans="1:6">
      <c r="A28" s="56" t="str">
        <f>[5]ITEMS_Comm!A46</f>
        <v>*</v>
      </c>
      <c r="B28" s="57" t="str">
        <f>[5]ITEMS_Comm!B46</f>
        <v>E</v>
      </c>
      <c r="C28" s="56">
        <f>[5]ITEMS_Comm!C46</f>
        <v>0</v>
      </c>
      <c r="D28" s="56" t="str">
        <f>[5]ITEMS_Comm!D46</f>
        <v/>
      </c>
      <c r="E28" s="57" t="str">
        <f>[5]ITEMS_Comm!E46</f>
        <v/>
      </c>
      <c r="F28" s="57" t="str">
        <f>[5]ITEMS_Comm!F46</f>
        <v/>
      </c>
    </row>
    <row r="29" spans="1:6">
      <c r="A29" s="56" t="str">
        <f>[5]ITEMS_Comm!A47</f>
        <v>*</v>
      </c>
      <c r="B29" s="57" t="str">
        <f>[5]ITEMS_Comm!B47</f>
        <v>E</v>
      </c>
      <c r="C29" s="56">
        <f>[5]ITEMS_Comm!C47</f>
        <v>0</v>
      </c>
      <c r="D29" s="56" t="str">
        <f>[5]ITEMS_Comm!D47</f>
        <v/>
      </c>
      <c r="E29" s="57" t="str">
        <f>[5]ITEMS_Comm!E47</f>
        <v/>
      </c>
      <c r="F29" s="57" t="str">
        <f>[5]ITEMS_Comm!F47</f>
        <v/>
      </c>
    </row>
    <row r="30" spans="1:6">
      <c r="A30" s="56" t="str">
        <f>[5]ITEMS_Comm!A48</f>
        <v>*</v>
      </c>
      <c r="B30" s="57" t="str">
        <f>[5]ITEMS_Comm!B48</f>
        <v>E</v>
      </c>
      <c r="C30" s="56">
        <f>[5]ITEMS_Comm!C48</f>
        <v>0</v>
      </c>
      <c r="D30" s="56" t="str">
        <f>[5]ITEMS_Comm!D48</f>
        <v/>
      </c>
      <c r="E30" s="57" t="str">
        <f>[5]ITEMS_Comm!E48</f>
        <v/>
      </c>
      <c r="F30" s="57" t="str">
        <f>[5]ITEMS_Comm!F48</f>
        <v/>
      </c>
    </row>
    <row r="31" spans="1:6">
      <c r="A31" s="56" t="str">
        <f>[5]ITEMS_Comm!A49</f>
        <v/>
      </c>
      <c r="B31" s="57" t="str">
        <f>[5]ITEMS_Comm!B49</f>
        <v>E</v>
      </c>
      <c r="C31" s="56" t="str">
        <f>[5]ITEMS_Comm!C49</f>
        <v>RHEL</v>
      </c>
      <c r="D31" s="56" t="str">
        <f>[5]ITEMS_Comm!D49</f>
        <v>Residential - Lighting - High Income Electrified</v>
      </c>
      <c r="E31" s="57" t="str">
        <f>[5]ITEMS_Comm!E49</f>
        <v>PJ</v>
      </c>
      <c r="F31" s="57" t="str">
        <f>[5]ITEMS_Comm!F49</f>
        <v>COM,DEM,DAYNITE,RES</v>
      </c>
    </row>
    <row r="32" spans="1:6">
      <c r="A32" s="56" t="str">
        <f>[5]ITEMS_Comm!A50</f>
        <v/>
      </c>
      <c r="B32" s="57" t="str">
        <f>[5]ITEMS_Comm!B50</f>
        <v>E</v>
      </c>
      <c r="C32" s="56" t="str">
        <f>[5]ITEMS_Comm!C50</f>
        <v>RHEK</v>
      </c>
      <c r="D32" s="56" t="str">
        <f>[5]ITEMS_Comm!D50</f>
        <v>Residential - Cooking - High Income Electrified</v>
      </c>
      <c r="E32" s="57" t="str">
        <f>[5]ITEMS_Comm!E50</f>
        <v>PJ</v>
      </c>
      <c r="F32" s="57" t="str">
        <f>[5]ITEMS_Comm!F50</f>
        <v>COM,DEM,DAYNITE,RES</v>
      </c>
    </row>
    <row r="33" spans="1:6">
      <c r="A33" s="56" t="str">
        <f>[5]ITEMS_Comm!A51</f>
        <v/>
      </c>
      <c r="B33" s="57" t="str">
        <f>[5]ITEMS_Comm!B51</f>
        <v>E</v>
      </c>
      <c r="C33" s="56" t="str">
        <f>[5]ITEMS_Comm!C51</f>
        <v>RHEH</v>
      </c>
      <c r="D33" s="56" t="str">
        <f>[5]ITEMS_Comm!D51</f>
        <v>Residential - Space Heating - High Income Electrified</v>
      </c>
      <c r="E33" s="57" t="str">
        <f>[5]ITEMS_Comm!E51</f>
        <v>PJ</v>
      </c>
      <c r="F33" s="57" t="str">
        <f>[5]ITEMS_Comm!F51</f>
        <v>COM,DEM,DAYNITE,RES</v>
      </c>
    </row>
    <row r="34" spans="1:6">
      <c r="A34" s="56" t="str">
        <f>[5]ITEMS_Comm!A52</f>
        <v/>
      </c>
      <c r="B34" s="57" t="str">
        <f>[5]ITEMS_Comm!B52</f>
        <v>E</v>
      </c>
      <c r="C34" s="56" t="str">
        <f>[5]ITEMS_Comm!C52</f>
        <v>RHEWG</v>
      </c>
      <c r="D34" s="56" t="str">
        <f>[5]ITEMS_Comm!D52</f>
        <v>Residential - Water Heating Geyser - High Income Electrified</v>
      </c>
      <c r="E34" s="57" t="str">
        <f>[5]ITEMS_Comm!E52</f>
        <v>PJ</v>
      </c>
      <c r="F34" s="57" t="str">
        <f>[5]ITEMS_Comm!F52</f>
        <v>COM,DEM,DAYNITE,RES</v>
      </c>
    </row>
    <row r="35" spans="1:6">
      <c r="A35" s="56" t="str">
        <f>[5]ITEMS_Comm!A53</f>
        <v/>
      </c>
      <c r="B35" s="57" t="str">
        <f>[5]ITEMS_Comm!B53</f>
        <v>E</v>
      </c>
      <c r="C35" s="56" t="str">
        <f>[5]ITEMS_Comm!C53</f>
        <v>RHEW</v>
      </c>
      <c r="D35" s="56" t="str">
        <f>[5]ITEMS_Comm!D53</f>
        <v xml:space="preserve">Residential -water heating non geyser high income </v>
      </c>
      <c r="E35" s="57" t="str">
        <f>[5]ITEMS_Comm!E53</f>
        <v>PJ</v>
      </c>
      <c r="F35" s="57" t="str">
        <f>[5]ITEMS_Comm!F53</f>
        <v>COM,DEM,DAYNITE,RES</v>
      </c>
    </row>
    <row r="36" spans="1:6">
      <c r="A36" s="56" t="str">
        <f>[5]ITEMS_Comm!A54</f>
        <v/>
      </c>
      <c r="B36" s="57" t="str">
        <f>[5]ITEMS_Comm!B54</f>
        <v>E</v>
      </c>
      <c r="C36" s="56" t="str">
        <f>[5]ITEMS_Comm!C54</f>
        <v>RHER</v>
      </c>
      <c r="D36" s="56" t="str">
        <f>[5]ITEMS_Comm!D54</f>
        <v>Residential - Refrigeration - High Income Electrified</v>
      </c>
      <c r="E36" s="57" t="str">
        <f>[5]ITEMS_Comm!E54</f>
        <v>PJ</v>
      </c>
      <c r="F36" s="57" t="str">
        <f>[5]ITEMS_Comm!F54</f>
        <v>COM,DEM,DAYNITE,RES</v>
      </c>
    </row>
    <row r="37" spans="1:6">
      <c r="A37" s="56" t="str">
        <f>[5]ITEMS_Comm!A55</f>
        <v/>
      </c>
      <c r="B37" s="57" t="str">
        <f>[5]ITEMS_Comm!B55</f>
        <v>E</v>
      </c>
      <c r="C37" s="56" t="str">
        <f>[5]ITEMS_Comm!C55</f>
        <v>RHEO</v>
      </c>
      <c r="D37" s="56" t="str">
        <f>[5]ITEMS_Comm!D55</f>
        <v>Residential - Other - High Income Electrified</v>
      </c>
      <c r="E37" s="57" t="str">
        <f>[5]ITEMS_Comm!E55</f>
        <v>PJ</v>
      </c>
      <c r="F37" s="57" t="str">
        <f>[5]ITEMS_Comm!F55</f>
        <v>COM,DEM,DAYNITE,RES</v>
      </c>
    </row>
    <row r="38" spans="1:6">
      <c r="A38" s="56" t="str">
        <f>[5]ITEMS_Comm!A56</f>
        <v>*</v>
      </c>
      <c r="B38" s="57" t="str">
        <f>[5]ITEMS_Comm!B56</f>
        <v>E</v>
      </c>
      <c r="C38" s="56">
        <f>[5]ITEMS_Comm!C56</f>
        <v>0</v>
      </c>
      <c r="D38" s="56" t="str">
        <f>[5]ITEMS_Comm!D56</f>
        <v/>
      </c>
      <c r="E38" s="57" t="str">
        <f>[5]ITEMS_Comm!E56</f>
        <v/>
      </c>
      <c r="F38" s="57" t="str">
        <f>[5]ITEMS_Comm!F56</f>
        <v/>
      </c>
    </row>
    <row r="39" spans="1:6">
      <c r="A39" s="56" t="str">
        <f>[5]ITEMS_Comm!A57</f>
        <v>*</v>
      </c>
      <c r="B39" s="57" t="str">
        <f>[5]ITEMS_Comm!B57</f>
        <v>E</v>
      </c>
      <c r="C39" s="56">
        <f>[5]ITEMS_Comm!C57</f>
        <v>0</v>
      </c>
      <c r="D39" s="56" t="str">
        <f>[5]ITEMS_Comm!D57</f>
        <v/>
      </c>
      <c r="E39" s="57" t="str">
        <f>[5]ITEMS_Comm!E57</f>
        <v/>
      </c>
      <c r="F39" s="57" t="str">
        <f>[5]ITEMS_Comm!F57</f>
        <v/>
      </c>
    </row>
    <row r="40" spans="1:6">
      <c r="A40" s="56" t="str">
        <f>[5]ITEMS_Comm!A58</f>
        <v>*</v>
      </c>
      <c r="B40" s="57" t="str">
        <f>[5]ITEMS_Comm!B58</f>
        <v>E</v>
      </c>
      <c r="C40" s="56">
        <f>[5]ITEMS_Comm!C58</f>
        <v>0</v>
      </c>
      <c r="D40" s="56" t="str">
        <f>[5]ITEMS_Comm!D58</f>
        <v/>
      </c>
      <c r="E40" s="57" t="str">
        <f>[5]ITEMS_Comm!E58</f>
        <v/>
      </c>
      <c r="F40" s="57" t="str">
        <f>[5]ITEMS_Comm!F58</f>
        <v/>
      </c>
    </row>
    <row r="41" spans="1:6">
      <c r="A41" s="56" t="str">
        <f>[5]ITEMS_Comm!A59</f>
        <v>*</v>
      </c>
      <c r="B41" s="57" t="str">
        <f>[5]ITEMS_Comm!B59</f>
        <v>E</v>
      </c>
      <c r="C41" s="56">
        <f>[5]ITEMS_Comm!C59</f>
        <v>0</v>
      </c>
      <c r="D41" s="56" t="str">
        <f>[5]ITEMS_Comm!D59</f>
        <v/>
      </c>
      <c r="E41" s="57" t="str">
        <f>[5]ITEMS_Comm!E59</f>
        <v/>
      </c>
      <c r="F41" s="57" t="str">
        <f>[5]ITEMS_Comm!F59</f>
        <v/>
      </c>
    </row>
    <row r="42" spans="1:6">
      <c r="A42" s="56" t="str">
        <f>[5]ITEMS_Comm!A60</f>
        <v>*</v>
      </c>
      <c r="B42" s="57" t="str">
        <f>[5]ITEMS_Comm!B60</f>
        <v>E</v>
      </c>
      <c r="C42" s="56">
        <f>[5]ITEMS_Comm!C60</f>
        <v>0</v>
      </c>
      <c r="D42" s="56" t="str">
        <f>[5]ITEMS_Comm!D60</f>
        <v/>
      </c>
      <c r="E42" s="57" t="str">
        <f>[5]ITEMS_Comm!E60</f>
        <v/>
      </c>
      <c r="F42" s="57" t="str">
        <f>[5]ITEMS_Comm!F60</f>
        <v/>
      </c>
    </row>
    <row r="43" spans="1:6">
      <c r="A43" s="56" t="str">
        <f>[5]ITEMS_Comm!A61</f>
        <v>*</v>
      </c>
      <c r="B43" s="57" t="str">
        <f>[5]ITEMS_Comm!B61</f>
        <v>E</v>
      </c>
      <c r="C43" s="56">
        <f>[5]ITEMS_Comm!C61</f>
        <v>0</v>
      </c>
      <c r="D43" s="56" t="str">
        <f>[5]ITEMS_Comm!D61</f>
        <v/>
      </c>
      <c r="E43" s="57" t="str">
        <f>[5]ITEMS_Comm!E61</f>
        <v/>
      </c>
      <c r="F43" s="57" t="str">
        <f>[5]ITEMS_Comm!F61</f>
        <v/>
      </c>
    </row>
    <row r="44" spans="1:6">
      <c r="A44" s="56" t="str">
        <f>[5]ITEMS_Comm!A62</f>
        <v>*</v>
      </c>
      <c r="B44" s="57" t="str">
        <f>[5]ITEMS_Comm!B62</f>
        <v>E</v>
      </c>
      <c r="C44" s="56">
        <f>[5]ITEMS_Comm!C62</f>
        <v>0</v>
      </c>
      <c r="D44" s="56" t="str">
        <f>[5]ITEMS_Comm!D62</f>
        <v/>
      </c>
      <c r="E44" s="57" t="str">
        <f>[5]ITEMS_Comm!E62</f>
        <v/>
      </c>
      <c r="F44" s="57" t="str">
        <f>[5]ITEMS_Comm!F62</f>
        <v/>
      </c>
    </row>
    <row r="45" spans="1:6">
      <c r="A45" s="56" t="str">
        <f>[5]ITEMS_Comm!A63</f>
        <v>*</v>
      </c>
      <c r="B45" s="57" t="str">
        <f>[5]ITEMS_Comm!B63</f>
        <v>E</v>
      </c>
      <c r="C45" s="56">
        <f>[5]ITEMS_Comm!C63</f>
        <v>0</v>
      </c>
      <c r="D45" s="56" t="str">
        <f>[5]ITEMS_Comm!D63</f>
        <v/>
      </c>
      <c r="E45" s="57" t="str">
        <f>[5]ITEMS_Comm!E63</f>
        <v/>
      </c>
      <c r="F45" s="57" t="str">
        <f>[5]ITEMS_Comm!F63</f>
        <v/>
      </c>
    </row>
    <row r="46" spans="1:6">
      <c r="A46" s="56" t="str">
        <f>[5]ITEMS_Comm!A64</f>
        <v>*</v>
      </c>
      <c r="B46" s="57" t="str">
        <f>[5]ITEMS_Comm!B64</f>
        <v>E</v>
      </c>
      <c r="C46" s="56">
        <f>[5]ITEMS_Comm!C64</f>
        <v>0</v>
      </c>
      <c r="D46" s="56" t="str">
        <f>[5]ITEMS_Comm!D64</f>
        <v/>
      </c>
      <c r="E46" s="57" t="str">
        <f>[5]ITEMS_Comm!E64</f>
        <v/>
      </c>
      <c r="F46" s="57" t="str">
        <f>[5]ITEMS_Comm!F64</f>
        <v/>
      </c>
    </row>
    <row r="47" spans="1:6">
      <c r="A47" s="56" t="str">
        <f>[5]ITEMS_Comm!A65</f>
        <v>*</v>
      </c>
      <c r="B47" s="57" t="str">
        <f>[5]ITEMS_Comm!B65</f>
        <v>E</v>
      </c>
      <c r="C47" s="56">
        <f>[5]ITEMS_Comm!C65</f>
        <v>0</v>
      </c>
      <c r="D47" s="56" t="str">
        <f>[5]ITEMS_Comm!D65</f>
        <v/>
      </c>
      <c r="E47" s="57" t="str">
        <f>[5]ITEMS_Comm!E65</f>
        <v/>
      </c>
      <c r="F47" s="57" t="str">
        <f>[5]ITEMS_Comm!F65</f>
        <v/>
      </c>
    </row>
    <row r="48" spans="1:6">
      <c r="A48" s="56" t="str">
        <f>[5]ITEMS_Comm!A66</f>
        <v>*</v>
      </c>
      <c r="B48" s="57" t="str">
        <f>[5]ITEMS_Comm!B66</f>
        <v>E</v>
      </c>
      <c r="C48" s="56">
        <f>[5]ITEMS_Comm!C66</f>
        <v>0</v>
      </c>
      <c r="D48" s="56" t="str">
        <f>[5]ITEMS_Comm!D66</f>
        <v/>
      </c>
      <c r="E48" s="57" t="str">
        <f>[5]ITEMS_Comm!E66</f>
        <v/>
      </c>
      <c r="F48" s="57" t="str">
        <f>[5]ITEMS_Comm!F66</f>
        <v/>
      </c>
    </row>
    <row r="49" spans="1:6">
      <c r="A49" s="56" t="str">
        <f>[5]ITEMS_Comm!A67</f>
        <v>*</v>
      </c>
      <c r="B49" s="57" t="str">
        <f>[5]ITEMS_Comm!B67</f>
        <v>E</v>
      </c>
      <c r="C49" s="56">
        <f>[5]ITEMS_Comm!C67</f>
        <v>0</v>
      </c>
      <c r="D49" s="56" t="str">
        <f>[5]ITEMS_Comm!D67</f>
        <v/>
      </c>
      <c r="E49" s="57" t="str">
        <f>[5]ITEMS_Comm!E67</f>
        <v/>
      </c>
      <c r="F49" s="57"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22" workbookViewId="0">
      <selection activeCell="C40" sqref="C40"/>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24" t="s">
        <v>197</v>
      </c>
      <c r="C2" s="324"/>
      <c r="I2" s="128"/>
      <c r="J2" s="4"/>
      <c r="BB2" s="4" t="s">
        <v>295</v>
      </c>
    </row>
    <row r="3" spans="1:54" ht="15.75" thickBot="1">
      <c r="A3" s="4" t="s">
        <v>16</v>
      </c>
      <c r="C3" s="20"/>
      <c r="D3" s="20"/>
      <c r="E3" s="14"/>
      <c r="F3" s="14"/>
      <c r="G3" s="14"/>
      <c r="H3" s="14"/>
      <c r="I3" s="155"/>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56">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28">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28">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28"/>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2"/>
      <c r="C8" s="20" t="s">
        <v>44</v>
      </c>
      <c r="D8" s="20"/>
      <c r="I8" s="128"/>
      <c r="J8" s="9"/>
    </row>
    <row r="9" spans="1:54">
      <c r="A9" s="4" t="s">
        <v>16</v>
      </c>
      <c r="C9" s="4" t="s">
        <v>41</v>
      </c>
      <c r="D9" s="4" t="s">
        <v>47</v>
      </c>
      <c r="J9" s="42"/>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4">
        <f>F22/$F$25</f>
        <v>0.47398769619141334</v>
      </c>
      <c r="K17" s="114">
        <f>K22/K$25</f>
        <v>0.49674335943460585</v>
      </c>
      <c r="L17" s="114">
        <f t="shared" ref="L17:AP19" si="3">L22/L$25</f>
        <v>0.48822868689454441</v>
      </c>
      <c r="M17" s="114">
        <f t="shared" si="3"/>
        <v>0.48147500627885359</v>
      </c>
      <c r="N17" s="114">
        <f t="shared" si="3"/>
        <v>0.47737656478533347</v>
      </c>
      <c r="O17" s="114">
        <f t="shared" si="3"/>
        <v>0.47023794558911891</v>
      </c>
      <c r="P17" s="114">
        <f t="shared" si="3"/>
        <v>0.46353394236211093</v>
      </c>
      <c r="Q17" s="114">
        <f t="shared" si="3"/>
        <v>0.46108769196199162</v>
      </c>
      <c r="R17" s="114">
        <f t="shared" si="3"/>
        <v>0.47398769619141334</v>
      </c>
      <c r="S17" s="114">
        <f t="shared" si="3"/>
        <v>0.48802294893321591</v>
      </c>
      <c r="T17" s="114">
        <f t="shared" si="3"/>
        <v>0.48160744524963778</v>
      </c>
      <c r="U17" s="114">
        <f t="shared" si="3"/>
        <v>0.47529731801684205</v>
      </c>
      <c r="V17" s="114">
        <f t="shared" si="3"/>
        <v>0.46895356052290854</v>
      </c>
      <c r="W17" s="114">
        <f t="shared" si="3"/>
        <v>0.46306118439391969</v>
      </c>
      <c r="X17" s="114">
        <f t="shared" si="3"/>
        <v>0.4555068405538002</v>
      </c>
      <c r="Y17" s="114">
        <f t="shared" si="3"/>
        <v>0.44739940977174142</v>
      </c>
      <c r="Z17" s="114">
        <f t="shared" si="3"/>
        <v>0.43930961502928784</v>
      </c>
      <c r="AA17" s="114">
        <f t="shared" si="3"/>
        <v>0.43052643049427908</v>
      </c>
      <c r="AB17" s="114">
        <f t="shared" si="3"/>
        <v>0.42216842844292707</v>
      </c>
      <c r="AC17" s="114">
        <f t="shared" si="3"/>
        <v>0.4135496006513194</v>
      </c>
      <c r="AD17" s="114">
        <f t="shared" si="3"/>
        <v>0.40521721442606407</v>
      </c>
      <c r="AE17" s="114">
        <f t="shared" si="3"/>
        <v>0.39683874390439688</v>
      </c>
      <c r="AF17" s="114">
        <f t="shared" si="3"/>
        <v>0.38789767317654972</v>
      </c>
      <c r="AG17" s="114">
        <f t="shared" si="3"/>
        <v>0.37860953755372506</v>
      </c>
      <c r="AH17" s="114">
        <f t="shared" si="3"/>
        <v>0.3694539819598327</v>
      </c>
      <c r="AI17" s="114">
        <f t="shared" si="3"/>
        <v>0.36068644391934845</v>
      </c>
      <c r="AJ17" s="114">
        <f t="shared" si="3"/>
        <v>0.35227821304680329</v>
      </c>
      <c r="AK17" s="114">
        <f t="shared" si="3"/>
        <v>0.34415250138874304</v>
      </c>
      <c r="AL17" s="114">
        <f t="shared" si="3"/>
        <v>0.33605734555939903</v>
      </c>
      <c r="AM17" s="114">
        <f t="shared" si="3"/>
        <v>0.29595650938485324</v>
      </c>
      <c r="AN17" s="114">
        <f t="shared" si="3"/>
        <v>0.25945257650105208</v>
      </c>
      <c r="AO17" s="114">
        <f t="shared" si="3"/>
        <v>0.25945257650105208</v>
      </c>
      <c r="AP17" s="114">
        <f t="shared" si="3"/>
        <v>0.25945257650105208</v>
      </c>
      <c r="AQ17" s="114"/>
      <c r="AR17" s="114"/>
      <c r="AS17" s="114"/>
      <c r="AT17" s="114"/>
      <c r="AU17" s="114"/>
      <c r="AV17" s="114"/>
    </row>
    <row r="18" spans="1:48">
      <c r="A18" s="4" t="s">
        <v>16</v>
      </c>
      <c r="C18" s="4" t="s">
        <v>51</v>
      </c>
      <c r="D18" s="4" t="s">
        <v>48</v>
      </c>
      <c r="E18" s="194">
        <f t="shared" ref="E18:E19" si="4">E23/$E$25</f>
        <v>0.30001919918083497</v>
      </c>
      <c r="F18" s="194">
        <f t="shared" ref="F18:F19" si="5">F23/$F$25</f>
        <v>0.32375163521226069</v>
      </c>
      <c r="K18" s="114">
        <f t="shared" ref="K18:Z19" si="6">K23/K$25</f>
        <v>0.29644362454654938</v>
      </c>
      <c r="L18" s="114">
        <f t="shared" si="6"/>
        <v>0.29989890368726985</v>
      </c>
      <c r="M18" s="114">
        <f t="shared" si="6"/>
        <v>0.30319595185227066</v>
      </c>
      <c r="N18" s="114">
        <f t="shared" si="6"/>
        <v>0.30522800836475233</v>
      </c>
      <c r="O18" s="114">
        <f t="shared" si="6"/>
        <v>0.30605482173653453</v>
      </c>
      <c r="P18" s="114">
        <f t="shared" si="6"/>
        <v>0.30932373575545169</v>
      </c>
      <c r="Q18" s="114">
        <f t="shared" si="6"/>
        <v>0.31228368417755731</v>
      </c>
      <c r="R18" s="114">
        <f t="shared" si="6"/>
        <v>0.32375163521226069</v>
      </c>
      <c r="S18" s="114">
        <f t="shared" si="6"/>
        <v>0.30681637697278535</v>
      </c>
      <c r="T18" s="114">
        <f t="shared" si="6"/>
        <v>0.30899051207902728</v>
      </c>
      <c r="U18" s="114">
        <f t="shared" si="6"/>
        <v>0.31073061540438202</v>
      </c>
      <c r="V18" s="114">
        <f t="shared" si="6"/>
        <v>0.31288111144304859</v>
      </c>
      <c r="W18" s="114">
        <f t="shared" si="6"/>
        <v>0.31491255593475925</v>
      </c>
      <c r="X18" s="114">
        <f t="shared" si="6"/>
        <v>0.31628939074725432</v>
      </c>
      <c r="Y18" s="114">
        <f t="shared" si="6"/>
        <v>0.31847593645969752</v>
      </c>
      <c r="Z18" s="114">
        <f t="shared" si="6"/>
        <v>0.32044792827503243</v>
      </c>
      <c r="AA18" s="114">
        <f t="shared" si="3"/>
        <v>0.32217124766279376</v>
      </c>
      <c r="AB18" s="114">
        <f t="shared" si="3"/>
        <v>0.32472047549482769</v>
      </c>
      <c r="AC18" s="114">
        <f t="shared" si="3"/>
        <v>0.32634303861147274</v>
      </c>
      <c r="AD18" s="114">
        <f t="shared" si="3"/>
        <v>0.32889986401097365</v>
      </c>
      <c r="AE18" s="114">
        <f t="shared" si="3"/>
        <v>0.33081335717795152</v>
      </c>
      <c r="AF18" s="114">
        <f t="shared" si="3"/>
        <v>0.33290577410474198</v>
      </c>
      <c r="AG18" s="114">
        <f t="shared" si="3"/>
        <v>0.3350106446536113</v>
      </c>
      <c r="AH18" s="114">
        <f t="shared" si="3"/>
        <v>0.33736398356282593</v>
      </c>
      <c r="AI18" s="114">
        <f t="shared" si="3"/>
        <v>0.33948242167787424</v>
      </c>
      <c r="AJ18" s="114">
        <f t="shared" si="3"/>
        <v>0.34168685597597181</v>
      </c>
      <c r="AK18" s="114">
        <f t="shared" si="3"/>
        <v>0.34372210155141747</v>
      </c>
      <c r="AL18" s="114">
        <f t="shared" si="3"/>
        <v>0.34569570470434441</v>
      </c>
      <c r="AM18" s="114">
        <f t="shared" si="3"/>
        <v>0.35353162196051169</v>
      </c>
      <c r="AN18" s="114">
        <f t="shared" si="3"/>
        <v>0.36180135191051532</v>
      </c>
      <c r="AO18" s="114">
        <f t="shared" si="3"/>
        <v>0.36180135191051532</v>
      </c>
      <c r="AP18" s="114">
        <f t="shared" si="3"/>
        <v>0.36180135191051532</v>
      </c>
      <c r="AQ18" s="114"/>
      <c r="AR18" s="114"/>
      <c r="AS18" s="114"/>
      <c r="AT18" s="114"/>
      <c r="AU18" s="114"/>
      <c r="AV18" s="114"/>
    </row>
    <row r="19" spans="1:48">
      <c r="A19" s="4" t="s">
        <v>16</v>
      </c>
      <c r="C19" s="4" t="s">
        <v>50</v>
      </c>
      <c r="D19" s="4" t="s">
        <v>48</v>
      </c>
      <c r="E19" s="194">
        <f t="shared" si="4"/>
        <v>0.19994880218444014</v>
      </c>
      <c r="F19" s="194">
        <f t="shared" si="5"/>
        <v>0.20226066859632597</v>
      </c>
      <c r="K19" s="114">
        <f t="shared" si="6"/>
        <v>0.20681301601884478</v>
      </c>
      <c r="L19" s="114">
        <f t="shared" si="3"/>
        <v>0.21187240941818569</v>
      </c>
      <c r="M19" s="114">
        <f t="shared" si="3"/>
        <v>0.21532904186887566</v>
      </c>
      <c r="N19" s="114">
        <f t="shared" si="3"/>
        <v>0.21739542684991425</v>
      </c>
      <c r="O19" s="114">
        <f t="shared" si="3"/>
        <v>0.22370723267434656</v>
      </c>
      <c r="P19" s="114">
        <f t="shared" si="3"/>
        <v>0.22714232188243746</v>
      </c>
      <c r="Q19" s="114">
        <f t="shared" si="3"/>
        <v>0.22662862386045102</v>
      </c>
      <c r="R19" s="114">
        <f t="shared" si="3"/>
        <v>0.20226066859632597</v>
      </c>
      <c r="S19" s="114">
        <f t="shared" si="3"/>
        <v>0.20516067409399877</v>
      </c>
      <c r="T19" s="114">
        <f t="shared" si="3"/>
        <v>0.20940204267133486</v>
      </c>
      <c r="U19" s="114">
        <f t="shared" si="3"/>
        <v>0.21397206657877588</v>
      </c>
      <c r="V19" s="114">
        <f t="shared" si="3"/>
        <v>0.21816532803404284</v>
      </c>
      <c r="W19" s="114">
        <f t="shared" si="3"/>
        <v>0.22202625967132111</v>
      </c>
      <c r="X19" s="114">
        <f t="shared" si="3"/>
        <v>0.22820376869894543</v>
      </c>
      <c r="Y19" s="114">
        <f t="shared" si="3"/>
        <v>0.23412465376856106</v>
      </c>
      <c r="Z19" s="114">
        <f t="shared" si="3"/>
        <v>0.24024245669567973</v>
      </c>
      <c r="AA19" s="114">
        <f t="shared" si="3"/>
        <v>0.24730232184292697</v>
      </c>
      <c r="AB19" s="114">
        <f t="shared" si="3"/>
        <v>0.2531110960622453</v>
      </c>
      <c r="AC19" s="114">
        <f t="shared" si="3"/>
        <v>0.26010736073720786</v>
      </c>
      <c r="AD19" s="114">
        <f t="shared" si="3"/>
        <v>0.26588292156296223</v>
      </c>
      <c r="AE19" s="114">
        <f t="shared" si="3"/>
        <v>0.27234789891765165</v>
      </c>
      <c r="AF19" s="114">
        <f t="shared" si="3"/>
        <v>0.2791965527187083</v>
      </c>
      <c r="AG19" s="114">
        <f t="shared" si="3"/>
        <v>0.28637981779266364</v>
      </c>
      <c r="AH19" s="114">
        <f t="shared" si="3"/>
        <v>0.29318203447734137</v>
      </c>
      <c r="AI19" s="114">
        <f t="shared" si="3"/>
        <v>0.29983113440277731</v>
      </c>
      <c r="AJ19" s="114">
        <f t="shared" si="3"/>
        <v>0.30603493097722489</v>
      </c>
      <c r="AK19" s="114">
        <f t="shared" si="3"/>
        <v>0.31212539705983949</v>
      </c>
      <c r="AL19" s="114">
        <f t="shared" si="3"/>
        <v>0.31824694973625656</v>
      </c>
      <c r="AM19" s="114">
        <f t="shared" si="3"/>
        <v>0.35051186865463507</v>
      </c>
      <c r="AN19" s="114">
        <f t="shared" si="3"/>
        <v>0.3787460715884326</v>
      </c>
      <c r="AO19" s="114">
        <f t="shared" si="3"/>
        <v>0.3787460715884326</v>
      </c>
      <c r="AP19" s="114">
        <f t="shared" si="3"/>
        <v>0.3787460715884326</v>
      </c>
      <c r="AQ19" s="114"/>
      <c r="AR19" s="114"/>
      <c r="AS19" s="114"/>
      <c r="AT19" s="114"/>
      <c r="AU19" s="114"/>
      <c r="AV19" s="114"/>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4">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6">
        <f>INDEX(Drivers!$C$31:$AG$33,$B22,J$21)</f>
        <v>26.164390783448656</v>
      </c>
      <c r="K22" s="66">
        <f>INDEX(Drivers!$C$31:$AG$33,$B22,K$21)</f>
        <v>26.379251330070801</v>
      </c>
      <c r="L22" s="66">
        <f>INDEX(Drivers!$C$31:$AG$33,$B22,L$21)</f>
        <v>26.321563508905001</v>
      </c>
      <c r="M22" s="66">
        <f>INDEX(Drivers!$C$31:$AG$33,$B22,M$21)</f>
        <v>26.360993218184007</v>
      </c>
      <c r="N22" s="66">
        <f>INDEX(Drivers!$C$31:$AG$33,$B22,N$21)</f>
        <v>26.55165611504972</v>
      </c>
      <c r="O22" s="66">
        <f>INDEX(Drivers!$C$31:$AG$33,$B22,O$21)</f>
        <v>26.578764727799523</v>
      </c>
      <c r="P22" s="66">
        <f>INDEX(Drivers!$C$31:$AG$33,$B22,P$21)</f>
        <v>26.623535799649542</v>
      </c>
      <c r="Q22" s="66">
        <f>INDEX(Drivers!$C$31:$AG$33,$B22,Q$21)</f>
        <v>26.911307025844376</v>
      </c>
      <c r="R22" s="66">
        <f>INDEX(Drivers!$C$31:$AG$33,$B22,R$21)</f>
        <v>28.111589337230718</v>
      </c>
      <c r="S22" s="66">
        <f>INDEX(Drivers!$C$31:$AG$33,$B22,S$21)</f>
        <v>29.277268001984922</v>
      </c>
      <c r="T22" s="66">
        <f>INDEX(Drivers!$C$31:$AG$33,$B22,T$21)</f>
        <v>29.225063761101811</v>
      </c>
      <c r="U22" s="66">
        <f>INDEX(Drivers!$C$31:$AG$33,$B22,U$21)</f>
        <v>29.174243991646591</v>
      </c>
      <c r="V22" s="66">
        <f>INDEX(Drivers!$C$31:$AG$33,$B22,V$21)</f>
        <v>29.116291351858223</v>
      </c>
      <c r="W22" s="66">
        <f>INDEX(Drivers!$C$31:$AG$33,$B22,W$21)</f>
        <v>29.081484310034714</v>
      </c>
      <c r="X22" s="66">
        <f>INDEX(Drivers!$C$31:$AG$33,$B22,X$21)</f>
        <v>28.888729098492881</v>
      </c>
      <c r="Y22" s="66">
        <f>INDEX(Drivers!$C$31:$AG$33,$B22,Y$21)</f>
        <v>28.653935704390594</v>
      </c>
      <c r="Z22" s="66">
        <f>INDEX(Drivers!$C$31:$AG$33,$B22,Z$21)</f>
        <v>28.412858344089109</v>
      </c>
      <c r="AA22" s="66">
        <f>INDEX(Drivers!$C$31:$AG$33,$B22,AA$21)</f>
        <v>28.11896804068763</v>
      </c>
      <c r="AB22" s="66">
        <f>INDEX(Drivers!$C$31:$AG$33,$B22,AB$21)</f>
        <v>27.84457886154026</v>
      </c>
      <c r="AC22" s="66">
        <f>INDEX(Drivers!$C$31:$AG$33,$B22,AC$21)</f>
        <v>27.508896452943109</v>
      </c>
      <c r="AD22" s="66">
        <f>INDEX(Drivers!$C$31:$AG$33,$B22,AD$21)</f>
        <v>27.184672818633722</v>
      </c>
      <c r="AE22" s="66">
        <f>INDEX(Drivers!$C$31:$AG$33,$B22,AE$21)</f>
        <v>26.849793555081213</v>
      </c>
      <c r="AF22" s="66">
        <f>INDEX(Drivers!$C$31:$AG$33,$B22,AF$21)</f>
        <v>26.468828487558245</v>
      </c>
      <c r="AG22" s="66">
        <f>INDEX(Drivers!$C$31:$AG$33,$B22,AG$21)</f>
        <v>26.055520678280907</v>
      </c>
      <c r="AH22" s="66">
        <f>INDEX(Drivers!$C$31:$AG$33,$B22,AH$21)</f>
        <v>25.611588375949609</v>
      </c>
      <c r="AI22" s="66">
        <f>INDEX(Drivers!$C$31:$AG$33,$B22,AI$21)</f>
        <v>25.186854714664566</v>
      </c>
      <c r="AJ22" s="66">
        <f>INDEX(Drivers!$C$31:$AG$33,$B22,AJ$21)</f>
        <v>24.779803437377858</v>
      </c>
      <c r="AK22" s="66">
        <f>INDEX(Drivers!$C$31:$AG$33,$B22,AK$21)</f>
        <v>24.385460327352369</v>
      </c>
      <c r="AL22" s="66">
        <f>INDEX(Drivers!$C$31:$AG$33,$B22,AL$21)</f>
        <v>23.986195872849844</v>
      </c>
      <c r="AM22" s="66">
        <f>INDEX(Drivers!$C$31:$AG$33,$B22,AM$21)</f>
        <v>21.788183856657625</v>
      </c>
      <c r="AN22" s="66">
        <f>INDEX(Drivers!$C$31:$AG$33,$B22,AN$21)</f>
        <v>19.593316062021987</v>
      </c>
      <c r="AO22" s="66">
        <f t="shared" ref="AO22:AP24" si="7">AN22</f>
        <v>19.593316062021987</v>
      </c>
      <c r="AP22" s="66">
        <f t="shared" si="7"/>
        <v>19.593316062021987</v>
      </c>
      <c r="AQ22" s="66"/>
      <c r="AR22" s="66"/>
      <c r="AS22" s="66"/>
      <c r="AT22" s="66"/>
      <c r="AU22" s="66"/>
      <c r="AV22" s="66"/>
    </row>
    <row r="23" spans="1:48">
      <c r="A23" s="4" t="s">
        <v>16</v>
      </c>
      <c r="B23" s="54">
        <v>2</v>
      </c>
      <c r="C23" s="4" t="s">
        <v>8</v>
      </c>
      <c r="D23" s="4" t="s">
        <v>47</v>
      </c>
      <c r="E23" s="10">
        <f>SUMIF($J$3:$AV$3,E$21,$J23:$AV23)</f>
        <v>15.698634470069196</v>
      </c>
      <c r="F23" s="10">
        <f t="shared" ref="F23:I24" si="8">SUMIF($J$3:$AV$3,F$21,$J23:$AV23)</f>
        <v>19.201285369797056</v>
      </c>
      <c r="G23" s="10">
        <f t="shared" si="8"/>
        <v>21.41729290657965</v>
      </c>
      <c r="H23" s="10">
        <f t="shared" si="8"/>
        <v>24.674136706158219</v>
      </c>
      <c r="I23" s="24">
        <f t="shared" si="8"/>
        <v>27.322481569655267</v>
      </c>
      <c r="J23" s="66">
        <f>INDEX(Drivers!$C$31:$AG$33,$B23,J$21)</f>
        <v>15.698634470069196</v>
      </c>
      <c r="K23" s="66">
        <f>INDEX(Drivers!$C$31:$AG$33,$B23,K$21)</f>
        <v>15.74245680105571</v>
      </c>
      <c r="L23" s="66">
        <f>INDEX(Drivers!$C$31:$AG$33,$B23,L$21)</f>
        <v>16.168259366046819</v>
      </c>
      <c r="M23" s="66">
        <f>INDEX(Drivers!$C$31:$AG$33,$B23,M$21)</f>
        <v>16.60012737178209</v>
      </c>
      <c r="N23" s="66">
        <f>INDEX(Drivers!$C$31:$AG$33,$B23,N$21)</f>
        <v>16.976763654970718</v>
      </c>
      <c r="O23" s="66">
        <f>INDEX(Drivers!$C$31:$AG$33,$B23,O$21)</f>
        <v>17.298814732088275</v>
      </c>
      <c r="P23" s="66">
        <f>INDEX(Drivers!$C$31:$AG$33,$B23,P$21)</f>
        <v>17.766318277795556</v>
      </c>
      <c r="Q23" s="66">
        <f>INDEX(Drivers!$C$31:$AG$33,$B23,Q$21)</f>
        <v>18.226385675800731</v>
      </c>
      <c r="R23" s="66">
        <f>INDEX(Drivers!$C$31:$AG$33,$B23,R$21)</f>
        <v>19.201285369797056</v>
      </c>
      <c r="S23" s="66">
        <f>INDEX(Drivers!$C$31:$AG$33,$B23,S$21)</f>
        <v>18.406399362296234</v>
      </c>
      <c r="T23" s="66">
        <f>INDEX(Drivers!$C$31:$AG$33,$B23,T$21)</f>
        <v>18.750265400079719</v>
      </c>
      <c r="U23" s="66">
        <f>INDEX(Drivers!$C$31:$AG$33,$B23,U$21)</f>
        <v>19.072968531164133</v>
      </c>
      <c r="V23" s="66">
        <f>INDEX(Drivers!$C$31:$AG$33,$B23,V$21)</f>
        <v>19.426097520426012</v>
      </c>
      <c r="W23" s="66">
        <f>INDEX(Drivers!$C$31:$AG$33,$B23,W$21)</f>
        <v>19.777353108177905</v>
      </c>
      <c r="X23" s="66">
        <f>INDEX(Drivers!$C$31:$AG$33,$B23,X$21)</f>
        <v>20.059410117564614</v>
      </c>
      <c r="Y23" s="66">
        <f>INDEX(Drivers!$C$31:$AG$33,$B23,Y$21)</f>
        <v>20.396962551576763</v>
      </c>
      <c r="Z23" s="66">
        <f>INDEX(Drivers!$C$31:$AG$33,$B23,Z$21)</f>
        <v>20.725341037956394</v>
      </c>
      <c r="AA23" s="66">
        <f>INDEX(Drivers!$C$31:$AG$33,$B23,AA$21)</f>
        <v>21.041967170884149</v>
      </c>
      <c r="AB23" s="66">
        <f>INDEX(Drivers!$C$31:$AG$33,$B23,AB$21)</f>
        <v>21.41729290657965</v>
      </c>
      <c r="AC23" s="66">
        <f>INDEX(Drivers!$C$31:$AG$33,$B23,AC$21)</f>
        <v>21.708005141736258</v>
      </c>
      <c r="AD23" s="66">
        <f>INDEX(Drivers!$C$31:$AG$33,$B23,AD$21)</f>
        <v>22.064796052396794</v>
      </c>
      <c r="AE23" s="66">
        <f>INDEX(Drivers!$C$31:$AG$33,$B23,AE$21)</f>
        <v>22.382568441026983</v>
      </c>
      <c r="AF23" s="66">
        <f>INDEX(Drivers!$C$31:$AG$33,$B23,AF$21)</f>
        <v>22.716366832356989</v>
      </c>
      <c r="AG23" s="66">
        <f>INDEX(Drivers!$C$31:$AG$33,$B23,AG$21)</f>
        <v>23.055089514161406</v>
      </c>
      <c r="AH23" s="66">
        <f>INDEX(Drivers!$C$31:$AG$33,$B23,AH$21)</f>
        <v>23.387019498469286</v>
      </c>
      <c r="AI23" s="66">
        <f>INDEX(Drivers!$C$31:$AG$33,$B23,AI$21)</f>
        <v>23.706170767246938</v>
      </c>
      <c r="AJ23" s="66">
        <f>INDEX(Drivers!$C$31:$AG$33,$B23,AJ$21)</f>
        <v>24.034790726882992</v>
      </c>
      <c r="AK23" s="66">
        <f>INDEX(Drivers!$C$31:$AG$33,$B23,AK$21)</f>
        <v>24.35496367800172</v>
      </c>
      <c r="AL23" s="66">
        <f>INDEX(Drivers!$C$31:$AG$33,$B23,AL$21)</f>
        <v>24.674136706158219</v>
      </c>
      <c r="AM23" s="66">
        <f>INDEX(Drivers!$C$31:$AG$33,$B23,AM$21)</f>
        <v>26.026837505376491</v>
      </c>
      <c r="AN23" s="66">
        <f>INDEX(Drivers!$C$31:$AG$33,$B23,AN$21)</f>
        <v>27.322481569655267</v>
      </c>
      <c r="AO23" s="66">
        <f t="shared" si="7"/>
        <v>27.322481569655267</v>
      </c>
      <c r="AP23" s="66">
        <f t="shared" si="7"/>
        <v>27.322481569655267</v>
      </c>
      <c r="AQ23" s="66"/>
      <c r="AR23" s="66"/>
      <c r="AS23" s="66"/>
      <c r="AT23" s="66"/>
      <c r="AU23" s="66"/>
      <c r="AV23" s="66"/>
    </row>
    <row r="24" spans="1:48">
      <c r="A24" s="4" t="s">
        <v>16</v>
      </c>
      <c r="B24" s="54">
        <v>3</v>
      </c>
      <c r="C24" s="4" t="s">
        <v>406</v>
      </c>
      <c r="D24" s="4" t="s">
        <v>47</v>
      </c>
      <c r="E24" s="10">
        <f>SUMIF($J$3:$AV$3,E$21,$J24:$AV24)</f>
        <v>10.46240762855223</v>
      </c>
      <c r="F24" s="10">
        <f t="shared" si="8"/>
        <v>11.995815292972233</v>
      </c>
      <c r="G24" s="10">
        <f t="shared" si="8"/>
        <v>16.694218231880097</v>
      </c>
      <c r="H24" s="10">
        <f t="shared" si="8"/>
        <v>22.714973420991928</v>
      </c>
      <c r="I24" s="24">
        <f t="shared" si="8"/>
        <v>28.602111368322735</v>
      </c>
      <c r="J24" s="66">
        <f>INDEX(Drivers!$C$31:$AG$33,$B24,J$21)</f>
        <v>10.46240762855223</v>
      </c>
      <c r="K24" s="66">
        <f>INDEX(Drivers!$C$31:$AG$33,$B24,K$21)</f>
        <v>10.98267832729683</v>
      </c>
      <c r="L24" s="66">
        <f>INDEX(Drivers!$C$31:$AG$33,$B24,L$21)</f>
        <v>11.422542816477451</v>
      </c>
      <c r="M24" s="66">
        <f>INDEX(Drivers!$C$31:$AG$33,$B24,M$21)</f>
        <v>11.789370867355018</v>
      </c>
      <c r="N24" s="66">
        <f>INDEX(Drivers!$C$31:$AG$33,$B24,N$21)</f>
        <v>12.091520699804388</v>
      </c>
      <c r="O24" s="66">
        <f>INDEX(Drivers!$C$31:$AG$33,$B24,O$21)</f>
        <v>12.644368581760297</v>
      </c>
      <c r="P24" s="66">
        <f>INDEX(Drivers!$C$31:$AG$33,$B24,P$21)</f>
        <v>13.046146539854554</v>
      </c>
      <c r="Q24" s="66">
        <f>INDEX(Drivers!$C$31:$AG$33,$B24,Q$21)</f>
        <v>13.227142220174334</v>
      </c>
      <c r="R24" s="66">
        <f>INDEX(Drivers!$C$31:$AG$33,$B24,R$21)</f>
        <v>11.995815292972233</v>
      </c>
      <c r="S24" s="66">
        <f>INDEX(Drivers!$C$31:$AG$33,$B24,S$21)</f>
        <v>12.307913084923102</v>
      </c>
      <c r="T24" s="66">
        <f>INDEX(Drivers!$C$31:$AG$33,$B24,T$21)</f>
        <v>12.707004655217851</v>
      </c>
      <c r="U24" s="66">
        <f>INDEX(Drivers!$C$31:$AG$33,$B24,U$21)</f>
        <v>13.133828113763638</v>
      </c>
      <c r="V24" s="66">
        <f>INDEX(Drivers!$C$31:$AG$33,$B24,V$21)</f>
        <v>13.545403614869469</v>
      </c>
      <c r="W24" s="66">
        <f>INDEX(Drivers!$C$31:$AG$33,$B24,W$21)</f>
        <v>13.94384458178741</v>
      </c>
      <c r="X24" s="66">
        <f>INDEX(Drivers!$C$31:$AG$33,$B24,X$21)</f>
        <v>14.472926125947646</v>
      </c>
      <c r="Y24" s="66">
        <f>INDEX(Drivers!$C$31:$AG$33,$B24,Y$21)</f>
        <v>14.994639307458437</v>
      </c>
      <c r="Z24" s="66">
        <f>INDEX(Drivers!$C$31:$AG$33,$B24,Z$21)</f>
        <v>15.53795923605095</v>
      </c>
      <c r="AA24" s="66">
        <f>INDEX(Drivers!$C$31:$AG$33,$B24,AA$21)</f>
        <v>16.152053838612154</v>
      </c>
      <c r="AB24" s="66">
        <f>INDEX(Drivers!$C$31:$AG$33,$B24,AB$21)</f>
        <v>16.694218231880097</v>
      </c>
      <c r="AC24" s="66">
        <f>INDEX(Drivers!$C$31:$AG$33,$B24,AC$21)</f>
        <v>17.302075596008297</v>
      </c>
      <c r="AD24" s="66">
        <f>INDEX(Drivers!$C$31:$AG$33,$B24,AD$21)</f>
        <v>17.837199342552591</v>
      </c>
      <c r="AE24" s="66">
        <f>INDEX(Drivers!$C$31:$AG$33,$B24,AE$21)</f>
        <v>18.426842069787259</v>
      </c>
      <c r="AF24" s="66">
        <f>INDEX(Drivers!$C$31:$AG$33,$B24,AF$21)</f>
        <v>19.051430774799929</v>
      </c>
      <c r="AG24" s="66">
        <f>INDEX(Drivers!$C$31:$AG$33,$B24,AG$21)</f>
        <v>19.708365807557694</v>
      </c>
      <c r="AH24" s="66">
        <f>INDEX(Drivers!$C$31:$AG$33,$B24,AH$21)</f>
        <v>20.324202614964648</v>
      </c>
      <c r="AI24" s="66">
        <f>INDEX(Drivers!$C$31:$AG$33,$B24,AI$21)</f>
        <v>20.937308147972544</v>
      </c>
      <c r="AJ24" s="66">
        <f>INDEX(Drivers!$C$31:$AG$33,$B24,AJ$21)</f>
        <v>21.526978262432596</v>
      </c>
      <c r="AK24" s="66">
        <f>INDEX(Drivers!$C$31:$AG$33,$B24,AK$21)</f>
        <v>22.116130077358729</v>
      </c>
      <c r="AL24" s="66">
        <f>INDEX(Drivers!$C$31:$AG$33,$B24,AL$21)</f>
        <v>22.714973420991928</v>
      </c>
      <c r="AM24" s="66">
        <f>INDEX(Drivers!$C$31:$AG$33,$B24,AM$21)</f>
        <v>25.804524637965855</v>
      </c>
      <c r="AN24" s="66">
        <f>INDEX(Drivers!$C$31:$AG$33,$B24,AN$21)</f>
        <v>28.602111368322735</v>
      </c>
      <c r="AO24" s="66">
        <f t="shared" si="7"/>
        <v>28.602111368322735</v>
      </c>
      <c r="AP24" s="66">
        <f t="shared" si="7"/>
        <v>28.602111368322735</v>
      </c>
      <c r="AQ24" s="66"/>
      <c r="AR24" s="66"/>
      <c r="AS24" s="66"/>
      <c r="AT24" s="66"/>
      <c r="AU24" s="66"/>
      <c r="AV24" s="66"/>
    </row>
    <row r="25" spans="1:48">
      <c r="A25" s="4" t="s">
        <v>16</v>
      </c>
      <c r="E25" s="48">
        <f t="shared" ref="E25:K25" si="9">SUM(E22:E24)</f>
        <v>52.325432882070082</v>
      </c>
      <c r="F25" s="48">
        <f t="shared" si="9"/>
        <v>59.308690000000006</v>
      </c>
      <c r="G25" s="48">
        <f t="shared" si="9"/>
        <v>65.956090000000003</v>
      </c>
      <c r="H25" s="48">
        <f t="shared" si="9"/>
        <v>71.375305999999995</v>
      </c>
      <c r="I25" s="48">
        <f t="shared" si="9"/>
        <v>75.517908999999989</v>
      </c>
      <c r="J25" s="118">
        <f t="shared" si="9"/>
        <v>52.325432882070082</v>
      </c>
      <c r="K25" s="118">
        <f t="shared" si="9"/>
        <v>53.104386458423342</v>
      </c>
      <c r="L25" s="118">
        <f t="shared" ref="L25:AP25" si="10">SUM(L22:L24)</f>
        <v>53.912365691429272</v>
      </c>
      <c r="M25" s="118">
        <f t="shared" si="10"/>
        <v>54.750491457321118</v>
      </c>
      <c r="N25" s="118">
        <f t="shared" si="10"/>
        <v>55.619940469824826</v>
      </c>
      <c r="O25" s="118">
        <f t="shared" si="10"/>
        <v>56.521948041648095</v>
      </c>
      <c r="P25" s="118">
        <f t="shared" si="10"/>
        <v>57.436000617299648</v>
      </c>
      <c r="Q25" s="118">
        <f t="shared" si="10"/>
        <v>58.364834921819444</v>
      </c>
      <c r="R25" s="118">
        <f t="shared" si="10"/>
        <v>59.308690000000006</v>
      </c>
      <c r="S25" s="118">
        <f t="shared" si="10"/>
        <v>59.991580449204257</v>
      </c>
      <c r="T25" s="118">
        <f t="shared" si="10"/>
        <v>60.682333816399385</v>
      </c>
      <c r="U25" s="118">
        <f t="shared" si="10"/>
        <v>61.381040636574369</v>
      </c>
      <c r="V25" s="118">
        <f t="shared" si="10"/>
        <v>62.087792487153706</v>
      </c>
      <c r="W25" s="118">
        <f t="shared" si="10"/>
        <v>62.802682000000026</v>
      </c>
      <c r="X25" s="118">
        <f t="shared" si="10"/>
        <v>63.421065342005143</v>
      </c>
      <c r="Y25" s="118">
        <f t="shared" si="10"/>
        <v>64.045537563425796</v>
      </c>
      <c r="Z25" s="118">
        <f t="shared" si="10"/>
        <v>64.676158618096451</v>
      </c>
      <c r="AA25" s="118">
        <f t="shared" si="10"/>
        <v>65.312989050183944</v>
      </c>
      <c r="AB25" s="118">
        <f t="shared" si="10"/>
        <v>65.956090000000003</v>
      </c>
      <c r="AC25" s="118">
        <f t="shared" si="10"/>
        <v>66.518977190687664</v>
      </c>
      <c r="AD25" s="118">
        <f t="shared" si="10"/>
        <v>67.08666821358311</v>
      </c>
      <c r="AE25" s="118">
        <f t="shared" si="10"/>
        <v>67.659204065895452</v>
      </c>
      <c r="AF25" s="118">
        <f t="shared" si="10"/>
        <v>68.236626094715163</v>
      </c>
      <c r="AG25" s="118">
        <f t="shared" si="10"/>
        <v>68.818976000000006</v>
      </c>
      <c r="AH25" s="118">
        <f t="shared" si="10"/>
        <v>69.322810489383542</v>
      </c>
      <c r="AI25" s="118">
        <f t="shared" si="10"/>
        <v>69.830333629884052</v>
      </c>
      <c r="AJ25" s="118">
        <f t="shared" si="10"/>
        <v>70.341572426693446</v>
      </c>
      <c r="AK25" s="118">
        <f t="shared" si="10"/>
        <v>70.856554082712819</v>
      </c>
      <c r="AL25" s="118">
        <f t="shared" si="10"/>
        <v>71.375305999999995</v>
      </c>
      <c r="AM25" s="118">
        <f t="shared" si="10"/>
        <v>73.619545999999971</v>
      </c>
      <c r="AN25" s="118">
        <f t="shared" si="10"/>
        <v>75.517908999999989</v>
      </c>
      <c r="AO25" s="118">
        <f t="shared" si="10"/>
        <v>75.517908999999989</v>
      </c>
      <c r="AP25" s="118">
        <f t="shared" si="10"/>
        <v>75.517908999999989</v>
      </c>
      <c r="AQ25" s="118"/>
      <c r="AR25" s="118"/>
      <c r="AS25" s="118"/>
      <c r="AT25" s="118"/>
      <c r="AU25" s="118"/>
      <c r="AV25" s="118"/>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19">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4">
        <f>(AL29+AN29)/2</f>
        <v>0.92500000000000004</v>
      </c>
      <c r="AN29" s="4">
        <f t="shared" si="11"/>
        <v>0.95</v>
      </c>
      <c r="AO29" s="4">
        <f t="shared" si="11"/>
        <v>0.95</v>
      </c>
      <c r="AP29" s="4">
        <f t="shared" si="11"/>
        <v>0.95</v>
      </c>
    </row>
    <row r="30" spans="1:48">
      <c r="A30" s="4" t="s">
        <v>16</v>
      </c>
      <c r="C30" s="4" t="s">
        <v>8</v>
      </c>
      <c r="D30" s="4" t="s">
        <v>48</v>
      </c>
      <c r="E30" s="85">
        <v>0.83</v>
      </c>
      <c r="F30" s="35">
        <v>0.9</v>
      </c>
      <c r="G30" s="35">
        <v>0.95</v>
      </c>
      <c r="H30" s="35">
        <v>0.95</v>
      </c>
      <c r="I30" s="119">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4">
        <f>(AL30+AN30)/2</f>
        <v>0.97499999999999998</v>
      </c>
      <c r="AN30" s="4">
        <f t="shared" si="11"/>
        <v>1</v>
      </c>
      <c r="AO30" s="4">
        <f t="shared" si="11"/>
        <v>1</v>
      </c>
      <c r="AP30" s="4">
        <f t="shared" si="11"/>
        <v>1</v>
      </c>
    </row>
    <row r="31" spans="1:48">
      <c r="A31" s="4" t="s">
        <v>16</v>
      </c>
      <c r="C31" s="4" t="s">
        <v>54</v>
      </c>
      <c r="D31" s="4" t="s">
        <v>48</v>
      </c>
      <c r="E31" s="85">
        <f>(E29*E22+E30*E23+E24)/E25</f>
        <v>0.80398745653518777</v>
      </c>
      <c r="F31" s="69">
        <f>(F29*F22+F30*F23+F24)/F25</f>
        <v>0.87282729724049135</v>
      </c>
      <c r="G31" s="69">
        <f>(G29*G22+G30*G23+G24)/G25</f>
        <v>0.92043871195881943</v>
      </c>
      <c r="H31" s="69">
        <f>(H29*H22+H30*H23+H24)/H25</f>
        <v>0.94910948020884289</v>
      </c>
      <c r="I31" s="69">
        <f>(I29*I22+I30*I23+I24)/I25</f>
        <v>0.98702737117494743</v>
      </c>
      <c r="J31" s="65"/>
    </row>
    <row r="32" spans="1:48">
      <c r="A32" s="4" t="s">
        <v>16</v>
      </c>
      <c r="N32" s="194"/>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23.667892032309219</v>
      </c>
      <c r="H34" s="10">
        <f t="shared" si="12"/>
        <v>21.587576285564861</v>
      </c>
      <c r="I34" s="10">
        <f t="shared" si="12"/>
        <v>18.613650258920888</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3">
        <f t="shared" si="13"/>
        <v>22.489271469784576</v>
      </c>
      <c r="S34" s="10">
        <f t="shared" si="13"/>
        <v>23.568200741597863</v>
      </c>
      <c r="T34" s="10">
        <f t="shared" si="13"/>
        <v>23.672301646492468</v>
      </c>
      <c r="U34" s="10">
        <f t="shared" si="13"/>
        <v>23.777008853191973</v>
      </c>
      <c r="V34" s="10">
        <f t="shared" si="13"/>
        <v>23.875358908523744</v>
      </c>
      <c r="W34" s="10">
        <f t="shared" si="13"/>
        <v>23.992224555778641</v>
      </c>
      <c r="X34" s="10">
        <f t="shared" si="13"/>
        <v>23.977645151749094</v>
      </c>
      <c r="Y34" s="10">
        <f t="shared" si="13"/>
        <v>23.926036313166147</v>
      </c>
      <c r="Z34" s="10">
        <f t="shared" si="13"/>
        <v>23.866801009034855</v>
      </c>
      <c r="AA34" s="10">
        <f t="shared" si="13"/>
        <v>23.76052799438105</v>
      </c>
      <c r="AB34" s="10">
        <f t="shared" si="13"/>
        <v>23.667892032309219</v>
      </c>
      <c r="AC34" s="10">
        <f t="shared" si="13"/>
        <v>23.520106467266359</v>
      </c>
      <c r="AD34" s="10">
        <f t="shared" si="13"/>
        <v>23.378818624025001</v>
      </c>
      <c r="AE34" s="10">
        <f t="shared" si="13"/>
        <v>23.225071425145249</v>
      </c>
      <c r="AF34" s="10">
        <f t="shared" si="13"/>
        <v>23.027880784175672</v>
      </c>
      <c r="AG34" s="10">
        <f t="shared" si="13"/>
        <v>22.798580593495792</v>
      </c>
      <c r="AH34" s="10">
        <f t="shared" si="13"/>
        <v>22.538197770835655</v>
      </c>
      <c r="AI34" s="10">
        <f t="shared" si="13"/>
        <v>22.29036642247814</v>
      </c>
      <c r="AJ34" s="10">
        <f t="shared" si="13"/>
        <v>22.054025059266294</v>
      </c>
      <c r="AK34" s="10">
        <f t="shared" si="13"/>
        <v>21.824986992980371</v>
      </c>
      <c r="AL34" s="10">
        <f t="shared" si="13"/>
        <v>21.587576285564861</v>
      </c>
      <c r="AM34" s="10">
        <f t="shared" si="13"/>
        <v>20.154070067408306</v>
      </c>
      <c r="AN34" s="10">
        <f t="shared" si="13"/>
        <v>18.613650258920888</v>
      </c>
      <c r="AO34" s="10">
        <f t="shared" si="13"/>
        <v>18.613650258920888</v>
      </c>
      <c r="AP34" s="10">
        <f t="shared" si="13"/>
        <v>18.613650258920888</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20.346428261250665</v>
      </c>
      <c r="H35" s="10">
        <f t="shared" si="12"/>
        <v>23.440429870850306</v>
      </c>
      <c r="I35" s="10">
        <f t="shared" si="12"/>
        <v>27.322481569655267</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16.657791422878091</v>
      </c>
      <c r="T35" s="10">
        <f t="shared" si="14"/>
        <v>17.062741514072545</v>
      </c>
      <c r="U35" s="10">
        <f t="shared" si="14"/>
        <v>17.451766206015183</v>
      </c>
      <c r="V35" s="10">
        <f t="shared" si="14"/>
        <v>17.872009718791933</v>
      </c>
      <c r="W35" s="10">
        <f t="shared" si="14"/>
        <v>18.294051625064565</v>
      </c>
      <c r="X35" s="10">
        <f t="shared" si="14"/>
        <v>18.65525140933509</v>
      </c>
      <c r="Y35" s="10">
        <f t="shared" si="14"/>
        <v>19.071159985724275</v>
      </c>
      <c r="Z35" s="10">
        <f t="shared" si="14"/>
        <v>19.481820575679013</v>
      </c>
      <c r="AA35" s="10">
        <f t="shared" si="14"/>
        <v>19.884658976485522</v>
      </c>
      <c r="AB35" s="10">
        <f t="shared" si="14"/>
        <v>20.346428261250665</v>
      </c>
      <c r="AC35" s="10">
        <f t="shared" si="14"/>
        <v>20.622604884649444</v>
      </c>
      <c r="AD35" s="10">
        <f t="shared" si="14"/>
        <v>20.961556249776955</v>
      </c>
      <c r="AE35" s="10">
        <f t="shared" si="14"/>
        <v>21.263440018975633</v>
      </c>
      <c r="AF35" s="10">
        <f t="shared" si="14"/>
        <v>21.58054849073914</v>
      </c>
      <c r="AG35" s="10">
        <f t="shared" si="14"/>
        <v>21.902335038453334</v>
      </c>
      <c r="AH35" s="10">
        <f t="shared" si="14"/>
        <v>22.217668523545822</v>
      </c>
      <c r="AI35" s="10">
        <f t="shared" si="14"/>
        <v>22.520862228884589</v>
      </c>
      <c r="AJ35" s="10">
        <f t="shared" si="14"/>
        <v>22.833051190538843</v>
      </c>
      <c r="AK35" s="10">
        <f t="shared" si="14"/>
        <v>23.137215494101632</v>
      </c>
      <c r="AL35" s="10">
        <f t="shared" si="14"/>
        <v>23.440429870850306</v>
      </c>
      <c r="AM35" s="10">
        <f t="shared" si="14"/>
        <v>25.376166567742079</v>
      </c>
      <c r="AN35" s="10">
        <f t="shared" si="14"/>
        <v>27.322481569655267</v>
      </c>
      <c r="AO35" s="10">
        <f t="shared" si="14"/>
        <v>27.322481569655267</v>
      </c>
      <c r="AP35" s="10">
        <f t="shared" si="14"/>
        <v>27.322481569655267</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12.307913084923102</v>
      </c>
      <c r="T36" s="10">
        <f t="shared" si="15"/>
        <v>12.707004655217851</v>
      </c>
      <c r="U36" s="10">
        <f t="shared" si="15"/>
        <v>13.133828113763638</v>
      </c>
      <c r="V36" s="10">
        <f t="shared" si="15"/>
        <v>13.545403614869469</v>
      </c>
      <c r="W36" s="10">
        <f t="shared" si="15"/>
        <v>13.94384458178741</v>
      </c>
      <c r="X36" s="10">
        <f t="shared" si="15"/>
        <v>14.472926125947646</v>
      </c>
      <c r="Y36" s="10">
        <f t="shared" si="15"/>
        <v>14.994639307458437</v>
      </c>
      <c r="Z36" s="10">
        <f t="shared" si="15"/>
        <v>15.53795923605095</v>
      </c>
      <c r="AA36" s="10">
        <f t="shared" si="15"/>
        <v>16.152053838612154</v>
      </c>
      <c r="AB36" s="10">
        <f t="shared" si="15"/>
        <v>16.694218231880097</v>
      </c>
      <c r="AC36" s="10">
        <f t="shared" si="15"/>
        <v>17.302075596008297</v>
      </c>
      <c r="AD36" s="10">
        <f t="shared" si="15"/>
        <v>17.837199342552591</v>
      </c>
      <c r="AE36" s="10">
        <f t="shared" si="15"/>
        <v>18.426842069787259</v>
      </c>
      <c r="AF36" s="10">
        <f t="shared" si="15"/>
        <v>19.051430774799929</v>
      </c>
      <c r="AG36" s="10">
        <f t="shared" si="15"/>
        <v>19.708365807557694</v>
      </c>
      <c r="AH36" s="10">
        <f t="shared" si="15"/>
        <v>20.324202614964648</v>
      </c>
      <c r="AI36" s="10">
        <f t="shared" si="15"/>
        <v>20.937308147972544</v>
      </c>
      <c r="AJ36" s="10">
        <f t="shared" si="15"/>
        <v>21.526978262432596</v>
      </c>
      <c r="AK36" s="10">
        <f t="shared" si="15"/>
        <v>22.116130077358729</v>
      </c>
      <c r="AL36" s="10">
        <f t="shared" si="15"/>
        <v>22.714973420991928</v>
      </c>
      <c r="AM36" s="10">
        <f t="shared" si="15"/>
        <v>25.804524637965855</v>
      </c>
      <c r="AN36" s="10">
        <f t="shared" si="15"/>
        <v>28.602111368322735</v>
      </c>
      <c r="AO36" s="10">
        <f t="shared" si="15"/>
        <v>28.602111368322735</v>
      </c>
      <c r="AP36" s="10">
        <f t="shared" si="15"/>
        <v>28.602111368322735</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4.1766868292310413</v>
      </c>
      <c r="H37" s="10">
        <f t="shared" si="16"/>
        <v>2.3986195872849834</v>
      </c>
      <c r="I37" s="10">
        <f t="shared" si="16"/>
        <v>0.97966580310109919</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5.7090672603870587</v>
      </c>
      <c r="T37" s="10">
        <f t="shared" si="17"/>
        <v>5.5527621146093438</v>
      </c>
      <c r="U37" s="10">
        <f t="shared" si="17"/>
        <v>5.3972351384546187</v>
      </c>
      <c r="V37" s="10">
        <f t="shared" si="17"/>
        <v>5.2409324433344793</v>
      </c>
      <c r="W37" s="10">
        <f t="shared" si="17"/>
        <v>5.0892597542560729</v>
      </c>
      <c r="X37" s="10">
        <f t="shared" si="17"/>
        <v>4.911083946743787</v>
      </c>
      <c r="Y37" s="10">
        <f t="shared" si="17"/>
        <v>4.7278993912244474</v>
      </c>
      <c r="Z37" s="10">
        <f t="shared" si="17"/>
        <v>4.5460573350542539</v>
      </c>
      <c r="AA37" s="10">
        <f t="shared" si="17"/>
        <v>4.3584400463065798</v>
      </c>
      <c r="AB37" s="10">
        <f t="shared" si="17"/>
        <v>4.1766868292310413</v>
      </c>
      <c r="AC37" s="10">
        <f t="shared" si="17"/>
        <v>3.9887899856767497</v>
      </c>
      <c r="AD37" s="10">
        <f t="shared" si="17"/>
        <v>3.8058541946087203</v>
      </c>
      <c r="AE37" s="10">
        <f t="shared" si="17"/>
        <v>3.6247221299359644</v>
      </c>
      <c r="AF37" s="10">
        <f t="shared" si="17"/>
        <v>3.4409477033825731</v>
      </c>
      <c r="AG37" s="10">
        <f t="shared" si="17"/>
        <v>3.2569400847851142</v>
      </c>
      <c r="AH37" s="10">
        <f t="shared" si="17"/>
        <v>3.0733906051139535</v>
      </c>
      <c r="AI37" s="10">
        <f t="shared" si="17"/>
        <v>2.8964882921864259</v>
      </c>
      <c r="AJ37" s="10">
        <f t="shared" si="17"/>
        <v>2.7257783781115634</v>
      </c>
      <c r="AK37" s="10">
        <f t="shared" si="17"/>
        <v>2.5604733343719985</v>
      </c>
      <c r="AL37" s="10">
        <f t="shared" si="17"/>
        <v>2.3986195872849834</v>
      </c>
      <c r="AM37" s="10">
        <f t="shared" si="17"/>
        <v>1.6341137892493194</v>
      </c>
      <c r="AN37" s="10">
        <f t="shared" si="17"/>
        <v>0.97966580310109919</v>
      </c>
      <c r="AO37" s="10">
        <f t="shared" si="17"/>
        <v>0.97966580310109919</v>
      </c>
      <c r="AP37" s="10">
        <f t="shared" si="17"/>
        <v>0.97966580310109919</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1.0708646453289852</v>
      </c>
      <c r="H38" s="10">
        <f t="shared" si="16"/>
        <v>1.2337068353079133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1.7486079394181431</v>
      </c>
      <c r="T38" s="10">
        <f t="shared" si="18"/>
        <v>1.687523886007174</v>
      </c>
      <c r="U38" s="10">
        <f t="shared" si="18"/>
        <v>1.6212023251489498</v>
      </c>
      <c r="V38" s="10">
        <f t="shared" si="18"/>
        <v>1.5540878016340791</v>
      </c>
      <c r="W38" s="10">
        <f t="shared" si="18"/>
        <v>1.4833014831133404</v>
      </c>
      <c r="X38" s="10">
        <f t="shared" si="18"/>
        <v>1.4041587082295237</v>
      </c>
      <c r="Y38" s="10">
        <f t="shared" si="18"/>
        <v>1.3258025658524879</v>
      </c>
      <c r="Z38" s="10">
        <f t="shared" si="18"/>
        <v>1.243520462277381</v>
      </c>
      <c r="AA38" s="10">
        <f t="shared" si="18"/>
        <v>1.1573081943986274</v>
      </c>
      <c r="AB38" s="10">
        <f t="shared" si="18"/>
        <v>1.0708646453289852</v>
      </c>
      <c r="AC38" s="10">
        <f t="shared" si="18"/>
        <v>1.085400257086814</v>
      </c>
      <c r="AD38" s="10">
        <f t="shared" si="18"/>
        <v>1.1032398026198393</v>
      </c>
      <c r="AE38" s="10">
        <f t="shared" si="18"/>
        <v>1.1191284220513502</v>
      </c>
      <c r="AF38" s="10">
        <f t="shared" si="18"/>
        <v>1.1358183416178491</v>
      </c>
      <c r="AG38" s="10">
        <f t="shared" si="18"/>
        <v>1.1527544757080719</v>
      </c>
      <c r="AH38" s="10">
        <f t="shared" si="18"/>
        <v>1.1693509749234643</v>
      </c>
      <c r="AI38" s="10">
        <f t="shared" si="18"/>
        <v>1.1853085383623494</v>
      </c>
      <c r="AJ38" s="10">
        <f t="shared" si="18"/>
        <v>1.2017395363441494</v>
      </c>
      <c r="AK38" s="10">
        <f t="shared" si="18"/>
        <v>1.2177481839000883</v>
      </c>
      <c r="AL38" s="10">
        <f t="shared" si="18"/>
        <v>1.2337068353079133</v>
      </c>
      <c r="AM38" s="10">
        <f t="shared" si="18"/>
        <v>0.65067093763441264</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2">
        <v>1</v>
      </c>
      <c r="K43" s="52">
        <v>1</v>
      </c>
      <c r="L43" s="52">
        <v>1</v>
      </c>
      <c r="M43" s="52">
        <v>1</v>
      </c>
      <c r="N43" s="52">
        <v>1</v>
      </c>
      <c r="O43" s="52">
        <v>1</v>
      </c>
      <c r="P43" s="52">
        <v>1</v>
      </c>
      <c r="Q43" s="52">
        <v>1</v>
      </c>
      <c r="R43" s="52">
        <v>1</v>
      </c>
      <c r="S43" s="52">
        <v>1</v>
      </c>
      <c r="T43" s="52">
        <v>1</v>
      </c>
      <c r="U43" s="52">
        <v>1</v>
      </c>
      <c r="V43" s="52">
        <v>1</v>
      </c>
      <c r="W43" s="52">
        <v>1</v>
      </c>
      <c r="X43" s="52">
        <v>1</v>
      </c>
      <c r="Y43" s="52">
        <v>1</v>
      </c>
      <c r="Z43" s="52">
        <v>1</v>
      </c>
      <c r="AA43" s="52">
        <v>1</v>
      </c>
      <c r="AB43" s="52">
        <v>1</v>
      </c>
      <c r="AC43" s="52">
        <v>1</v>
      </c>
      <c r="AD43" s="52">
        <v>1</v>
      </c>
      <c r="AE43" s="52">
        <v>1</v>
      </c>
      <c r="AF43" s="52">
        <v>1</v>
      </c>
      <c r="AG43" s="52">
        <v>1</v>
      </c>
      <c r="AH43" s="52">
        <v>1</v>
      </c>
      <c r="AI43" s="52">
        <v>1</v>
      </c>
      <c r="AJ43" s="52">
        <v>1</v>
      </c>
      <c r="AK43" s="52">
        <v>1</v>
      </c>
      <c r="AL43" s="52">
        <v>1</v>
      </c>
      <c r="AM43" s="52">
        <v>1</v>
      </c>
      <c r="AN43" s="52">
        <v>1</v>
      </c>
      <c r="AO43" s="52">
        <v>1</v>
      </c>
      <c r="AP43" s="52">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2">
        <v>1</v>
      </c>
      <c r="K44" s="52">
        <v>1</v>
      </c>
      <c r="L44" s="52">
        <v>1</v>
      </c>
      <c r="M44" s="52">
        <v>1</v>
      </c>
      <c r="N44" s="52">
        <v>1</v>
      </c>
      <c r="O44" s="52">
        <v>1</v>
      </c>
      <c r="P44" s="52">
        <v>1</v>
      </c>
      <c r="Q44" s="52">
        <v>1</v>
      </c>
      <c r="R44" s="52">
        <v>1</v>
      </c>
      <c r="S44" s="52">
        <v>1</v>
      </c>
      <c r="T44" s="52">
        <v>1</v>
      </c>
      <c r="U44" s="52">
        <v>1</v>
      </c>
      <c r="V44" s="52">
        <v>1</v>
      </c>
      <c r="W44" s="52">
        <v>1</v>
      </c>
      <c r="X44" s="52">
        <v>1</v>
      </c>
      <c r="Y44" s="52">
        <v>1</v>
      </c>
      <c r="Z44" s="52">
        <v>1</v>
      </c>
      <c r="AA44" s="52">
        <v>1</v>
      </c>
      <c r="AB44" s="52">
        <v>1</v>
      </c>
      <c r="AC44" s="52">
        <v>1</v>
      </c>
      <c r="AD44" s="52">
        <v>1</v>
      </c>
      <c r="AE44" s="52">
        <v>1</v>
      </c>
      <c r="AF44" s="52">
        <v>1</v>
      </c>
      <c r="AG44" s="52">
        <v>1</v>
      </c>
      <c r="AH44" s="52">
        <v>1</v>
      </c>
      <c r="AI44" s="52">
        <v>1</v>
      </c>
      <c r="AJ44" s="52">
        <v>1</v>
      </c>
      <c r="AK44" s="52">
        <v>1</v>
      </c>
      <c r="AL44" s="52">
        <v>1</v>
      </c>
      <c r="AM44" s="52">
        <v>1</v>
      </c>
      <c r="AN44" s="52">
        <v>1</v>
      </c>
      <c r="AO44" s="52">
        <v>1</v>
      </c>
      <c r="AP44" s="52">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2">
        <f>INDEX(Drivers!$C$34:$AG$34,1,J21)/Drivers!$C$34</f>
        <v>1</v>
      </c>
      <c r="K45" s="52">
        <f>INDEX(Drivers!$C$34:$AG$34,1,K21)/Drivers!$C$34</f>
        <v>1.0170648464163823</v>
      </c>
      <c r="L45" s="52">
        <f>INDEX(Drivers!$C$34:$AG$34,1,L21)/Drivers!$C$34</f>
        <v>1.0273037542662116</v>
      </c>
      <c r="M45" s="52">
        <f>INDEX(Drivers!$C$34:$AG$34,1,M21)/Drivers!$C$34</f>
        <v>1.0341296928327646</v>
      </c>
      <c r="N45" s="52">
        <f>INDEX(Drivers!$C$34:$AG$34,1,N21)/Drivers!$C$34</f>
        <v>1.0341296928327646</v>
      </c>
      <c r="O45" s="52">
        <f>INDEX(Drivers!$C$34:$AG$34,1,O21)/Drivers!$C$34</f>
        <v>1.0477815699658704</v>
      </c>
      <c r="P45" s="52">
        <f>INDEX(Drivers!$C$34:$AG$34,1,P21)/Drivers!$C$34</f>
        <v>1.0511945392491469</v>
      </c>
      <c r="Q45" s="52">
        <f>INDEX(Drivers!$C$34:$AG$34,1,Q21)/Drivers!$C$34</f>
        <v>1.0443686006825939</v>
      </c>
      <c r="R45" s="52">
        <f>INDEX(Drivers!$C$34:$AG$34,1,R21)/Drivers!$C$34</f>
        <v>0.95221843003412987</v>
      </c>
      <c r="S45" s="52">
        <f>INDEX(Drivers!$C$34:$AG$34,1,S21)/Drivers!$C$34</f>
        <v>0.97610921501706482</v>
      </c>
      <c r="T45" s="52">
        <f>INDEX(Drivers!$C$34:$AG$34,1,T21)/Drivers!$C$34</f>
        <v>0.98634812286689422</v>
      </c>
      <c r="U45" s="52">
        <f>INDEX(Drivers!$C$34:$AG$34,1,U21)/Drivers!$C$34</f>
        <v>1</v>
      </c>
      <c r="V45" s="52">
        <f>INDEX(Drivers!$C$34:$AG$34,1,V21)/Drivers!$C$34</f>
        <v>1.0102389078498293</v>
      </c>
      <c r="W45" s="52">
        <f>INDEX(Drivers!$C$34:$AG$34,1,W21)/Drivers!$C$34</f>
        <v>1.0204778156996588</v>
      </c>
      <c r="X45" s="52">
        <f>INDEX(Drivers!$C$34:$AG$34,1,X21)/Drivers!$C$34</f>
        <v>1.0375426621160411</v>
      </c>
      <c r="Y45" s="52">
        <f>INDEX(Drivers!$C$34:$AG$34,1,Y21)/Drivers!$C$34</f>
        <v>1.0511945392491469</v>
      </c>
      <c r="Z45" s="52">
        <f>INDEX(Drivers!$C$34:$AG$34,1,Z21)/Drivers!$C$34</f>
        <v>1.0682593856655291</v>
      </c>
      <c r="AA45" s="52">
        <f>INDEX(Drivers!$C$34:$AG$34,1,AA21)/Drivers!$C$34</f>
        <v>1.0887372013651877</v>
      </c>
      <c r="AB45" s="52">
        <f>INDEX(Drivers!$C$34:$AG$34,1,AB21)/Drivers!$C$34</f>
        <v>1.1023890784982937</v>
      </c>
      <c r="AC45" s="52">
        <f>INDEX(Drivers!$C$34:$AG$34,1,AC21)/Drivers!$C$34</f>
        <v>1.1262798634812288</v>
      </c>
      <c r="AD45" s="52">
        <f>INDEX(Drivers!$C$34:$AG$34,1,AD21)/Drivers!$C$34</f>
        <v>1.1467576791808876</v>
      </c>
      <c r="AE45" s="52">
        <f>INDEX(Drivers!$C$34:$AG$34,1,AE21)/Drivers!$C$34</f>
        <v>1.1706484641638226</v>
      </c>
      <c r="AF45" s="52">
        <f>INDEX(Drivers!$C$34:$AG$34,1,AF21)/Drivers!$C$34</f>
        <v>1.1945392491467577</v>
      </c>
      <c r="AG45" s="52">
        <f>INDEX(Drivers!$C$34:$AG$34,1,AG21)/Drivers!$C$34</f>
        <v>1.2205074936934264</v>
      </c>
      <c r="AH45" s="52">
        <f>INDEX(Drivers!$C$34:$AG$34,1,AH21)/Drivers!$C$34</f>
        <v>1.2470402652954575</v>
      </c>
      <c r="AI45" s="52">
        <f>INDEX(Drivers!$C$34:$AG$34,1,AI21)/Drivers!$C$34</f>
        <v>1.2765211226310476</v>
      </c>
      <c r="AJ45" s="52">
        <f>INDEX(Drivers!$C$34:$AG$34,1,AJ21)/Drivers!$C$34</f>
        <v>1.3030538942330787</v>
      </c>
      <c r="AK45" s="52">
        <f>INDEX(Drivers!$C$34:$AG$34,1,AK21)/Drivers!$C$34</f>
        <v>1.3325347515686685</v>
      </c>
      <c r="AL45" s="52">
        <f>INDEX(Drivers!$C$34:$AG$34,1,AL21)/Drivers!$C$34</f>
        <v>1.3620156089042583</v>
      </c>
      <c r="AM45" s="52">
        <f>INDEX(Drivers!$C$34:$AG$34,1,AM21)/Drivers!$C$34</f>
        <v>1.5300564957171214</v>
      </c>
      <c r="AN45" s="52">
        <f>INDEX(Drivers!$C$34:$AG$34,1,AN21)/Drivers!$C$34</f>
        <v>1.7304739927162893</v>
      </c>
      <c r="AO45" s="37">
        <f>AN45</f>
        <v>1.7304739927162893</v>
      </c>
      <c r="AP45" s="37">
        <f>AO45</f>
        <v>1.7304739927162893</v>
      </c>
      <c r="AQ45" s="37"/>
      <c r="AR45" s="37"/>
      <c r="AS45" s="66"/>
      <c r="AT45" s="66"/>
      <c r="AU45" s="66"/>
      <c r="AV45" s="66"/>
    </row>
    <row r="46" spans="1:48">
      <c r="A46" s="4" t="s">
        <v>16</v>
      </c>
      <c r="H46" s="115">
        <f>I46^(1/40)-1</f>
        <v>1.3804295301459435E-2</v>
      </c>
      <c r="I46" s="6">
        <f>I45/E45</f>
        <v>1.7304739927162893</v>
      </c>
      <c r="L46" s="24"/>
    </row>
    <row r="47" spans="1:48" ht="15.75" thickBot="1">
      <c r="A47" s="4" t="s">
        <v>16</v>
      </c>
      <c r="C47" s="84" t="s">
        <v>213</v>
      </c>
      <c r="D47" s="84"/>
      <c r="E47" s="7">
        <v>2012</v>
      </c>
      <c r="F47" s="7">
        <v>2020</v>
      </c>
      <c r="G47" s="7">
        <v>2030</v>
      </c>
      <c r="H47" s="7">
        <v>2040</v>
      </c>
      <c r="I47" s="7">
        <v>2050</v>
      </c>
    </row>
    <row r="48" spans="1:48">
      <c r="A48" s="4" t="s">
        <v>16</v>
      </c>
      <c r="C48" s="4" t="s">
        <v>49</v>
      </c>
      <c r="D48" s="36" t="s">
        <v>55</v>
      </c>
      <c r="E48" s="85"/>
      <c r="F48" s="85">
        <f t="shared" ref="F48:I50" si="20">(F43/E43)^(1/(F$42-E$42))-1</f>
        <v>0</v>
      </c>
      <c r="G48" s="85">
        <f t="shared" si="20"/>
        <v>0</v>
      </c>
      <c r="H48" s="85">
        <f t="shared" si="20"/>
        <v>0</v>
      </c>
      <c r="I48" s="85">
        <f t="shared" si="20"/>
        <v>0</v>
      </c>
      <c r="J48" s="52"/>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5"/>
      <c r="F49" s="85">
        <f t="shared" si="20"/>
        <v>0</v>
      </c>
      <c r="G49" s="85">
        <f t="shared" si="20"/>
        <v>0</v>
      </c>
      <c r="H49" s="85">
        <f t="shared" si="20"/>
        <v>0</v>
      </c>
      <c r="I49" s="85">
        <f t="shared" si="20"/>
        <v>0</v>
      </c>
      <c r="J49" s="52"/>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5"/>
      <c r="F50" s="61">
        <f t="shared" si="20"/>
        <v>-6.1014137136932156E-3</v>
      </c>
      <c r="G50" s="61">
        <f>(G45/F45)^(1/(G$42-F$42))-1</f>
        <v>1.4751803621559922E-2</v>
      </c>
      <c r="H50" s="61">
        <f>(H45/G45)^(1/(H$42-G$42))-1</f>
        <v>2.1373811785192709E-2</v>
      </c>
      <c r="I50" s="61">
        <f>(I45/H45)^(1/(I$42-H$42))-1</f>
        <v>2.4231902975435649E-2</v>
      </c>
      <c r="J50" s="52"/>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4" customFormat="1">
      <c r="A71" s="194" t="s">
        <v>16</v>
      </c>
      <c r="C71" s="217" t="s">
        <v>547</v>
      </c>
      <c r="D71" s="218" t="s">
        <v>548</v>
      </c>
      <c r="E71" s="219"/>
      <c r="F71" s="219"/>
      <c r="G71" s="219"/>
      <c r="H71" s="219"/>
      <c r="I71" s="219"/>
      <c r="J71" s="218"/>
      <c r="K71" s="218"/>
      <c r="L71" s="218"/>
      <c r="M71" s="218"/>
      <c r="N71" s="218"/>
    </row>
    <row r="72" spans="1:42" s="194" customFormat="1">
      <c r="A72" s="194" t="s">
        <v>16</v>
      </c>
      <c r="E72" s="195"/>
      <c r="F72" s="195"/>
      <c r="G72" s="195"/>
      <c r="H72" s="195"/>
      <c r="I72" s="195"/>
    </row>
    <row r="73" spans="1:42" s="194" customFormat="1">
      <c r="A73" s="194" t="s">
        <v>16</v>
      </c>
      <c r="E73" s="195"/>
      <c r="F73" s="195"/>
      <c r="G73" s="195"/>
      <c r="H73" s="195"/>
      <c r="I73" s="195"/>
      <c r="J73" s="194">
        <f>J94</f>
        <v>2012</v>
      </c>
      <c r="K73" s="194">
        <f t="shared" ref="K73:AP73" si="30">K94</f>
        <v>2013</v>
      </c>
      <c r="L73" s="194">
        <f t="shared" si="30"/>
        <v>2014</v>
      </c>
      <c r="M73" s="194">
        <f t="shared" si="30"/>
        <v>2015</v>
      </c>
      <c r="N73" s="194">
        <f t="shared" si="30"/>
        <v>2016</v>
      </c>
      <c r="O73" s="194">
        <f t="shared" si="30"/>
        <v>2017</v>
      </c>
      <c r="P73" s="194">
        <f t="shared" si="30"/>
        <v>2018</v>
      </c>
      <c r="Q73" s="194">
        <f t="shared" si="30"/>
        <v>2019</v>
      </c>
      <c r="R73" s="194">
        <f t="shared" si="30"/>
        <v>2020</v>
      </c>
      <c r="S73" s="194">
        <f t="shared" si="30"/>
        <v>2021</v>
      </c>
      <c r="T73" s="194">
        <f t="shared" si="30"/>
        <v>2022</v>
      </c>
      <c r="U73" s="194">
        <f t="shared" si="30"/>
        <v>2023</v>
      </c>
      <c r="V73" s="194">
        <f t="shared" si="30"/>
        <v>2024</v>
      </c>
      <c r="W73" s="194">
        <f t="shared" si="30"/>
        <v>2025</v>
      </c>
      <c r="X73" s="194">
        <f t="shared" si="30"/>
        <v>2026</v>
      </c>
      <c r="Y73" s="194">
        <f t="shared" si="30"/>
        <v>2027</v>
      </c>
      <c r="Z73" s="194">
        <f t="shared" si="30"/>
        <v>2028</v>
      </c>
      <c r="AA73" s="194">
        <f t="shared" si="30"/>
        <v>2029</v>
      </c>
      <c r="AB73" s="194">
        <f t="shared" si="30"/>
        <v>2030</v>
      </c>
      <c r="AC73" s="194">
        <f t="shared" si="30"/>
        <v>2031</v>
      </c>
      <c r="AD73" s="194">
        <f t="shared" si="30"/>
        <v>2032</v>
      </c>
      <c r="AE73" s="194">
        <f t="shared" si="30"/>
        <v>2033</v>
      </c>
      <c r="AF73" s="194">
        <f t="shared" si="30"/>
        <v>2034</v>
      </c>
      <c r="AG73" s="194">
        <f t="shared" si="30"/>
        <v>2035</v>
      </c>
      <c r="AH73" s="194">
        <f t="shared" si="30"/>
        <v>2036</v>
      </c>
      <c r="AI73" s="194">
        <f t="shared" si="30"/>
        <v>2037</v>
      </c>
      <c r="AJ73" s="194">
        <f t="shared" si="30"/>
        <v>2038</v>
      </c>
      <c r="AK73" s="194">
        <f t="shared" si="30"/>
        <v>2039</v>
      </c>
      <c r="AL73" s="194">
        <f t="shared" si="30"/>
        <v>2040</v>
      </c>
      <c r="AM73" s="194">
        <f t="shared" si="30"/>
        <v>2045</v>
      </c>
      <c r="AN73" s="194">
        <f t="shared" si="30"/>
        <v>2050</v>
      </c>
      <c r="AO73" s="194">
        <f t="shared" si="30"/>
        <v>2060</v>
      </c>
      <c r="AP73" s="194">
        <f t="shared" si="30"/>
        <v>2070</v>
      </c>
    </row>
    <row r="74" spans="1:42" s="194" customFormat="1">
      <c r="A74" s="194" t="s">
        <v>16</v>
      </c>
      <c r="C74" s="194" t="s">
        <v>549</v>
      </c>
      <c r="E74" s="195"/>
      <c r="F74" s="195"/>
      <c r="G74" s="195"/>
      <c r="H74" s="195"/>
      <c r="I74" s="195"/>
      <c r="J74" s="195">
        <f>SUM(J98,J108,J118,J127,J134)</f>
        <v>39.225327352897736</v>
      </c>
      <c r="K74" s="195">
        <f t="shared" ref="K74:AP74" si="31">SUM(K98,K108,K118,K127,K134)</f>
        <v>41.055106333823794</v>
      </c>
      <c r="L74" s="195">
        <f t="shared" si="31"/>
        <v>42.884885314749845</v>
      </c>
      <c r="M74" s="195">
        <f t="shared" si="31"/>
        <v>44.714664295675895</v>
      </c>
      <c r="N74" s="195">
        <f t="shared" si="31"/>
        <v>46.544443276601946</v>
      </c>
      <c r="O74" s="195">
        <f t="shared" si="31"/>
        <v>48.374222257527997</v>
      </c>
      <c r="P74" s="195">
        <f t="shared" ca="1" si="31"/>
        <v>48.535156026400834</v>
      </c>
      <c r="Q74" s="195">
        <f t="shared" ca="1" si="31"/>
        <v>49.178053516244788</v>
      </c>
      <c r="R74" s="195">
        <f t="shared" ca="1" si="31"/>
        <v>46.056859145230874</v>
      </c>
      <c r="S74" s="195">
        <f t="shared" ca="1" si="31"/>
        <v>47.42036697446737</v>
      </c>
      <c r="T74" s="195">
        <f t="shared" ca="1" si="31"/>
        <v>48.566463774482912</v>
      </c>
      <c r="U74" s="195">
        <f t="shared" ca="1" si="31"/>
        <v>49.793979702595394</v>
      </c>
      <c r="V74" s="195">
        <f t="shared" ca="1" si="31"/>
        <v>50.974331322509755</v>
      </c>
      <c r="W74" s="195">
        <f t="shared" ca="1" si="31"/>
        <v>52.125389581902347</v>
      </c>
      <c r="X74" s="195">
        <f t="shared" ca="1" si="31"/>
        <v>53.595849312049197</v>
      </c>
      <c r="Y74" s="195">
        <f t="shared" ca="1" si="31"/>
        <v>55.028610850143913</v>
      </c>
      <c r="Z74" s="195">
        <f t="shared" ca="1" si="31"/>
        <v>56.521962896130688</v>
      </c>
      <c r="AA74" s="195">
        <f t="shared" ca="1" si="31"/>
        <v>58.201239616257311</v>
      </c>
      <c r="AB74" s="195">
        <f t="shared" ca="1" si="31"/>
        <v>59.678419457158341</v>
      </c>
      <c r="AC74" s="195">
        <f t="shared" ca="1" si="31"/>
        <v>61.322667104014997</v>
      </c>
      <c r="AD74" s="195">
        <f t="shared" ca="1" si="31"/>
        <v>62.759348669674182</v>
      </c>
      <c r="AE74" s="195">
        <f t="shared" ca="1" si="31"/>
        <v>64.350849035665391</v>
      </c>
      <c r="AF74" s="195">
        <f t="shared" ca="1" si="31"/>
        <v>66.026417673760591</v>
      </c>
      <c r="AG74" s="195">
        <f t="shared" ca="1" si="31"/>
        <v>67.783789696833139</v>
      </c>
      <c r="AH74" s="195">
        <f t="shared" ca="1" si="31"/>
        <v>69.409224509366297</v>
      </c>
      <c r="AI74" s="195">
        <f t="shared" ca="1" si="31"/>
        <v>71.034133683790557</v>
      </c>
      <c r="AJ74" s="195">
        <f t="shared" ca="1" si="31"/>
        <v>72.59757983263215</v>
      </c>
      <c r="AK74" s="195">
        <f t="shared" ca="1" si="31"/>
        <v>74.164442159020879</v>
      </c>
      <c r="AL74" s="195">
        <f t="shared" ca="1" si="31"/>
        <v>75.757666607158868</v>
      </c>
      <c r="AM74" s="195">
        <f t="shared" ca="1" si="31"/>
        <v>83.924993871010628</v>
      </c>
      <c r="AN74" s="195">
        <f t="shared" ca="1" si="31"/>
        <v>91.241418187848225</v>
      </c>
      <c r="AO74" s="195">
        <f t="shared" ca="1" si="31"/>
        <v>91.241418187848225</v>
      </c>
      <c r="AP74" s="195">
        <f t="shared" ca="1" si="31"/>
        <v>91.241418187848225</v>
      </c>
    </row>
    <row r="75" spans="1:42" s="194" customFormat="1">
      <c r="A75" s="194" t="s">
        <v>16</v>
      </c>
      <c r="C75" s="194" t="s">
        <v>550</v>
      </c>
      <c r="D75" s="195" t="s">
        <v>487</v>
      </c>
      <c r="E75" s="220">
        <v>0.12</v>
      </c>
      <c r="F75" s="195"/>
      <c r="G75" s="195"/>
      <c r="H75" s="195"/>
      <c r="I75" s="195"/>
      <c r="M75" s="199">
        <v>0</v>
      </c>
      <c r="N75" s="199">
        <f>(($AB$75-$M$75)/($AB$73-$M$73))*(N$73-$M$73)</f>
        <v>8.0000000000000002E-3</v>
      </c>
      <c r="O75" s="199">
        <f t="shared" ref="O75:AA75" si="32">(($AB$75-$M$75)/($AB$73-$M$73))*(O$73-$M$73)</f>
        <v>1.6E-2</v>
      </c>
      <c r="P75" s="199">
        <f t="shared" si="32"/>
        <v>2.4E-2</v>
      </c>
      <c r="Q75" s="199">
        <f t="shared" si="32"/>
        <v>3.2000000000000001E-2</v>
      </c>
      <c r="R75" s="199">
        <f t="shared" si="32"/>
        <v>0.04</v>
      </c>
      <c r="S75" s="199">
        <f t="shared" si="32"/>
        <v>4.8000000000000001E-2</v>
      </c>
      <c r="T75" s="199">
        <f t="shared" si="32"/>
        <v>5.6000000000000001E-2</v>
      </c>
      <c r="U75" s="199">
        <f t="shared" si="32"/>
        <v>6.4000000000000001E-2</v>
      </c>
      <c r="V75" s="199">
        <f t="shared" si="32"/>
        <v>7.2000000000000008E-2</v>
      </c>
      <c r="W75" s="199">
        <f t="shared" si="32"/>
        <v>0.08</v>
      </c>
      <c r="X75" s="199">
        <f t="shared" si="32"/>
        <v>8.7999999999999995E-2</v>
      </c>
      <c r="Y75" s="199">
        <f t="shared" si="32"/>
        <v>9.6000000000000002E-2</v>
      </c>
      <c r="Z75" s="199">
        <f t="shared" si="32"/>
        <v>0.10400000000000001</v>
      </c>
      <c r="AA75" s="199">
        <f t="shared" si="32"/>
        <v>0.112</v>
      </c>
      <c r="AB75" s="30">
        <f>$E$75</f>
        <v>0.12</v>
      </c>
      <c r="AC75" s="199">
        <f>AB75</f>
        <v>0.12</v>
      </c>
      <c r="AD75" s="199">
        <f t="shared" ref="AD75:AP76" si="33">AC75</f>
        <v>0.12</v>
      </c>
      <c r="AE75" s="199">
        <f t="shared" si="33"/>
        <v>0.12</v>
      </c>
      <c r="AF75" s="199">
        <f t="shared" si="33"/>
        <v>0.12</v>
      </c>
      <c r="AG75" s="199">
        <f t="shared" si="33"/>
        <v>0.12</v>
      </c>
      <c r="AH75" s="199">
        <f t="shared" si="33"/>
        <v>0.12</v>
      </c>
      <c r="AI75" s="199">
        <f t="shared" si="33"/>
        <v>0.12</v>
      </c>
      <c r="AJ75" s="199">
        <f t="shared" si="33"/>
        <v>0.12</v>
      </c>
      <c r="AK75" s="199">
        <f t="shared" si="33"/>
        <v>0.12</v>
      </c>
      <c r="AL75" s="199">
        <f t="shared" si="33"/>
        <v>0.12</v>
      </c>
      <c r="AM75" s="199">
        <f t="shared" si="33"/>
        <v>0.12</v>
      </c>
      <c r="AN75" s="199">
        <f t="shared" si="33"/>
        <v>0.12</v>
      </c>
      <c r="AO75" s="199">
        <f t="shared" si="33"/>
        <v>0.12</v>
      </c>
      <c r="AP75" s="199">
        <f t="shared" si="33"/>
        <v>0.12</v>
      </c>
    </row>
    <row r="76" spans="1:42" s="194" customFormat="1">
      <c r="A76" s="194" t="s">
        <v>16</v>
      </c>
      <c r="D76" s="194" t="s">
        <v>488</v>
      </c>
      <c r="E76" s="220">
        <v>0.2</v>
      </c>
      <c r="F76" s="195"/>
      <c r="G76" s="195"/>
      <c r="H76" s="195"/>
      <c r="I76" s="195"/>
      <c r="M76" s="199">
        <v>0</v>
      </c>
      <c r="N76" s="199">
        <f>(($AB$76-$M$76)/($AB$73-$M$73))*(N$73-$M$73)</f>
        <v>1.3333333333333334E-2</v>
      </c>
      <c r="O76" s="199">
        <f t="shared" ref="O76:AA76" si="34">(($AB$76-$M$76)/($AB$73-$M$73))*(O$73-$M$73)</f>
        <v>2.6666666666666668E-2</v>
      </c>
      <c r="P76" s="199">
        <f t="shared" si="34"/>
        <v>0.04</v>
      </c>
      <c r="Q76" s="199">
        <f t="shared" si="34"/>
        <v>5.3333333333333337E-2</v>
      </c>
      <c r="R76" s="199">
        <f t="shared" si="34"/>
        <v>6.6666666666666666E-2</v>
      </c>
      <c r="S76" s="199">
        <f t="shared" si="34"/>
        <v>0.08</v>
      </c>
      <c r="T76" s="199">
        <f t="shared" si="34"/>
        <v>9.3333333333333338E-2</v>
      </c>
      <c r="U76" s="199">
        <f t="shared" si="34"/>
        <v>0.10666666666666667</v>
      </c>
      <c r="V76" s="199">
        <f t="shared" si="34"/>
        <v>0.12000000000000001</v>
      </c>
      <c r="W76" s="199">
        <f t="shared" si="34"/>
        <v>0.13333333333333333</v>
      </c>
      <c r="X76" s="199">
        <f t="shared" si="34"/>
        <v>0.14666666666666667</v>
      </c>
      <c r="Y76" s="199">
        <f t="shared" si="34"/>
        <v>0.16</v>
      </c>
      <c r="Z76" s="199">
        <f t="shared" si="34"/>
        <v>0.17333333333333334</v>
      </c>
      <c r="AA76" s="199">
        <f t="shared" si="34"/>
        <v>0.18666666666666668</v>
      </c>
      <c r="AB76" s="30">
        <f>$E$76</f>
        <v>0.2</v>
      </c>
      <c r="AC76" s="199">
        <f>AB76</f>
        <v>0.2</v>
      </c>
      <c r="AD76" s="199">
        <f t="shared" si="33"/>
        <v>0.2</v>
      </c>
      <c r="AE76" s="199">
        <f t="shared" si="33"/>
        <v>0.2</v>
      </c>
      <c r="AF76" s="199">
        <f t="shared" si="33"/>
        <v>0.2</v>
      </c>
      <c r="AG76" s="199">
        <f t="shared" si="33"/>
        <v>0.2</v>
      </c>
      <c r="AH76" s="199">
        <f t="shared" si="33"/>
        <v>0.2</v>
      </c>
      <c r="AI76" s="199">
        <f t="shared" si="33"/>
        <v>0.2</v>
      </c>
      <c r="AJ76" s="199">
        <f t="shared" si="33"/>
        <v>0.2</v>
      </c>
      <c r="AK76" s="199">
        <f t="shared" si="33"/>
        <v>0.2</v>
      </c>
      <c r="AL76" s="199">
        <f t="shared" si="33"/>
        <v>0.2</v>
      </c>
      <c r="AM76" s="199">
        <f t="shared" si="33"/>
        <v>0.2</v>
      </c>
      <c r="AN76" s="199">
        <f t="shared" si="33"/>
        <v>0.2</v>
      </c>
      <c r="AO76" s="199">
        <f t="shared" si="33"/>
        <v>0.2</v>
      </c>
      <c r="AP76" s="199">
        <f t="shared" si="33"/>
        <v>0.2</v>
      </c>
    </row>
    <row r="77" spans="1:42" s="194" customFormat="1">
      <c r="A77" s="194" t="s">
        <v>16</v>
      </c>
      <c r="C77" s="194" t="s">
        <v>551</v>
      </c>
      <c r="E77" s="195"/>
      <c r="F77" s="195"/>
      <c r="G77" s="195"/>
      <c r="H77" s="195"/>
      <c r="I77" s="195"/>
      <c r="J77" s="195">
        <f>J$74</f>
        <v>39.225327352897736</v>
      </c>
      <c r="K77" s="195">
        <f>K$74</f>
        <v>41.055106333823794</v>
      </c>
      <c r="L77" s="195">
        <f>L$74</f>
        <v>42.884885314749845</v>
      </c>
      <c r="M77" s="195">
        <f>M$74</f>
        <v>44.714664295675895</v>
      </c>
      <c r="N77" s="195">
        <f>(($M$74*(1-N$75))+((N74-$M$74)*(1-N$76)))</f>
        <v>46.162328909157523</v>
      </c>
      <c r="O77" s="195">
        <f t="shared" ref="O77:AP77" si="35">(($M$74*(1-O$75))+((O74-$M$74)*(1-O$76)))</f>
        <v>47.561199416481131</v>
      </c>
      <c r="P77" s="195">
        <f t="shared" ca="1" si="35"/>
        <v>47.309184414075617</v>
      </c>
      <c r="Q77" s="195">
        <f t="shared" ca="1" si="35"/>
        <v>47.509136833686149</v>
      </c>
      <c r="R77" s="195">
        <f t="shared" ca="1" si="35"/>
        <v>44.178792916766838</v>
      </c>
      <c r="S77" s="195">
        <f t="shared" ca="1" si="35"/>
        <v>45.057606873971608</v>
      </c>
      <c r="T77" s="195">
        <f t="shared" ca="1" si="35"/>
        <v>45.702941289236406</v>
      </c>
      <c r="U77" s="195">
        <f t="shared" ca="1" si="35"/>
        <v>46.390447544267388</v>
      </c>
      <c r="V77" s="195">
        <f t="shared" ca="1" si="35"/>
        <v>47.003715450001025</v>
      </c>
      <c r="W77" s="195">
        <f t="shared" ca="1" si="35"/>
        <v>47.560119733418084</v>
      </c>
      <c r="X77" s="195">
        <f t="shared" ca="1" si="35"/>
        <v>48.358385051628304</v>
      </c>
      <c r="Y77" s="195">
        <f t="shared" ca="1" si="35"/>
        <v>49.085771629044146</v>
      </c>
      <c r="Z77" s="195">
        <f t="shared" ca="1" si="35"/>
        <v>49.825039385301565</v>
      </c>
      <c r="AA77" s="195">
        <f t="shared" ca="1" si="35"/>
        <v>50.675703155299743</v>
      </c>
      <c r="AB77" s="195">
        <f t="shared" ca="1" si="35"/>
        <v>51.319908709380748</v>
      </c>
      <c r="AC77" s="195">
        <f t="shared" ca="1" si="35"/>
        <v>52.635306826866071</v>
      </c>
      <c r="AD77" s="195">
        <f t="shared" ca="1" si="35"/>
        <v>53.784652079393425</v>
      </c>
      <c r="AE77" s="195">
        <f t="shared" ca="1" si="35"/>
        <v>55.057852372186389</v>
      </c>
      <c r="AF77" s="195">
        <f t="shared" ca="1" si="35"/>
        <v>56.398307282662543</v>
      </c>
      <c r="AG77" s="195">
        <f t="shared" ca="1" si="35"/>
        <v>57.804204901120585</v>
      </c>
      <c r="AH77" s="195">
        <f t="shared" ca="1" si="35"/>
        <v>59.104552751147111</v>
      </c>
      <c r="AI77" s="195">
        <f t="shared" ca="1" si="35"/>
        <v>60.404480090686519</v>
      </c>
      <c r="AJ77" s="195">
        <f t="shared" ca="1" si="35"/>
        <v>61.655237009759794</v>
      </c>
      <c r="AK77" s="195">
        <f t="shared" ca="1" si="35"/>
        <v>62.90872687087078</v>
      </c>
      <c r="AL77" s="195">
        <f t="shared" ca="1" si="35"/>
        <v>64.183306429381162</v>
      </c>
      <c r="AM77" s="195">
        <f t="shared" ca="1" si="35"/>
        <v>70.71716824046257</v>
      </c>
      <c r="AN77" s="195">
        <f t="shared" ca="1" si="35"/>
        <v>76.570307693932648</v>
      </c>
      <c r="AO77" s="195">
        <f t="shared" ca="1" si="35"/>
        <v>76.570307693932648</v>
      </c>
      <c r="AP77" s="195">
        <f t="shared" ca="1" si="35"/>
        <v>76.570307693932648</v>
      </c>
    </row>
    <row r="78" spans="1:42" s="194" customFormat="1">
      <c r="A78" s="194" t="s">
        <v>16</v>
      </c>
      <c r="D78" s="194" t="s">
        <v>552</v>
      </c>
      <c r="E78" s="221">
        <f>DriversGams!A163</f>
        <v>-1</v>
      </c>
      <c r="F78" s="194" t="s">
        <v>553</v>
      </c>
      <c r="J78" s="41"/>
    </row>
    <row r="79" spans="1:42" s="194" customFormat="1">
      <c r="A79" s="194" t="s">
        <v>16</v>
      </c>
      <c r="B79" s="25"/>
      <c r="D79" s="195"/>
      <c r="F79" s="194" t="s">
        <v>554</v>
      </c>
      <c r="J79" s="41"/>
    </row>
    <row r="80" spans="1:42" s="194" customFormat="1">
      <c r="A80" s="194" t="s">
        <v>16</v>
      </c>
      <c r="B80" s="25"/>
      <c r="D80" s="195"/>
      <c r="J80" s="222">
        <f>J73</f>
        <v>2012</v>
      </c>
      <c r="K80" s="223">
        <f t="shared" ref="K80:AP80" si="36">K73</f>
        <v>2013</v>
      </c>
      <c r="L80" s="223">
        <f t="shared" si="36"/>
        <v>2014</v>
      </c>
      <c r="M80" s="223">
        <f t="shared" si="36"/>
        <v>2015</v>
      </c>
      <c r="N80" s="223">
        <f t="shared" si="36"/>
        <v>2016</v>
      </c>
      <c r="O80" s="223">
        <f t="shared" si="36"/>
        <v>2017</v>
      </c>
      <c r="P80" s="223">
        <f t="shared" si="36"/>
        <v>2018</v>
      </c>
      <c r="Q80" s="223">
        <f t="shared" si="36"/>
        <v>2019</v>
      </c>
      <c r="R80" s="223">
        <f t="shared" si="36"/>
        <v>2020</v>
      </c>
      <c r="S80" s="223">
        <f t="shared" si="36"/>
        <v>2021</v>
      </c>
      <c r="T80" s="223">
        <f t="shared" si="36"/>
        <v>2022</v>
      </c>
      <c r="U80" s="223">
        <f t="shared" si="36"/>
        <v>2023</v>
      </c>
      <c r="V80" s="223">
        <f t="shared" si="36"/>
        <v>2024</v>
      </c>
      <c r="W80" s="223">
        <f t="shared" si="36"/>
        <v>2025</v>
      </c>
      <c r="X80" s="223">
        <f t="shared" si="36"/>
        <v>2026</v>
      </c>
      <c r="Y80" s="223">
        <f t="shared" si="36"/>
        <v>2027</v>
      </c>
      <c r="Z80" s="223">
        <f t="shared" si="36"/>
        <v>2028</v>
      </c>
      <c r="AA80" s="223">
        <f t="shared" si="36"/>
        <v>2029</v>
      </c>
      <c r="AB80" s="223">
        <f t="shared" si="36"/>
        <v>2030</v>
      </c>
      <c r="AC80" s="223">
        <f t="shared" si="36"/>
        <v>2031</v>
      </c>
      <c r="AD80" s="223">
        <f t="shared" si="36"/>
        <v>2032</v>
      </c>
      <c r="AE80" s="223">
        <f t="shared" si="36"/>
        <v>2033</v>
      </c>
      <c r="AF80" s="223">
        <f t="shared" si="36"/>
        <v>2034</v>
      </c>
      <c r="AG80" s="223">
        <f t="shared" si="36"/>
        <v>2035</v>
      </c>
      <c r="AH80" s="223">
        <f t="shared" si="36"/>
        <v>2036</v>
      </c>
      <c r="AI80" s="223">
        <f t="shared" si="36"/>
        <v>2037</v>
      </c>
      <c r="AJ80" s="223">
        <f t="shared" si="36"/>
        <v>2038</v>
      </c>
      <c r="AK80" s="223">
        <f t="shared" si="36"/>
        <v>2039</v>
      </c>
      <c r="AL80" s="223">
        <f t="shared" si="36"/>
        <v>2040</v>
      </c>
      <c r="AM80" s="223">
        <f t="shared" si="36"/>
        <v>2045</v>
      </c>
      <c r="AN80" s="223">
        <f t="shared" si="36"/>
        <v>2050</v>
      </c>
      <c r="AO80" s="223">
        <f t="shared" si="36"/>
        <v>2060</v>
      </c>
      <c r="AP80" s="223">
        <f t="shared" si="36"/>
        <v>2070</v>
      </c>
    </row>
    <row r="81" spans="1:54" s="194" customFormat="1">
      <c r="A81" s="194" t="s">
        <v>16</v>
      </c>
      <c r="B81" s="25"/>
      <c r="C81" s="194" t="s">
        <v>555</v>
      </c>
      <c r="D81" s="195" t="str">
        <f>D98</f>
        <v>RLEK</v>
      </c>
      <c r="J81" s="43">
        <f>J98</f>
        <v>10.053924891431189</v>
      </c>
      <c r="K81" s="13">
        <f>K98</f>
        <v>10.118379478945931</v>
      </c>
      <c r="L81" s="13">
        <f>L98</f>
        <v>10.182834066460671</v>
      </c>
      <c r="M81" s="13">
        <f>M98</f>
        <v>10.247288653975414</v>
      </c>
      <c r="N81" s="24">
        <f t="shared" ref="N81:AP84" ca="1" si="37">OFFSET(N$33,$BB81,$J$93)/OFFSET(M$33,$BB81,$J$93)*M81</f>
        <v>10.477526986340868</v>
      </c>
      <c r="O81" s="24">
        <f t="shared" ca="1" si="37"/>
        <v>10.644505781340062</v>
      </c>
      <c r="P81" s="24">
        <f t="shared" ca="1" si="37"/>
        <v>10.818980846918365</v>
      </c>
      <c r="Q81" s="24">
        <f t="shared" ca="1" si="37"/>
        <v>11.094158981505435</v>
      </c>
      <c r="R81" s="24">
        <f t="shared" ca="1" si="37"/>
        <v>11.754268546410238</v>
      </c>
      <c r="S81" s="24">
        <f t="shared" ca="1" si="37"/>
        <v>12.318182963136238</v>
      </c>
      <c r="T81" s="24">
        <f t="shared" ca="1" si="37"/>
        <v>12.372592462069962</v>
      </c>
      <c r="U81" s="24">
        <f t="shared" ca="1" si="37"/>
        <v>12.427318851403831</v>
      </c>
      <c r="V81" s="24">
        <f t="shared" ca="1" si="37"/>
        <v>12.478722604676902</v>
      </c>
      <c r="W81" s="24">
        <f t="shared" ca="1" si="37"/>
        <v>12.539803738564661</v>
      </c>
      <c r="X81" s="24">
        <f t="shared" ca="1" si="37"/>
        <v>12.532183650451085</v>
      </c>
      <c r="Y81" s="24">
        <f t="shared" ca="1" si="37"/>
        <v>12.505209715395548</v>
      </c>
      <c r="Z81" s="24">
        <f t="shared" ca="1" si="37"/>
        <v>12.474249723066629</v>
      </c>
      <c r="AA81" s="24">
        <f t="shared" ca="1" si="37"/>
        <v>12.418704946742695</v>
      </c>
      <c r="AB81" s="24">
        <f t="shared" ca="1" si="37"/>
        <v>12.370287728038642</v>
      </c>
      <c r="AC81" s="24">
        <f t="shared" ca="1" si="37"/>
        <v>12.29304595428307</v>
      </c>
      <c r="AD81" s="24">
        <f t="shared" ca="1" si="37"/>
        <v>12.219200287293221</v>
      </c>
      <c r="AE81" s="24">
        <f t="shared" ca="1" si="37"/>
        <v>12.138842599125375</v>
      </c>
      <c r="AF81" s="24">
        <f t="shared" ca="1" si="37"/>
        <v>12.035778711444118</v>
      </c>
      <c r="AG81" s="24">
        <f t="shared" ca="1" si="37"/>
        <v>11.915932409503409</v>
      </c>
      <c r="AH81" s="24">
        <f t="shared" ca="1" si="37"/>
        <v>11.779840423307606</v>
      </c>
      <c r="AI81" s="24">
        <f t="shared" ca="1" si="37"/>
        <v>11.650308605137017</v>
      </c>
      <c r="AJ81" s="24">
        <f t="shared" ca="1" si="37"/>
        <v>11.526782155845446</v>
      </c>
      <c r="AK81" s="24">
        <f t="shared" ca="1" si="37"/>
        <v>11.407072856142594</v>
      </c>
      <c r="AL81" s="24">
        <f t="shared" ca="1" si="37"/>
        <v>11.282987502177065</v>
      </c>
      <c r="AM81" s="24">
        <f t="shared" ca="1" si="37"/>
        <v>10.53374949000759</v>
      </c>
      <c r="AN81" s="24">
        <f t="shared" ca="1" si="37"/>
        <v>9.7286318974925141</v>
      </c>
      <c r="AO81" s="24">
        <f t="shared" ca="1" si="37"/>
        <v>9.7286318974925141</v>
      </c>
      <c r="AP81" s="24">
        <f t="shared" ca="1" si="37"/>
        <v>9.7286318974925141</v>
      </c>
      <c r="BB81" s="194">
        <v>1</v>
      </c>
    </row>
    <row r="82" spans="1:54" s="194" customFormat="1">
      <c r="A82" s="194" t="s">
        <v>16</v>
      </c>
      <c r="B82" s="25"/>
      <c r="D82" s="195" t="str">
        <f>D108</f>
        <v>RMNL</v>
      </c>
      <c r="J82" s="43">
        <f>J108</f>
        <v>3.3422499241462768E-2</v>
      </c>
      <c r="K82" s="13">
        <f>K108</f>
        <v>4.1310307072706193E-2</v>
      </c>
      <c r="L82" s="13">
        <f>L108</f>
        <v>4.9198114903949625E-2</v>
      </c>
      <c r="M82" s="13">
        <f>M108</f>
        <v>5.7085922735193056E-2</v>
      </c>
      <c r="N82" s="24">
        <f t="shared" ca="1" si="37"/>
        <v>5.897772696132586E-2</v>
      </c>
      <c r="O82" s="24">
        <f t="shared" ca="1" si="37"/>
        <v>6.0704453926625983E-2</v>
      </c>
      <c r="P82" s="24">
        <f t="shared" ca="1" si="37"/>
        <v>6.2969344536712088E-2</v>
      </c>
      <c r="Q82" s="24">
        <f t="shared" ca="1" si="37"/>
        <v>6.5240475725000899E-2</v>
      </c>
      <c r="R82" s="24">
        <f t="shared" ca="1" si="37"/>
        <v>6.9404851942299936E-2</v>
      </c>
      <c r="S82" s="24">
        <f t="shared" ca="1" si="37"/>
        <v>6.6901282048146493E-2</v>
      </c>
      <c r="T82" s="24">
        <f t="shared" ca="1" si="37"/>
        <v>6.8527648928284918E-2</v>
      </c>
      <c r="U82" s="24">
        <f t="shared" ca="1" si="37"/>
        <v>7.0090055971249982E-2</v>
      </c>
      <c r="V82" s="24">
        <f t="shared" ca="1" si="37"/>
        <v>7.1777844529976195E-2</v>
      </c>
      <c r="W82" s="24">
        <f t="shared" ca="1" si="37"/>
        <v>7.3472855824745095E-2</v>
      </c>
      <c r="X82" s="24">
        <f t="shared" ca="1" si="37"/>
        <v>7.4923512038991114E-2</v>
      </c>
      <c r="Y82" s="24">
        <f t="shared" ca="1" si="37"/>
        <v>7.6593890558501271E-2</v>
      </c>
      <c r="Z82" s="24">
        <f t="shared" ca="1" si="37"/>
        <v>7.8243192032938461E-2</v>
      </c>
      <c r="AA82" s="24">
        <f t="shared" ca="1" si="37"/>
        <v>7.9861077909163705E-2</v>
      </c>
      <c r="AB82" s="24">
        <f t="shared" ca="1" si="37"/>
        <v>8.1715642921834891E-2</v>
      </c>
      <c r="AC82" s="24">
        <f t="shared" ca="1" si="37"/>
        <v>8.282482778962777E-2</v>
      </c>
      <c r="AD82" s="24">
        <f t="shared" ca="1" si="37"/>
        <v>8.4186129555470265E-2</v>
      </c>
      <c r="AE82" s="24">
        <f t="shared" ca="1" si="37"/>
        <v>8.5398559863679085E-2</v>
      </c>
      <c r="AF82" s="24">
        <f t="shared" ca="1" si="37"/>
        <v>8.6672135860084584E-2</v>
      </c>
      <c r="AG82" s="24">
        <f t="shared" ca="1" si="37"/>
        <v>8.7964500018178182E-2</v>
      </c>
      <c r="AH82" s="24">
        <f t="shared" ca="1" si="37"/>
        <v>8.9230947285396545E-2</v>
      </c>
      <c r="AI82" s="24">
        <f t="shared" ca="1" si="37"/>
        <v>9.0448638579587751E-2</v>
      </c>
      <c r="AJ82" s="24">
        <f t="shared" ca="1" si="37"/>
        <v>9.1702456762667181E-2</v>
      </c>
      <c r="AK82" s="24">
        <f t="shared" ca="1" si="37"/>
        <v>9.2924046188602991E-2</v>
      </c>
      <c r="AL82" s="24">
        <f t="shared" ca="1" si="37"/>
        <v>9.4141820503633483E-2</v>
      </c>
      <c r="AM82" s="24">
        <f t="shared" ca="1" si="37"/>
        <v>0.10191615645502751</v>
      </c>
      <c r="AN82" s="24">
        <f t="shared" ca="1" si="37"/>
        <v>0.10973297716024412</v>
      </c>
      <c r="AO82" s="24">
        <f t="shared" ca="1" si="37"/>
        <v>0.10973297716024412</v>
      </c>
      <c r="AP82" s="24">
        <f t="shared" ca="1" si="37"/>
        <v>0.10973297716024412</v>
      </c>
      <c r="BB82" s="194">
        <v>2</v>
      </c>
    </row>
    <row r="83" spans="1:54" s="194" customFormat="1">
      <c r="A83" s="194" t="s">
        <v>16</v>
      </c>
      <c r="B83" s="25"/>
      <c r="D83" s="195" t="str">
        <f>D118</f>
        <v>RHEL</v>
      </c>
      <c r="J83" s="43">
        <f>J118</f>
        <v>29.137979962225089</v>
      </c>
      <c r="K83" s="13">
        <f>K118</f>
        <v>30.895416547805155</v>
      </c>
      <c r="L83" s="13">
        <f>L118</f>
        <v>32.652853133385221</v>
      </c>
      <c r="M83" s="13">
        <f>M118</f>
        <v>34.410289718965288</v>
      </c>
      <c r="N83" s="24">
        <f ca="1">OFFSET(N$33,$BB83,$J$93)/OFFSET(M$33,$BB83,$J$93)*M83</f>
        <v>35.292191169865376</v>
      </c>
      <c r="O83" s="24">
        <f t="shared" ca="1" si="37"/>
        <v>36.905818903071733</v>
      </c>
      <c r="P83" s="24">
        <f t="shared" ca="1" si="37"/>
        <v>38.078510482314542</v>
      </c>
      <c r="Q83" s="24">
        <f t="shared" ca="1" si="37"/>
        <v>38.606792599126273</v>
      </c>
      <c r="R83" s="24">
        <f t="shared" ca="1" si="37"/>
        <v>35.012850498185863</v>
      </c>
      <c r="S83" s="24">
        <f t="shared" ca="1" si="37"/>
        <v>35.923787609462615</v>
      </c>
      <c r="T83" s="24">
        <f t="shared" ca="1" si="37"/>
        <v>37.088638279846194</v>
      </c>
      <c r="U83" s="24">
        <f t="shared" ca="1" si="37"/>
        <v>38.334431548431901</v>
      </c>
      <c r="V83" s="24">
        <f t="shared" ca="1" si="37"/>
        <v>39.535719759111238</v>
      </c>
      <c r="W83" s="24">
        <f t="shared" ca="1" si="37"/>
        <v>40.69867147738448</v>
      </c>
      <c r="X83" s="24">
        <f t="shared" ca="1" si="37"/>
        <v>42.242931084139542</v>
      </c>
      <c r="Y83" s="24">
        <f t="shared" ca="1" si="37"/>
        <v>43.765684242724085</v>
      </c>
      <c r="Z83" s="24">
        <f t="shared" ca="1" si="37"/>
        <v>45.351502210731596</v>
      </c>
      <c r="AA83" s="24">
        <f t="shared" ca="1" si="37"/>
        <v>47.143894139591559</v>
      </c>
      <c r="AB83" s="24">
        <f t="shared" ca="1" si="37"/>
        <v>48.726339382646543</v>
      </c>
      <c r="AC83" s="24">
        <f t="shared" ca="1" si="37"/>
        <v>50.500526338235183</v>
      </c>
      <c r="AD83" s="24">
        <f t="shared" ca="1" si="37"/>
        <v>52.062421655743201</v>
      </c>
      <c r="AE83" s="24">
        <f t="shared" ca="1" si="37"/>
        <v>53.783444541791219</v>
      </c>
      <c r="AF83" s="24">
        <f t="shared" ca="1" si="37"/>
        <v>55.606466188704701</v>
      </c>
      <c r="AG83" s="24">
        <f t="shared" ca="1" si="37"/>
        <v>57.52389885394787</v>
      </c>
      <c r="AH83" s="24">
        <f t="shared" ca="1" si="37"/>
        <v>59.32137585258522</v>
      </c>
      <c r="AI83" s="24">
        <f t="shared" ca="1" si="37"/>
        <v>61.110880929359148</v>
      </c>
      <c r="AJ83" s="24">
        <f t="shared" ca="1" si="37"/>
        <v>62.831983752018765</v>
      </c>
      <c r="AK83" s="24">
        <f t="shared" ca="1" si="37"/>
        <v>64.551573785122088</v>
      </c>
      <c r="AL83" s="24">
        <f t="shared" ca="1" si="37"/>
        <v>66.299451019839651</v>
      </c>
      <c r="AM83" s="24">
        <f t="shared" ca="1" si="37"/>
        <v>75.317095275313491</v>
      </c>
      <c r="AN83" s="24">
        <f t="shared" ca="1" si="37"/>
        <v>83.48256661289561</v>
      </c>
      <c r="AO83" s="24">
        <f t="shared" ca="1" si="37"/>
        <v>83.48256661289561</v>
      </c>
      <c r="AP83" s="24">
        <f t="shared" ca="1" si="37"/>
        <v>83.48256661289561</v>
      </c>
      <c r="BB83" s="194">
        <v>3</v>
      </c>
    </row>
    <row r="84" spans="1:54" s="194" customFormat="1">
      <c r="A84" s="194" t="s">
        <v>16</v>
      </c>
      <c r="B84" s="25"/>
      <c r="D84" s="195">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4">
        <v>4</v>
      </c>
    </row>
    <row r="85" spans="1:54" s="194" customFormat="1">
      <c r="A85" s="194" t="s">
        <v>16</v>
      </c>
      <c r="B85" s="25"/>
      <c r="D85" s="195">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4">
        <v>5</v>
      </c>
    </row>
    <row r="86" spans="1:54" s="194" customFormat="1">
      <c r="A86" s="194" t="s">
        <v>16</v>
      </c>
      <c r="B86" s="25"/>
    </row>
    <row r="87" spans="1:54" s="194" customFormat="1">
      <c r="A87" s="194" t="s">
        <v>16</v>
      </c>
      <c r="B87" s="25"/>
      <c r="C87" s="194" t="s">
        <v>556</v>
      </c>
      <c r="D87" s="195" t="str">
        <f>D81</f>
        <v>RLEK</v>
      </c>
      <c r="J87" s="43">
        <f>J81</f>
        <v>10.053924891431189</v>
      </c>
      <c r="K87" s="13">
        <f>K81</f>
        <v>10.118379478945931</v>
      </c>
      <c r="L87" s="13">
        <f>L81</f>
        <v>10.182834066460671</v>
      </c>
      <c r="M87" s="13">
        <f>M81</f>
        <v>10.247288653975414</v>
      </c>
      <c r="N87" s="195">
        <f ca="1">(($M$81*(1-N$75))+((N81-$M$81)*(1-N$76)))</f>
        <v>10.392478832677524</v>
      </c>
      <c r="O87" s="195">
        <f t="shared" ref="O87:AP87" ca="1" si="39">(($M$81*(1-O$75))+((O81-$M$81)*(1-O$76)))</f>
        <v>10.469956706146732</v>
      </c>
      <c r="P87" s="195">
        <f t="shared" ca="1" si="39"/>
        <v>10.550178231505235</v>
      </c>
      <c r="Q87" s="195">
        <f t="shared" ca="1" si="39"/>
        <v>10.721079327109955</v>
      </c>
      <c r="R87" s="195">
        <f t="shared" ca="1" si="39"/>
        <v>11.243911674088899</v>
      </c>
      <c r="S87" s="195">
        <f t="shared" ca="1" si="39"/>
        <v>11.66064156301255</v>
      </c>
      <c r="T87" s="195">
        <f t="shared" ca="1" si="39"/>
        <v>11.600382608691847</v>
      </c>
      <c r="U87" s="195">
        <f t="shared" ca="1" si="39"/>
        <v>11.538955823157039</v>
      </c>
      <c r="V87" s="195">
        <f t="shared" ca="1" si="39"/>
        <v>11.473145747506493</v>
      </c>
      <c r="W87" s="195">
        <f t="shared" ca="1" si="39"/>
        <v>11.414351968301395</v>
      </c>
      <c r="X87" s="195">
        <f t="shared" ca="1" si="39"/>
        <v>11.295304316084817</v>
      </c>
      <c r="Y87" s="195">
        <f t="shared" ca="1" si="39"/>
        <v>11.160202634786687</v>
      </c>
      <c r="Z87" s="195">
        <f t="shared" ca="1" si="39"/>
        <v>11.022525117744044</v>
      </c>
      <c r="AA87" s="195">
        <f t="shared" ca="1" si="39"/>
        <v>10.865677576180889</v>
      </c>
      <c r="AB87" s="195">
        <f t="shared" ca="1" si="39"/>
        <v>10.716013274748946</v>
      </c>
      <c r="AC87" s="195">
        <f t="shared" ca="1" si="39"/>
        <v>10.654219855744488</v>
      </c>
      <c r="AD87" s="195">
        <f t="shared" ca="1" si="39"/>
        <v>10.595143322152609</v>
      </c>
      <c r="AE87" s="195">
        <f t="shared" ca="1" si="39"/>
        <v>10.530857171618333</v>
      </c>
      <c r="AF87" s="195">
        <f t="shared" ca="1" si="39"/>
        <v>10.448406061473328</v>
      </c>
      <c r="AG87" s="195">
        <f t="shared" ca="1" si="39"/>
        <v>10.352529019920759</v>
      </c>
      <c r="AH87" s="195">
        <f t="shared" ca="1" si="39"/>
        <v>10.243655430964118</v>
      </c>
      <c r="AI87" s="195">
        <f t="shared" ca="1" si="39"/>
        <v>10.140029976427646</v>
      </c>
      <c r="AJ87" s="195">
        <f t="shared" ca="1" si="39"/>
        <v>10.04120881699439</v>
      </c>
      <c r="AK87" s="195">
        <f t="shared" ca="1" si="39"/>
        <v>9.9454413772321075</v>
      </c>
      <c r="AL87" s="195">
        <f t="shared" ca="1" si="39"/>
        <v>9.8461730940596848</v>
      </c>
      <c r="AM87" s="195">
        <f t="shared" ca="1" si="39"/>
        <v>9.2467826843241046</v>
      </c>
      <c r="AN87" s="195">
        <f t="shared" ca="1" si="39"/>
        <v>8.6026886103120432</v>
      </c>
      <c r="AO87" s="195">
        <f t="shared" ca="1" si="39"/>
        <v>8.6026886103120432</v>
      </c>
      <c r="AP87" s="195">
        <f t="shared" ca="1" si="39"/>
        <v>8.6026886103120432</v>
      </c>
    </row>
    <row r="88" spans="1:54" s="194" customFormat="1">
      <c r="A88" s="194" t="s">
        <v>16</v>
      </c>
      <c r="B88" s="25"/>
      <c r="D88" s="195" t="str">
        <f>D82</f>
        <v>RMNL</v>
      </c>
      <c r="J88" s="43">
        <f t="shared" ref="J88:M91" si="40">J82</f>
        <v>3.3422499241462768E-2</v>
      </c>
      <c r="K88" s="13">
        <f t="shared" si="40"/>
        <v>4.1310307072706193E-2</v>
      </c>
      <c r="L88" s="13">
        <f t="shared" si="40"/>
        <v>4.9198114903949625E-2</v>
      </c>
      <c r="M88" s="13">
        <f t="shared" si="40"/>
        <v>5.7085922735193056E-2</v>
      </c>
      <c r="N88" s="195">
        <f ca="1">(($M$82*(1-N$75))+((N82-$M$82)*(1-N$76)))</f>
        <v>5.8495815523095879E-2</v>
      </c>
      <c r="O88" s="195">
        <f t="shared" ref="O88:AP88" ca="1" si="41">(($M$82*(1-O$75))+((O82-$M$82)*(1-O$76)))</f>
        <v>5.9694584997758017E-2</v>
      </c>
      <c r="P88" s="195">
        <f t="shared" ca="1" si="41"/>
        <v>6.1363945519006695E-2</v>
      </c>
      <c r="Q88" s="195">
        <f t="shared" ca="1" si="41"/>
        <v>6.297881670468497E-2</v>
      </c>
      <c r="R88" s="195">
        <f t="shared" ca="1" si="41"/>
        <v>6.6300153085751753E-2</v>
      </c>
      <c r="S88" s="195">
        <f t="shared" ca="1" si="41"/>
        <v>6.3375929011820958E-2</v>
      </c>
      <c r="T88" s="195">
        <f t="shared" ca="1" si="41"/>
        <v>6.4262942810425536E-2</v>
      </c>
      <c r="U88" s="195">
        <f t="shared" ca="1" si="41"/>
        <v>6.5049449371018225E-2</v>
      </c>
      <c r="V88" s="195">
        <f t="shared" ca="1" si="41"/>
        <v>6.5904627477668315E-2</v>
      </c>
      <c r="W88" s="195">
        <f t="shared" ca="1" si="41"/>
        <v>6.6721057593989386E-2</v>
      </c>
      <c r="X88" s="195">
        <f t="shared" ca="1" si="41"/>
        <v>6.7283771073737078E-2</v>
      </c>
      <c r="Y88" s="195">
        <f t="shared" ca="1" si="41"/>
        <v>6.7992367124193417E-2</v>
      </c>
      <c r="Z88" s="195">
        <f t="shared" ca="1" si="41"/>
        <v>6.8638996056869184E-2</v>
      </c>
      <c r="AA88" s="195">
        <f t="shared" ca="1" si="41"/>
        <v>6.921609226368089E-2</v>
      </c>
      <c r="AB88" s="195">
        <f t="shared" ca="1" si="41"/>
        <v>6.9939388156283366E-2</v>
      </c>
      <c r="AC88" s="195">
        <f t="shared" ca="1" si="41"/>
        <v>7.0826736050517661E-2</v>
      </c>
      <c r="AD88" s="195">
        <f t="shared" ca="1" si="41"/>
        <v>7.1915777463191666E-2</v>
      </c>
      <c r="AE88" s="195">
        <f t="shared" ca="1" si="41"/>
        <v>7.2885721709758711E-2</v>
      </c>
      <c r="AF88" s="195">
        <f t="shared" ca="1" si="41"/>
        <v>7.3904582506883115E-2</v>
      </c>
      <c r="AG88" s="195">
        <f t="shared" ca="1" si="41"/>
        <v>7.4938473833357999E-2</v>
      </c>
      <c r="AH88" s="195">
        <f t="shared" ca="1" si="41"/>
        <v>7.5951631647132672E-2</v>
      </c>
      <c r="AI88" s="195">
        <f t="shared" ca="1" si="41"/>
        <v>7.6925784682485648E-2</v>
      </c>
      <c r="AJ88" s="195">
        <f t="shared" ca="1" si="41"/>
        <v>7.7928839228949193E-2</v>
      </c>
      <c r="AK88" s="195">
        <f t="shared" ca="1" si="41"/>
        <v>7.8906110769697835E-2</v>
      </c>
      <c r="AL88" s="195">
        <f t="shared" ca="1" si="41"/>
        <v>7.9880330221722223E-2</v>
      </c>
      <c r="AM88" s="195">
        <f t="shared" ca="1" si="41"/>
        <v>8.6099798982837455E-2</v>
      </c>
      <c r="AN88" s="195">
        <f t="shared" ca="1" si="41"/>
        <v>9.2353255547010737E-2</v>
      </c>
      <c r="AO88" s="195">
        <f t="shared" ca="1" si="41"/>
        <v>9.2353255547010737E-2</v>
      </c>
      <c r="AP88" s="195">
        <f t="shared" ca="1" si="41"/>
        <v>9.2353255547010737E-2</v>
      </c>
    </row>
    <row r="89" spans="1:54" s="194" customFormat="1">
      <c r="A89" s="194" t="s">
        <v>16</v>
      </c>
      <c r="B89" s="25"/>
      <c r="D89" s="195" t="str">
        <f>D83</f>
        <v>RHEL</v>
      </c>
      <c r="J89" s="43">
        <f t="shared" si="40"/>
        <v>29.137979962225089</v>
      </c>
      <c r="K89" s="13">
        <f t="shared" si="40"/>
        <v>30.895416547805155</v>
      </c>
      <c r="L89" s="13">
        <f t="shared" si="40"/>
        <v>32.652853133385221</v>
      </c>
      <c r="M89" s="13">
        <f t="shared" si="40"/>
        <v>34.410289718965288</v>
      </c>
      <c r="N89" s="195">
        <f ca="1">(($M$83*(1-N$75))+((N83-$M$83)*(1-N$76)))</f>
        <v>35.00515016610165</v>
      </c>
      <c r="O89" s="195">
        <f t="shared" ref="O89:AP89" ca="1" si="42">(($M$83*(1-O$75))+((O83-$M$83)*(1-O$76)))</f>
        <v>36.288706822658781</v>
      </c>
      <c r="P89" s="195">
        <f t="shared" ca="1" si="42"/>
        <v>37.105934698525402</v>
      </c>
      <c r="Q89" s="195">
        <f t="shared" ca="1" si="42"/>
        <v>37.281849841177461</v>
      </c>
      <c r="R89" s="195">
        <f t="shared" ca="1" si="42"/>
        <v>33.596268190812545</v>
      </c>
      <c r="S89" s="195">
        <f t="shared" ca="1" si="42"/>
        <v>34.151013871712493</v>
      </c>
      <c r="T89" s="195">
        <f t="shared" ca="1" si="42"/>
        <v>34.911682856568589</v>
      </c>
      <c r="U89" s="195">
        <f t="shared" ca="1" si="42"/>
        <v>35.71359787794168</v>
      </c>
      <c r="V89" s="195">
        <f t="shared" ca="1" si="42"/>
        <v>36.443127294528217</v>
      </c>
      <c r="W89" s="195">
        <f t="shared" ca="1" si="42"/>
        <v>37.107397398744702</v>
      </c>
      <c r="X89" s="195">
        <f t="shared" ca="1" si="42"/>
        <v>38.066038188645038</v>
      </c>
      <c r="Y89" s="195">
        <f t="shared" ca="1" si="42"/>
        <v>38.96543330590201</v>
      </c>
      <c r="Z89" s="195">
        <f t="shared" ca="1" si="42"/>
        <v>39.876355248053045</v>
      </c>
      <c r="AA89" s="195">
        <f t="shared" ca="1" si="42"/>
        <v>40.91300219921721</v>
      </c>
      <c r="AB89" s="195">
        <f t="shared" ca="1" si="42"/>
        <v>41.73389468363446</v>
      </c>
      <c r="AC89" s="195">
        <f t="shared" ca="1" si="42"/>
        <v>43.153244248105366</v>
      </c>
      <c r="AD89" s="195">
        <f t="shared" ca="1" si="42"/>
        <v>44.402760502111782</v>
      </c>
      <c r="AE89" s="195">
        <f t="shared" ca="1" si="42"/>
        <v>45.779578810950198</v>
      </c>
      <c r="AF89" s="195">
        <f t="shared" ca="1" si="42"/>
        <v>47.237996128480987</v>
      </c>
      <c r="AG89" s="195">
        <f t="shared" ca="1" si="42"/>
        <v>48.771942260675516</v>
      </c>
      <c r="AH89" s="195">
        <f t="shared" ca="1" si="42"/>
        <v>50.209923859585402</v>
      </c>
      <c r="AI89" s="195">
        <f t="shared" ca="1" si="42"/>
        <v>51.641527921004538</v>
      </c>
      <c r="AJ89" s="195">
        <f t="shared" ca="1" si="42"/>
        <v>53.018410179132232</v>
      </c>
      <c r="AK89" s="195">
        <f t="shared" ca="1" si="42"/>
        <v>54.394082205614893</v>
      </c>
      <c r="AL89" s="195">
        <f t="shared" ca="1" si="42"/>
        <v>55.792383993388945</v>
      </c>
      <c r="AM89" s="195">
        <f t="shared" ca="1" si="42"/>
        <v>63.006499397768017</v>
      </c>
      <c r="AN89" s="195">
        <f t="shared" ca="1" si="42"/>
        <v>69.538876467833717</v>
      </c>
      <c r="AO89" s="195">
        <f t="shared" ca="1" si="42"/>
        <v>69.538876467833717</v>
      </c>
      <c r="AP89" s="195">
        <f t="shared" ca="1" si="42"/>
        <v>69.538876467833717</v>
      </c>
    </row>
    <row r="90" spans="1:54" s="194" customFormat="1">
      <c r="A90" s="194" t="s">
        <v>16</v>
      </c>
      <c r="B90" s="25"/>
      <c r="D90" s="195">
        <f>D84</f>
        <v>0</v>
      </c>
      <c r="J90" s="43">
        <f t="shared" si="40"/>
        <v>0</v>
      </c>
      <c r="K90" s="13">
        <f t="shared" si="40"/>
        <v>0</v>
      </c>
      <c r="L90" s="13">
        <f t="shared" si="40"/>
        <v>0</v>
      </c>
      <c r="M90" s="13">
        <f t="shared" si="40"/>
        <v>0</v>
      </c>
      <c r="N90" s="195">
        <f ca="1">(($M$84*(1-N$75))+((N84-$M$84)*(1-N$76)))</f>
        <v>0</v>
      </c>
      <c r="O90" s="195">
        <f t="shared" ref="O90:AP90" ca="1" si="43">(($M$84*(1-O$75))+((O84-$M$84)*(1-O$76)))</f>
        <v>0</v>
      </c>
      <c r="P90" s="195">
        <f t="shared" ca="1" si="43"/>
        <v>0</v>
      </c>
      <c r="Q90" s="195">
        <f t="shared" ca="1" si="43"/>
        <v>0</v>
      </c>
      <c r="R90" s="195">
        <f t="shared" ca="1" si="43"/>
        <v>0</v>
      </c>
      <c r="S90" s="195">
        <f t="shared" ca="1" si="43"/>
        <v>0</v>
      </c>
      <c r="T90" s="195">
        <f t="shared" ca="1" si="43"/>
        <v>0</v>
      </c>
      <c r="U90" s="195">
        <f t="shared" ca="1" si="43"/>
        <v>0</v>
      </c>
      <c r="V90" s="195">
        <f t="shared" ca="1" si="43"/>
        <v>0</v>
      </c>
      <c r="W90" s="195">
        <f t="shared" ca="1" si="43"/>
        <v>0</v>
      </c>
      <c r="X90" s="195">
        <f t="shared" ca="1" si="43"/>
        <v>0</v>
      </c>
      <c r="Y90" s="195">
        <f t="shared" ca="1" si="43"/>
        <v>0</v>
      </c>
      <c r="Z90" s="195">
        <f t="shared" ca="1" si="43"/>
        <v>0</v>
      </c>
      <c r="AA90" s="195">
        <f t="shared" ca="1" si="43"/>
        <v>0</v>
      </c>
      <c r="AB90" s="195">
        <f t="shared" ca="1" si="43"/>
        <v>0</v>
      </c>
      <c r="AC90" s="195">
        <f t="shared" ca="1" si="43"/>
        <v>0</v>
      </c>
      <c r="AD90" s="195">
        <f t="shared" ca="1" si="43"/>
        <v>0</v>
      </c>
      <c r="AE90" s="195">
        <f t="shared" ca="1" si="43"/>
        <v>0</v>
      </c>
      <c r="AF90" s="195">
        <f t="shared" ca="1" si="43"/>
        <v>0</v>
      </c>
      <c r="AG90" s="195">
        <f t="shared" ca="1" si="43"/>
        <v>0</v>
      </c>
      <c r="AH90" s="195">
        <f t="shared" ca="1" si="43"/>
        <v>0</v>
      </c>
      <c r="AI90" s="195">
        <f t="shared" ca="1" si="43"/>
        <v>0</v>
      </c>
      <c r="AJ90" s="195">
        <f t="shared" ca="1" si="43"/>
        <v>0</v>
      </c>
      <c r="AK90" s="195">
        <f t="shared" ca="1" si="43"/>
        <v>0</v>
      </c>
      <c r="AL90" s="195">
        <f t="shared" ca="1" si="43"/>
        <v>0</v>
      </c>
      <c r="AM90" s="195">
        <f t="shared" ca="1" si="43"/>
        <v>0</v>
      </c>
      <c r="AN90" s="195">
        <f t="shared" ca="1" si="43"/>
        <v>0</v>
      </c>
      <c r="AO90" s="195">
        <f t="shared" ca="1" si="43"/>
        <v>0</v>
      </c>
      <c r="AP90" s="195">
        <f t="shared" ca="1" si="43"/>
        <v>0</v>
      </c>
    </row>
    <row r="91" spans="1:54" s="194" customFormat="1">
      <c r="A91" s="194" t="s">
        <v>16</v>
      </c>
      <c r="B91" s="25"/>
      <c r="D91" s="195">
        <f>D85</f>
        <v>0</v>
      </c>
      <c r="J91" s="43">
        <f t="shared" si="40"/>
        <v>0</v>
      </c>
      <c r="K91" s="13">
        <f t="shared" si="40"/>
        <v>0</v>
      </c>
      <c r="L91" s="13">
        <f t="shared" si="40"/>
        <v>0</v>
      </c>
      <c r="M91" s="13">
        <f t="shared" si="40"/>
        <v>0</v>
      </c>
      <c r="N91" s="195">
        <f ca="1">(($M$85*(1-N$75))+((N85-$M$85)*(1-N$76)))</f>
        <v>0</v>
      </c>
      <c r="O91" s="195">
        <f t="shared" ref="O91:AP91" ca="1" si="44">(($M$85*(1-O$75))+((O85-$M$85)*(1-O$76)))</f>
        <v>0</v>
      </c>
      <c r="P91" s="195">
        <f t="shared" ca="1" si="44"/>
        <v>0</v>
      </c>
      <c r="Q91" s="195">
        <f t="shared" ca="1" si="44"/>
        <v>0</v>
      </c>
      <c r="R91" s="195">
        <f t="shared" ca="1" si="44"/>
        <v>0</v>
      </c>
      <c r="S91" s="195">
        <f t="shared" ca="1" si="44"/>
        <v>0</v>
      </c>
      <c r="T91" s="195">
        <f t="shared" ca="1" si="44"/>
        <v>0</v>
      </c>
      <c r="U91" s="195">
        <f t="shared" ca="1" si="44"/>
        <v>0</v>
      </c>
      <c r="V91" s="195">
        <f t="shared" ca="1" si="44"/>
        <v>0</v>
      </c>
      <c r="W91" s="195">
        <f t="shared" ca="1" si="44"/>
        <v>0</v>
      </c>
      <c r="X91" s="195">
        <f t="shared" ca="1" si="44"/>
        <v>0</v>
      </c>
      <c r="Y91" s="195">
        <f t="shared" ca="1" si="44"/>
        <v>0</v>
      </c>
      <c r="Z91" s="195">
        <f t="shared" ca="1" si="44"/>
        <v>0</v>
      </c>
      <c r="AA91" s="195">
        <f t="shared" ca="1" si="44"/>
        <v>0</v>
      </c>
      <c r="AB91" s="195">
        <f t="shared" ca="1" si="44"/>
        <v>0</v>
      </c>
      <c r="AC91" s="195">
        <f t="shared" ca="1" si="44"/>
        <v>0</v>
      </c>
      <c r="AD91" s="195">
        <f t="shared" ca="1" si="44"/>
        <v>0</v>
      </c>
      <c r="AE91" s="195">
        <f t="shared" ca="1" si="44"/>
        <v>0</v>
      </c>
      <c r="AF91" s="195">
        <f t="shared" ca="1" si="44"/>
        <v>0</v>
      </c>
      <c r="AG91" s="195">
        <f t="shared" ca="1" si="44"/>
        <v>0</v>
      </c>
      <c r="AH91" s="195">
        <f t="shared" ca="1" si="44"/>
        <v>0</v>
      </c>
      <c r="AI91" s="195">
        <f t="shared" ca="1" si="44"/>
        <v>0</v>
      </c>
      <c r="AJ91" s="195">
        <f t="shared" ca="1" si="44"/>
        <v>0</v>
      </c>
      <c r="AK91" s="195">
        <f t="shared" ca="1" si="44"/>
        <v>0</v>
      </c>
      <c r="AL91" s="195">
        <f t="shared" ca="1" si="44"/>
        <v>0</v>
      </c>
      <c r="AM91" s="195">
        <f t="shared" ca="1" si="44"/>
        <v>0</v>
      </c>
      <c r="AN91" s="195">
        <f t="shared" ca="1" si="44"/>
        <v>0</v>
      </c>
      <c r="AO91" s="195">
        <f t="shared" ca="1" si="44"/>
        <v>0</v>
      </c>
      <c r="AP91" s="195">
        <f t="shared" ca="1" si="44"/>
        <v>0</v>
      </c>
    </row>
    <row r="92" spans="1:54">
      <c r="A92" s="4" t="s">
        <v>16</v>
      </c>
      <c r="B92" s="25"/>
      <c r="D92" s="6"/>
    </row>
    <row r="93" spans="1:54" ht="18" thickBot="1">
      <c r="A93" s="4" t="s">
        <v>16</v>
      </c>
      <c r="B93" s="25"/>
      <c r="C93" s="38" t="s">
        <v>154</v>
      </c>
      <c r="D93" s="14"/>
      <c r="E93" s="9"/>
      <c r="F93" s="9"/>
      <c r="G93" s="15"/>
      <c r="H93" s="15"/>
      <c r="I93" s="142"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17" t="str">
        <f>'[5]TS BYDem'!E10</f>
        <v>-</v>
      </c>
      <c r="F96" s="117" t="str">
        <f>'[5]TS BYDem'!F10</f>
        <v>-</v>
      </c>
      <c r="G96" s="117" t="str">
        <f>'[5]TS BYDem'!G10</f>
        <v>-</v>
      </c>
      <c r="H96" s="117" t="str">
        <f>'[5]TS BYDem'!H10</f>
        <v>-</v>
      </c>
      <c r="I96" s="117">
        <f>'[5]TS BYDem'!I10</f>
        <v>0</v>
      </c>
      <c r="J96" s="24">
        <f>'[5]TS BYDem'!J10</f>
        <v>10.669591824450372</v>
      </c>
      <c r="K96" s="24">
        <f>($O96-$J96)*(K$94-$J$94)/($O$94-$J$94)+$J96</f>
        <v>11.660595758588318</v>
      </c>
      <c r="L96" s="24">
        <f t="shared" ref="L96:N111" si="46">($O96-$J96)*(L$94-$J$94)/($O$94-$J$94)+$J96</f>
        <v>12.651599692726267</v>
      </c>
      <c r="M96" s="24">
        <f t="shared" si="46"/>
        <v>13.642603626864213</v>
      </c>
      <c r="N96" s="24">
        <f t="shared" si="46"/>
        <v>14.633607561002162</v>
      </c>
      <c r="O96" s="24">
        <f>'[5]TS BYDem'!O10</f>
        <v>15.624611495140108</v>
      </c>
      <c r="P96" s="24">
        <f ca="1">OFFSET(P$21,$BB96,$J$93)/OFFSET(O$21,$BB96,$J$93)*O96</f>
        <v>15.650930649210721</v>
      </c>
      <c r="Q96" s="24">
        <f t="shared" ref="Q96:T96" ca="1" si="47">OFFSET(Q$21,$BB96,$J$93)/OFFSET(P$21,$BB96,$J$93)*P96</f>
        <v>15.820100046465347</v>
      </c>
      <c r="R96" s="24">
        <f t="shared" ca="1" si="47"/>
        <v>16.525698857845963</v>
      </c>
      <c r="S96" s="24">
        <f t="shared" ca="1" si="47"/>
        <v>17.210955544960104</v>
      </c>
      <c r="T96" s="24">
        <f t="shared" ca="1" si="47"/>
        <v>17.18026672286657</v>
      </c>
      <c r="U96" s="24">
        <f t="shared" ref="U96:AP96" ca="1" si="48">OFFSET(U$21,$BB96,$J$93)/OFFSET(T$21,$BB96,$J$93)*T96</f>
        <v>17.150391777129158</v>
      </c>
      <c r="V96" s="24">
        <f t="shared" ca="1" si="48"/>
        <v>17.116323697175691</v>
      </c>
      <c r="W96" s="24">
        <f t="shared" ca="1" si="48"/>
        <v>17.095862004867673</v>
      </c>
      <c r="X96" s="24">
        <f t="shared" ca="1" si="48"/>
        <v>16.982548789417347</v>
      </c>
      <c r="Y96" s="24">
        <f t="shared" ca="1" si="48"/>
        <v>16.844522978133632</v>
      </c>
      <c r="Z96" s="24">
        <f t="shared" ca="1" si="48"/>
        <v>16.702803070020487</v>
      </c>
      <c r="AA96" s="24">
        <f t="shared" ca="1" si="48"/>
        <v>16.530036507696611</v>
      </c>
      <c r="AB96" s="24">
        <f t="shared" ca="1" si="48"/>
        <v>16.368733890116197</v>
      </c>
      <c r="AC96" s="24">
        <f t="shared" ca="1" si="48"/>
        <v>16.171399391173228</v>
      </c>
      <c r="AD96" s="24">
        <f t="shared" ca="1" si="48"/>
        <v>15.980801055415059</v>
      </c>
      <c r="AE96" s="24">
        <f t="shared" ca="1" si="48"/>
        <v>15.783938693888006</v>
      </c>
      <c r="AF96" s="24">
        <f t="shared" ca="1" si="48"/>
        <v>15.559984298932985</v>
      </c>
      <c r="AG96" s="24">
        <f t="shared" ca="1" si="48"/>
        <v>15.317016876857439</v>
      </c>
      <c r="AH96" s="24">
        <f t="shared" ca="1" si="48"/>
        <v>15.056046518561789</v>
      </c>
      <c r="AI96" s="24">
        <f t="shared" ca="1" si="48"/>
        <v>14.806362287016366</v>
      </c>
      <c r="AJ96" s="24">
        <f t="shared" ca="1" si="48"/>
        <v>14.56707283427693</v>
      </c>
      <c r="AK96" s="24">
        <f t="shared" ca="1" si="48"/>
        <v>14.335254013762331</v>
      </c>
      <c r="AL96" s="24">
        <f t="shared" ca="1" si="48"/>
        <v>14.100542128190909</v>
      </c>
      <c r="AM96" s="24">
        <f t="shared" ca="1" si="48"/>
        <v>12.808417224480371</v>
      </c>
      <c r="AN96" s="24">
        <f t="shared" ca="1" si="48"/>
        <v>11.518140685085456</v>
      </c>
      <c r="AO96" s="24">
        <f t="shared" ca="1" si="48"/>
        <v>11.518140685085456</v>
      </c>
      <c r="AP96" s="24">
        <f t="shared" ca="1" si="48"/>
        <v>11.518140685085456</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17" t="s">
        <v>137</v>
      </c>
      <c r="F97" s="117" t="s">
        <v>137</v>
      </c>
      <c r="G97" s="117" t="s">
        <v>137</v>
      </c>
      <c r="H97" s="117" t="s">
        <v>137</v>
      </c>
      <c r="I97" s="117">
        <v>0</v>
      </c>
      <c r="J97" s="6">
        <f>'[5]TS BYDem'!J11</f>
        <v>4.742986727829742E-2</v>
      </c>
      <c r="K97" s="24">
        <f t="shared" ref="K97:N136" si="49">($O97-$J97)*(K$94-$J$94)/($O$94-$J$94)+$J97</f>
        <v>4.4891195588489731E-2</v>
      </c>
      <c r="L97" s="24">
        <f t="shared" si="46"/>
        <v>4.2352523898682035E-2</v>
      </c>
      <c r="M97" s="24">
        <f t="shared" si="46"/>
        <v>3.9813852208874345E-2</v>
      </c>
      <c r="N97" s="24">
        <f t="shared" si="46"/>
        <v>3.7275180519066656E-2</v>
      </c>
      <c r="O97" s="24">
        <f>'[5]TS BYDem'!O11</f>
        <v>3.4736508829258959E-2</v>
      </c>
      <c r="P97" s="24">
        <f t="shared" ref="P97:S103" ca="1" si="50">OFFSET(P$21,$BB97,$J$93)/OFFSET(O$21,$BB97,$J$93)*O97</f>
        <v>3.479502135790883E-2</v>
      </c>
      <c r="Q97" s="24">
        <f t="shared" ca="1" si="50"/>
        <v>3.5171117382005394E-2</v>
      </c>
      <c r="R97" s="24">
        <f t="shared" ca="1" si="50"/>
        <v>3.6739798904042664E-2</v>
      </c>
      <c r="S97" s="24">
        <f t="shared" ca="1" si="50"/>
        <v>3.8263255981337223E-2</v>
      </c>
      <c r="T97" s="24">
        <f t="shared" ref="T97:AP97" ca="1" si="51">OFFSET(T$21,$BB97,$J$93)/OFFSET(S$21,$BB97,$J$93)*S97</f>
        <v>3.8195028842381282E-2</v>
      </c>
      <c r="U97" s="24">
        <f t="shared" ca="1" si="51"/>
        <v>3.8128611106701647E-2</v>
      </c>
      <c r="V97" s="24">
        <f t="shared" ca="1" si="51"/>
        <v>3.805287122923541E-2</v>
      </c>
      <c r="W97" s="24">
        <f t="shared" ca="1" si="51"/>
        <v>3.800738096179803E-2</v>
      </c>
      <c r="X97" s="24">
        <f t="shared" ca="1" si="51"/>
        <v>3.7755463945481418E-2</v>
      </c>
      <c r="Y97" s="24">
        <f t="shared" ca="1" si="51"/>
        <v>3.7448606087683564E-2</v>
      </c>
      <c r="Z97" s="24">
        <f t="shared" ca="1" si="51"/>
        <v>3.7133535543946508E-2</v>
      </c>
      <c r="AA97" s="24">
        <f t="shared" ca="1" si="51"/>
        <v>3.6749442331809323E-2</v>
      </c>
      <c r="AB97" s="24">
        <f t="shared" ca="1" si="51"/>
        <v>3.639083566811676E-2</v>
      </c>
      <c r="AC97" s="24">
        <f t="shared" ca="1" si="51"/>
        <v>3.59521232196836E-2</v>
      </c>
      <c r="AD97" s="24">
        <f t="shared" ca="1" si="51"/>
        <v>3.5528386554297388E-2</v>
      </c>
      <c r="AE97" s="24">
        <f t="shared" ca="1" si="51"/>
        <v>3.5090723757916165E-2</v>
      </c>
      <c r="AF97" s="24">
        <f t="shared" ca="1" si="51"/>
        <v>3.4592830173802012E-2</v>
      </c>
      <c r="AG97" s="24">
        <f t="shared" ca="1" si="51"/>
        <v>3.4052666982878857E-2</v>
      </c>
      <c r="AH97" s="24">
        <f t="shared" ca="1" si="51"/>
        <v>3.3472479810997408E-2</v>
      </c>
      <c r="AI97" s="24">
        <f t="shared" ca="1" si="51"/>
        <v>3.2917383864048452E-2</v>
      </c>
      <c r="AJ97" s="24">
        <f t="shared" ca="1" si="51"/>
        <v>3.2385397504552896E-2</v>
      </c>
      <c r="AK97" s="24">
        <f t="shared" ca="1" si="51"/>
        <v>3.1870019793683188E-2</v>
      </c>
      <c r="AL97" s="24">
        <f t="shared" ca="1" si="51"/>
        <v>3.1348210244177291E-2</v>
      </c>
      <c r="AM97" s="24">
        <f t="shared" ca="1" si="51"/>
        <v>2.8475568697844619E-2</v>
      </c>
      <c r="AN97" s="24">
        <f t="shared" ca="1" si="51"/>
        <v>2.5607036419981716E-2</v>
      </c>
      <c r="AO97" s="24">
        <f t="shared" ca="1" si="51"/>
        <v>2.5607036419981716E-2</v>
      </c>
      <c r="AP97" s="24">
        <f t="shared" ca="1" si="51"/>
        <v>2.5607036419981716E-2</v>
      </c>
      <c r="AQ97" s="6"/>
      <c r="AR97" s="6"/>
      <c r="AS97" s="6"/>
      <c r="AT97" s="6"/>
      <c r="AU97" s="6"/>
      <c r="AV97" s="6"/>
      <c r="BB97" s="224">
        <v>1</v>
      </c>
    </row>
    <row r="98" spans="1:54">
      <c r="A98" s="22" t="str">
        <f>'[5]TS BYDem'!A12</f>
        <v/>
      </c>
      <c r="B98" s="22" t="str">
        <f>'[5]TS BYDem'!B12</f>
        <v>COM_PROJ</v>
      </c>
      <c r="C98" s="22" t="str">
        <f>'[5]TS BYDem'!C12</f>
        <v>-</v>
      </c>
      <c r="D98" s="22" t="str">
        <f>'[5]TS BYDem'!D12</f>
        <v>RLEK</v>
      </c>
      <c r="E98" s="117" t="s">
        <v>137</v>
      </c>
      <c r="F98" s="117" t="s">
        <v>137</v>
      </c>
      <c r="G98" s="117" t="s">
        <v>137</v>
      </c>
      <c r="H98" s="117" t="s">
        <v>137</v>
      </c>
      <c r="I98" s="117">
        <v>0</v>
      </c>
      <c r="J98" s="6">
        <f>'[5]TS BYDem'!J12</f>
        <v>10.053924891431189</v>
      </c>
      <c r="K98" s="24">
        <f t="shared" si="49"/>
        <v>10.118379478945931</v>
      </c>
      <c r="L98" s="24">
        <f t="shared" si="46"/>
        <v>10.182834066460671</v>
      </c>
      <c r="M98" s="24">
        <f t="shared" si="46"/>
        <v>10.247288653975414</v>
      </c>
      <c r="N98" s="24">
        <f t="shared" si="46"/>
        <v>10.311743241490154</v>
      </c>
      <c r="O98" s="24">
        <f>'[5]TS BYDem'!O12</f>
        <v>10.376197829004896</v>
      </c>
      <c r="P98" s="24">
        <f t="shared" ca="1" si="50"/>
        <v>10.393676199549578</v>
      </c>
      <c r="Q98" s="24">
        <f t="shared" ca="1" si="50"/>
        <v>10.506020441393511</v>
      </c>
      <c r="R98" s="24">
        <f t="shared" ca="1" si="50"/>
        <v>10.974603795102707</v>
      </c>
      <c r="S98" s="24">
        <f t="shared" ca="1" si="50"/>
        <v>11.429678082956613</v>
      </c>
      <c r="T98" s="24">
        <f t="shared" ref="T98:AP98" ca="1" si="52">OFFSET(T$21,$BB98,$J$93)/OFFSET(S$21,$BB98,$J$93)*S98</f>
        <v>11.409297845708432</v>
      </c>
      <c r="U98" s="24">
        <f t="shared" ca="1" si="52"/>
        <v>11.389458098192241</v>
      </c>
      <c r="V98" s="24">
        <f t="shared" ca="1" si="52"/>
        <v>11.36683371886854</v>
      </c>
      <c r="W98" s="24">
        <f t="shared" ca="1" si="52"/>
        <v>11.353245248693121</v>
      </c>
      <c r="X98" s="24">
        <f t="shared" ca="1" si="52"/>
        <v>11.27799471587066</v>
      </c>
      <c r="Y98" s="24">
        <f t="shared" ca="1" si="52"/>
        <v>11.186332716861328</v>
      </c>
      <c r="Z98" s="24">
        <f t="shared" ca="1" si="52"/>
        <v>11.092217493366153</v>
      </c>
      <c r="AA98" s="24">
        <f t="shared" ca="1" si="52"/>
        <v>10.977484398756587</v>
      </c>
      <c r="AB98" s="24">
        <f t="shared" ca="1" si="52"/>
        <v>10.870364431589961</v>
      </c>
      <c r="AC98" s="24">
        <f t="shared" ca="1" si="52"/>
        <v>10.739315937990188</v>
      </c>
      <c r="AD98" s="24">
        <f t="shared" ca="1" si="52"/>
        <v>10.61274088437551</v>
      </c>
      <c r="AE98" s="24">
        <f t="shared" ca="1" si="52"/>
        <v>10.482005934010495</v>
      </c>
      <c r="AF98" s="24">
        <f t="shared" ca="1" si="52"/>
        <v>10.333279349195813</v>
      </c>
      <c r="AG98" s="24">
        <f t="shared" ca="1" si="52"/>
        <v>10.171926342867089</v>
      </c>
      <c r="AH98" s="24">
        <f t="shared" ca="1" si="52"/>
        <v>9.9986177094956794</v>
      </c>
      <c r="AI98" s="24">
        <f t="shared" ca="1" si="52"/>
        <v>9.8328041158518182</v>
      </c>
      <c r="AJ98" s="24">
        <f t="shared" ca="1" si="52"/>
        <v>9.6738936238507218</v>
      </c>
      <c r="AK98" s="24">
        <f t="shared" ca="1" si="52"/>
        <v>9.5199443277101903</v>
      </c>
      <c r="AL98" s="24">
        <f t="shared" ca="1" si="52"/>
        <v>9.3640737668155829</v>
      </c>
      <c r="AM98" s="24">
        <f t="shared" ca="1" si="52"/>
        <v>8.5059824392421142</v>
      </c>
      <c r="AN98" s="24">
        <f t="shared" ca="1" si="52"/>
        <v>7.649118597792377</v>
      </c>
      <c r="AO98" s="24">
        <f t="shared" ca="1" si="52"/>
        <v>7.649118597792377</v>
      </c>
      <c r="AP98" s="24">
        <f t="shared" ca="1" si="52"/>
        <v>7.649118597792377</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17" t="s">
        <v>137</v>
      </c>
      <c r="F99" s="117" t="s">
        <v>137</v>
      </c>
      <c r="G99" s="117" t="s">
        <v>137</v>
      </c>
      <c r="H99" s="117" t="s">
        <v>137</v>
      </c>
      <c r="I99" s="117">
        <v>0</v>
      </c>
      <c r="J99" s="6">
        <f>'[5]TS BYDem'!J13</f>
        <v>14.600188686866282</v>
      </c>
      <c r="K99" s="24">
        <f t="shared" si="49"/>
        <v>13.692886342241749</v>
      </c>
      <c r="L99" s="24">
        <f t="shared" si="46"/>
        <v>12.785583997617215</v>
      </c>
      <c r="M99" s="24">
        <f t="shared" si="46"/>
        <v>11.878281652992682</v>
      </c>
      <c r="N99" s="24">
        <f t="shared" si="46"/>
        <v>10.970979308368147</v>
      </c>
      <c r="O99" s="24">
        <f>'[5]TS BYDem'!O13</f>
        <v>10.063676963743614</v>
      </c>
      <c r="P99" s="24">
        <f t="shared" ca="1" si="50"/>
        <v>10.080628902971545</v>
      </c>
      <c r="Q99" s="24">
        <f t="shared" ca="1" si="50"/>
        <v>10.189589446832192</v>
      </c>
      <c r="R99" s="24">
        <f t="shared" ca="1" si="50"/>
        <v>10.644059531156827</v>
      </c>
      <c r="S99" s="24">
        <f t="shared" ca="1" si="50"/>
        <v>11.085427429392688</v>
      </c>
      <c r="T99" s="24">
        <f t="shared" ref="T99:AP99" ca="1" si="54">OFFSET(T$21,$BB99,$J$93)/OFFSET(S$21,$BB99,$J$93)*S99</f>
        <v>11.065661024830042</v>
      </c>
      <c r="U99" s="24">
        <f t="shared" ca="1" si="54"/>
        <v>11.046418830980667</v>
      </c>
      <c r="V99" s="24">
        <f t="shared" ca="1" si="54"/>
        <v>11.024475875692893</v>
      </c>
      <c r="W99" s="24">
        <f t="shared" ca="1" si="54"/>
        <v>11.011296676863951</v>
      </c>
      <c r="X99" s="24">
        <f t="shared" ca="1" si="54"/>
        <v>10.938312616020591</v>
      </c>
      <c r="Y99" s="24">
        <f t="shared" ca="1" si="54"/>
        <v>10.849411386198012</v>
      </c>
      <c r="Z99" s="24">
        <f t="shared" ca="1" si="54"/>
        <v>10.758130820596381</v>
      </c>
      <c r="AA99" s="24">
        <f t="shared" ca="1" si="54"/>
        <v>10.646853373864042</v>
      </c>
      <c r="AB99" s="24">
        <f t="shared" ca="1" si="54"/>
        <v>10.542959754669704</v>
      </c>
      <c r="AC99" s="24">
        <f t="shared" ca="1" si="54"/>
        <v>10.415858312705407</v>
      </c>
      <c r="AD99" s="24">
        <f t="shared" ca="1" si="54"/>
        <v>10.293095575117084</v>
      </c>
      <c r="AE99" s="24">
        <f t="shared" ca="1" si="54"/>
        <v>10.166298232773935</v>
      </c>
      <c r="AF99" s="24">
        <f t="shared" ca="1" si="54"/>
        <v>10.022051146301481</v>
      </c>
      <c r="AG99" s="24">
        <f t="shared" ca="1" si="54"/>
        <v>9.8655579337027302</v>
      </c>
      <c r="AH99" s="24">
        <f t="shared" ca="1" si="54"/>
        <v>9.6974691857798305</v>
      </c>
      <c r="AI99" s="24">
        <f t="shared" ca="1" si="54"/>
        <v>9.5366497343652945</v>
      </c>
      <c r="AJ99" s="24">
        <f t="shared" ca="1" si="54"/>
        <v>9.3825254699668026</v>
      </c>
      <c r="AK99" s="24">
        <f t="shared" ca="1" si="54"/>
        <v>9.23321297509289</v>
      </c>
      <c r="AL99" s="24">
        <f t="shared" ca="1" si="54"/>
        <v>9.0820370820681813</v>
      </c>
      <c r="AM99" s="24">
        <f t="shared" ca="1" si="54"/>
        <v>8.2497906206572331</v>
      </c>
      <c r="AN99" s="24">
        <f t="shared" ca="1" si="54"/>
        <v>7.4187346746961911</v>
      </c>
      <c r="AO99" s="24">
        <f t="shared" ca="1" si="54"/>
        <v>7.4187346746961911</v>
      </c>
      <c r="AP99" s="24">
        <f t="shared" ca="1" si="54"/>
        <v>7.4187346746961911</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17" t="s">
        <v>137</v>
      </c>
      <c r="F100" s="117" t="s">
        <v>137</v>
      </c>
      <c r="G100" s="117" t="s">
        <v>137</v>
      </c>
      <c r="H100" s="117" t="s">
        <v>137</v>
      </c>
      <c r="I100" s="117">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17" t="s">
        <v>137</v>
      </c>
      <c r="F101" s="117" t="s">
        <v>137</v>
      </c>
      <c r="G101" s="117" t="s">
        <v>137</v>
      </c>
      <c r="H101" s="117" t="s">
        <v>137</v>
      </c>
      <c r="I101" s="117">
        <v>0</v>
      </c>
      <c r="J101" s="6">
        <f>'[5]TS BYDem'!J15</f>
        <v>5.6486911771289003</v>
      </c>
      <c r="K101" s="24">
        <f t="shared" si="49"/>
        <v>5.7273475681852952</v>
      </c>
      <c r="L101" s="24">
        <f t="shared" si="46"/>
        <v>5.8060039592416901</v>
      </c>
      <c r="M101" s="24">
        <f t="shared" si="46"/>
        <v>5.8846603502980841</v>
      </c>
      <c r="N101" s="24">
        <f t="shared" si="46"/>
        <v>5.963316741354479</v>
      </c>
      <c r="O101" s="24">
        <f>'[5]TS BYDem'!O15</f>
        <v>6.0419731324108739</v>
      </c>
      <c r="P101" s="24">
        <f t="shared" ca="1" si="50"/>
        <v>6.0521506412604147</v>
      </c>
      <c r="Q101" s="24">
        <f t="shared" ca="1" si="50"/>
        <v>6.1175677528062931</v>
      </c>
      <c r="R101" s="24">
        <f t="shared" ca="1" si="50"/>
        <v>6.3904199169672244</v>
      </c>
      <c r="S101" s="24">
        <f t="shared" ca="1" si="50"/>
        <v>6.6554058651705654</v>
      </c>
      <c r="T101" s="24">
        <f t="shared" ref="T101:AP101" ca="1" si="56">OFFSET(T$21,$BB101,$J$93)/OFFSET(S$21,$BB101,$J$93)*S101</f>
        <v>6.6435386236322955</v>
      </c>
      <c r="U101" s="24">
        <f t="shared" ca="1" si="56"/>
        <v>6.6319861047403021</v>
      </c>
      <c r="V101" s="24">
        <f t="shared" ca="1" si="56"/>
        <v>6.6188121180580923</v>
      </c>
      <c r="W101" s="24">
        <f t="shared" ca="1" si="56"/>
        <v>6.6108996656296171</v>
      </c>
      <c r="X101" s="24">
        <f t="shared" ca="1" si="56"/>
        <v>6.5670819103202511</v>
      </c>
      <c r="Y101" s="24">
        <f t="shared" ca="1" si="56"/>
        <v>6.5137078956374017</v>
      </c>
      <c r="Z101" s="24">
        <f t="shared" ca="1" si="56"/>
        <v>6.4589053888733972</v>
      </c>
      <c r="AA101" s="24">
        <f t="shared" ca="1" si="56"/>
        <v>6.3920972683601596</v>
      </c>
      <c r="AB101" s="24">
        <f t="shared" ca="1" si="56"/>
        <v>6.3297222082243252</v>
      </c>
      <c r="AC101" s="24">
        <f t="shared" ca="1" si="56"/>
        <v>6.2534137674620043</v>
      </c>
      <c r="AD101" s="24">
        <f t="shared" ca="1" si="56"/>
        <v>6.1797101733539987</v>
      </c>
      <c r="AE101" s="24">
        <f t="shared" ca="1" si="56"/>
        <v>6.1035843061924773</v>
      </c>
      <c r="AF101" s="24">
        <f t="shared" ca="1" si="56"/>
        <v>6.0169820609062858</v>
      </c>
      <c r="AG101" s="24">
        <f t="shared" ca="1" si="56"/>
        <v>5.9230275560734338</v>
      </c>
      <c r="AH101" s="24">
        <f t="shared" ca="1" si="56"/>
        <v>5.8221113896990957</v>
      </c>
      <c r="AI101" s="24">
        <f t="shared" ca="1" si="56"/>
        <v>5.7255595222140494</v>
      </c>
      <c r="AJ101" s="24">
        <f t="shared" ca="1" si="56"/>
        <v>5.6330272730268822</v>
      </c>
      <c r="AK101" s="24">
        <f t="shared" ca="1" si="56"/>
        <v>5.5433838866571126</v>
      </c>
      <c r="AL101" s="24">
        <f t="shared" ca="1" si="56"/>
        <v>5.452621763904741</v>
      </c>
      <c r="AM101" s="24">
        <f t="shared" ca="1" si="56"/>
        <v>4.9529623672940568</v>
      </c>
      <c r="AN101" s="24">
        <f t="shared" ca="1" si="56"/>
        <v>4.4540177255774305</v>
      </c>
      <c r="AO101" s="24">
        <f t="shared" ca="1" si="56"/>
        <v>4.4540177255774305</v>
      </c>
      <c r="AP101" s="24">
        <f t="shared" ca="1" si="56"/>
        <v>4.4540177255774305</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17" t="s">
        <v>137</v>
      </c>
      <c r="F102" s="117" t="s">
        <v>137</v>
      </c>
      <c r="G102" s="117" t="s">
        <v>137</v>
      </c>
      <c r="H102" s="117" t="s">
        <v>137</v>
      </c>
      <c r="I102" s="117">
        <v>0</v>
      </c>
      <c r="J102" s="6">
        <f>'[5]TS BYDem'!J16</f>
        <v>1.2642587754949401</v>
      </c>
      <c r="K102" s="24">
        <f t="shared" si="49"/>
        <v>1.4308973056613448</v>
      </c>
      <c r="L102" s="24">
        <f t="shared" si="46"/>
        <v>1.5975358358277494</v>
      </c>
      <c r="M102" s="24">
        <f t="shared" si="46"/>
        <v>1.7641743659941542</v>
      </c>
      <c r="N102" s="24">
        <f t="shared" si="46"/>
        <v>1.9308128961605588</v>
      </c>
      <c r="O102" s="24">
        <f>'[5]TS BYDem'!O16</f>
        <v>2.0974514263269635</v>
      </c>
      <c r="P102" s="24">
        <f t="shared" ca="1" si="50"/>
        <v>2.1009845155984821</v>
      </c>
      <c r="Q102" s="24">
        <f t="shared" ca="1" si="50"/>
        <v>2.1236938542385468</v>
      </c>
      <c r="R102" s="24">
        <f t="shared" ca="1" si="50"/>
        <v>2.218413600313847</v>
      </c>
      <c r="S102" s="24">
        <f t="shared" ca="1" si="50"/>
        <v>2.3104026149677286</v>
      </c>
      <c r="T102" s="24">
        <f t="shared" ref="T102:AP102" ca="1" si="57">OFFSET(T$21,$BB102,$J$93)/OFFSET(S$21,$BB102,$J$93)*S102</f>
        <v>2.3062829404598282</v>
      </c>
      <c r="U102" s="24">
        <f t="shared" ca="1" si="57"/>
        <v>2.3022725209004133</v>
      </c>
      <c r="V102" s="24">
        <f t="shared" ca="1" si="57"/>
        <v>2.2976992140432895</v>
      </c>
      <c r="W102" s="24">
        <f t="shared" ca="1" si="57"/>
        <v>2.2949524317805841</v>
      </c>
      <c r="X102" s="24">
        <f t="shared" ca="1" si="57"/>
        <v>2.2797412397812242</v>
      </c>
      <c r="Y102" s="24">
        <f t="shared" ca="1" si="57"/>
        <v>2.2612126232561343</v>
      </c>
      <c r="Z102" s="24">
        <f t="shared" ca="1" si="57"/>
        <v>2.2421881103264338</v>
      </c>
      <c r="AA102" s="24">
        <f t="shared" ca="1" si="57"/>
        <v>2.2189958874234499</v>
      </c>
      <c r="AB102" s="24">
        <f t="shared" ca="1" si="57"/>
        <v>2.1973425870889396</v>
      </c>
      <c r="AC102" s="24">
        <f t="shared" ca="1" si="57"/>
        <v>2.17085235874629</v>
      </c>
      <c r="AD102" s="24">
        <f t="shared" ca="1" si="57"/>
        <v>2.1452663944926593</v>
      </c>
      <c r="AE102" s="24">
        <f t="shared" ca="1" si="57"/>
        <v>2.1188395459848777</v>
      </c>
      <c r="AF102" s="24">
        <f t="shared" ca="1" si="57"/>
        <v>2.0887758567035979</v>
      </c>
      <c r="AG102" s="24">
        <f t="shared" ca="1" si="57"/>
        <v>2.056159854306236</v>
      </c>
      <c r="AH102" s="24">
        <f t="shared" ca="1" si="57"/>
        <v>2.0211271336266514</v>
      </c>
      <c r="AI102" s="24">
        <f t="shared" ca="1" si="57"/>
        <v>1.987609465187395</v>
      </c>
      <c r="AJ102" s="24">
        <f t="shared" ca="1" si="57"/>
        <v>1.955487194236246</v>
      </c>
      <c r="AK102" s="24">
        <f t="shared" ca="1" si="57"/>
        <v>1.9243677826662995</v>
      </c>
      <c r="AL102" s="24">
        <f t="shared" ca="1" si="57"/>
        <v>1.8928600053803943</v>
      </c>
      <c r="AM102" s="24">
        <f t="shared" ca="1" si="57"/>
        <v>1.7194048623118301</v>
      </c>
      <c r="AN102" s="24">
        <f t="shared" ca="1" si="57"/>
        <v>1.5461978440924107</v>
      </c>
      <c r="AO102" s="24">
        <f t="shared" ca="1" si="57"/>
        <v>1.5461978440924107</v>
      </c>
      <c r="AP102" s="24">
        <f t="shared" ca="1" si="57"/>
        <v>1.5461978440924107</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17" t="s">
        <v>137</v>
      </c>
      <c r="F103" s="117" t="s">
        <v>137</v>
      </c>
      <c r="G103" s="117" t="s">
        <v>137</v>
      </c>
      <c r="H103" s="117" t="s">
        <v>137</v>
      </c>
      <c r="I103" s="117">
        <v>0</v>
      </c>
      <c r="J103" s="6">
        <f>'[5]TS BYDem'!J17</f>
        <v>1.7509162280520163</v>
      </c>
      <c r="K103" s="24">
        <f t="shared" si="49"/>
        <v>1.8325463231967081</v>
      </c>
      <c r="L103" s="24">
        <f t="shared" si="46"/>
        <v>1.9141764183413998</v>
      </c>
      <c r="M103" s="24">
        <f t="shared" si="46"/>
        <v>1.9958065134860918</v>
      </c>
      <c r="N103" s="24">
        <f t="shared" si="46"/>
        <v>2.0774366086307836</v>
      </c>
      <c r="O103" s="24">
        <f>'[5]TS BYDem'!O17</f>
        <v>2.1590667037754754</v>
      </c>
      <c r="P103" s="24">
        <f t="shared" ca="1" si="50"/>
        <v>2.1627035819943723</v>
      </c>
      <c r="Q103" s="24">
        <f t="shared" ca="1" si="50"/>
        <v>2.1860800360600519</v>
      </c>
      <c r="R103" s="24">
        <f t="shared" ca="1" si="50"/>
        <v>2.2835822939785477</v>
      </c>
      <c r="S103" s="24">
        <f t="shared" ca="1" si="50"/>
        <v>2.3782736018006858</v>
      </c>
      <c r="T103" s="24">
        <f t="shared" ref="T103:AP103" ca="1" si="58">OFFSET(T$21,$BB103,$J$93)/OFFSET(S$21,$BB103,$J$93)*S103</f>
        <v>2.3740329066652679</v>
      </c>
      <c r="U103" s="24">
        <f t="shared" ca="1" si="58"/>
        <v>2.3699046759800568</v>
      </c>
      <c r="V103" s="24">
        <f t="shared" ca="1" si="58"/>
        <v>2.3651970224737942</v>
      </c>
      <c r="W103" s="24">
        <f t="shared" ca="1" si="58"/>
        <v>2.3623695500224708</v>
      </c>
      <c r="X103" s="24">
        <f t="shared" ca="1" si="58"/>
        <v>2.3467115100991975</v>
      </c>
      <c r="Y103" s="24">
        <f t="shared" ca="1" si="58"/>
        <v>2.3276385921263594</v>
      </c>
      <c r="Z103" s="24">
        <f t="shared" ca="1" si="58"/>
        <v>2.3080552101674296</v>
      </c>
      <c r="AA103" s="24">
        <f t="shared" ca="1" si="58"/>
        <v>2.2841816865054012</v>
      </c>
      <c r="AB103" s="24">
        <f t="shared" ca="1" si="58"/>
        <v>2.2618922932006122</v>
      </c>
      <c r="AC103" s="24">
        <f t="shared" ca="1" si="58"/>
        <v>2.2346238810351959</v>
      </c>
      <c r="AD103" s="24">
        <f t="shared" ca="1" si="58"/>
        <v>2.20828629685536</v>
      </c>
      <c r="AE103" s="24">
        <f t="shared" ca="1" si="58"/>
        <v>2.1810831263872896</v>
      </c>
      <c r="AF103" s="24">
        <f t="shared" ca="1" si="58"/>
        <v>2.1501362783672944</v>
      </c>
      <c r="AG103" s="24">
        <f t="shared" ca="1" si="58"/>
        <v>2.1165621398187207</v>
      </c>
      <c r="AH103" s="24">
        <f t="shared" ca="1" si="58"/>
        <v>2.0805002888444579</v>
      </c>
      <c r="AI103" s="24">
        <f t="shared" ca="1" si="58"/>
        <v>2.0459979966783348</v>
      </c>
      <c r="AJ103" s="24">
        <f t="shared" ca="1" si="58"/>
        <v>2.0129320935590753</v>
      </c>
      <c r="AK103" s="24">
        <f t="shared" ca="1" si="58"/>
        <v>1.9808985100784713</v>
      </c>
      <c r="AL103" s="24">
        <f t="shared" ca="1" si="58"/>
        <v>1.9484651521498446</v>
      </c>
      <c r="AM103" s="24">
        <f t="shared" ca="1" si="58"/>
        <v>1.7699145457819196</v>
      </c>
      <c r="AN103" s="24">
        <f t="shared" ca="1" si="58"/>
        <v>1.5916193532431036</v>
      </c>
      <c r="AO103" s="24">
        <f t="shared" ca="1" si="58"/>
        <v>1.5916193532431036</v>
      </c>
      <c r="AP103" s="24">
        <f t="shared" ca="1" si="58"/>
        <v>1.5916193532431036</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17" t="s">
        <v>137</v>
      </c>
      <c r="F104" s="117" t="s">
        <v>137</v>
      </c>
      <c r="G104" s="117" t="s">
        <v>137</v>
      </c>
      <c r="H104" s="117" t="s">
        <v>137</v>
      </c>
      <c r="I104" s="117">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17" t="s">
        <v>137</v>
      </c>
      <c r="F105" s="117" t="s">
        <v>137</v>
      </c>
      <c r="G105" s="117" t="s">
        <v>137</v>
      </c>
      <c r="H105" s="117" t="s">
        <v>137</v>
      </c>
      <c r="I105" s="117">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17" t="s">
        <v>137</v>
      </c>
      <c r="F106" s="117" t="s">
        <v>137</v>
      </c>
      <c r="G106" s="117" t="s">
        <v>137</v>
      </c>
      <c r="H106" s="117" t="s">
        <v>137</v>
      </c>
      <c r="I106" s="117">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17" t="s">
        <v>137</v>
      </c>
      <c r="F107" s="117" t="s">
        <v>137</v>
      </c>
      <c r="G107" s="117" t="s">
        <v>137</v>
      </c>
      <c r="H107" s="117" t="s">
        <v>137</v>
      </c>
      <c r="I107" s="117">
        <v>0</v>
      </c>
      <c r="J107" s="6">
        <f>'[5]TS BYDem'!J21</f>
        <v>16.038929939348595</v>
      </c>
      <c r="K107" s="24">
        <f t="shared" si="49"/>
        <v>17.205067118497315</v>
      </c>
      <c r="L107" s="24">
        <f t="shared" si="46"/>
        <v>18.371204297646038</v>
      </c>
      <c r="M107" s="24">
        <f t="shared" si="46"/>
        <v>19.537341476794758</v>
      </c>
      <c r="N107" s="24">
        <f t="shared" si="46"/>
        <v>20.703478655943478</v>
      </c>
      <c r="O107" s="24">
        <f>'[5]TS BYDem'!O21</f>
        <v>21.869615835092201</v>
      </c>
      <c r="P107" s="24">
        <f t="shared" ref="P107:AP107" ca="1" si="62">OFFSET(P$33,$BB107,$J$93)/OFFSET(O$33,$BB107,$J$93)*O107</f>
        <v>22.685573880130558</v>
      </c>
      <c r="Q107" s="24">
        <f t="shared" ca="1" si="62"/>
        <v>23.503780179441115</v>
      </c>
      <c r="R107" s="24">
        <f t="shared" ca="1" si="62"/>
        <v>25.004054083151797</v>
      </c>
      <c r="S107" s="24">
        <f t="shared" ca="1" si="62"/>
        <v>24.102108537811457</v>
      </c>
      <c r="T107" s="24">
        <f t="shared" ca="1" si="62"/>
        <v>24.688029612376035</v>
      </c>
      <c r="U107" s="24">
        <f t="shared" ca="1" si="62"/>
        <v>25.250908274442398</v>
      </c>
      <c r="V107" s="24">
        <f t="shared" ca="1" si="62"/>
        <v>25.858957354907254</v>
      </c>
      <c r="W107" s="24">
        <f t="shared" ca="1" si="62"/>
        <v>26.469608525537073</v>
      </c>
      <c r="X107" s="24">
        <f t="shared" ca="1" si="62"/>
        <v>26.992227411997963</v>
      </c>
      <c r="Y107" s="24">
        <f t="shared" ca="1" si="62"/>
        <v>27.594004285982066</v>
      </c>
      <c r="Z107" s="24">
        <f t="shared" ca="1" si="62"/>
        <v>28.188187864106172</v>
      </c>
      <c r="AA107" s="24">
        <f t="shared" ca="1" si="62"/>
        <v>28.771053540170644</v>
      </c>
      <c r="AB107" s="24">
        <f t="shared" ca="1" si="62"/>
        <v>29.439186135801027</v>
      </c>
      <c r="AC107" s="24">
        <f t="shared" ca="1" si="62"/>
        <v>29.838785265348392</v>
      </c>
      <c r="AD107" s="24">
        <f t="shared" ca="1" si="62"/>
        <v>30.329212980761046</v>
      </c>
      <c r="AE107" s="24">
        <f t="shared" ca="1" si="62"/>
        <v>30.766007702601371</v>
      </c>
      <c r="AF107" s="24">
        <f t="shared" ca="1" si="62"/>
        <v>31.224831001001334</v>
      </c>
      <c r="AG107" s="24">
        <f t="shared" ca="1" si="62"/>
        <v>31.6904229934886</v>
      </c>
      <c r="AH107" s="24">
        <f t="shared" ca="1" si="62"/>
        <v>32.146678068988422</v>
      </c>
      <c r="AI107" s="24">
        <f t="shared" ca="1" si="62"/>
        <v>32.585368133508013</v>
      </c>
      <c r="AJ107" s="24">
        <f t="shared" ca="1" si="62"/>
        <v>33.037073407459474</v>
      </c>
      <c r="AK107" s="24">
        <f t="shared" ca="1" si="62"/>
        <v>33.477167827643505</v>
      </c>
      <c r="AL107" s="24">
        <f t="shared" ca="1" si="62"/>
        <v>33.915887801564196</v>
      </c>
      <c r="AM107" s="24">
        <f t="shared" ca="1" si="62"/>
        <v>36.716699432872829</v>
      </c>
      <c r="AN107" s="24">
        <f t="shared" ca="1" si="62"/>
        <v>39.532816782046446</v>
      </c>
      <c r="AO107" s="24">
        <f t="shared" ca="1" si="62"/>
        <v>39.532816782046446</v>
      </c>
      <c r="AP107" s="24">
        <f t="shared" ca="1" si="62"/>
        <v>39.532816782046446</v>
      </c>
      <c r="AQ107" s="6"/>
      <c r="AR107" s="6"/>
      <c r="AS107" s="195"/>
      <c r="AT107" s="195"/>
      <c r="AU107" s="6"/>
      <c r="AV107" s="6"/>
      <c r="BB107" s="4">
        <f t="shared" si="53"/>
        <v>2</v>
      </c>
    </row>
    <row r="108" spans="1:54">
      <c r="A108" s="22" t="str">
        <f>'[5]TS BYDem'!A22</f>
        <v/>
      </c>
      <c r="B108" s="22" t="str">
        <f>'[5]TS BYDem'!B22</f>
        <v>COM_PROJ</v>
      </c>
      <c r="C108" s="22" t="str">
        <f>'[5]TS BYDem'!C22</f>
        <v>-</v>
      </c>
      <c r="D108" s="22" t="str">
        <f>'[5]TS BYDem'!D22</f>
        <v>RMNL</v>
      </c>
      <c r="E108" s="117" t="s">
        <v>137</v>
      </c>
      <c r="F108" s="117" t="s">
        <v>137</v>
      </c>
      <c r="G108" s="117" t="s">
        <v>137</v>
      </c>
      <c r="H108" s="117" t="s">
        <v>137</v>
      </c>
      <c r="I108" s="117">
        <v>0</v>
      </c>
      <c r="J108" s="6">
        <f>'[5]TS BYDem'!J22</f>
        <v>3.3422499241462768E-2</v>
      </c>
      <c r="K108" s="24">
        <f t="shared" si="49"/>
        <v>4.1310307072706193E-2</v>
      </c>
      <c r="L108" s="24">
        <f t="shared" si="46"/>
        <v>4.9198114903949625E-2</v>
      </c>
      <c r="M108" s="24">
        <f t="shared" si="46"/>
        <v>5.7085922735193056E-2</v>
      </c>
      <c r="N108" s="24">
        <f t="shared" si="46"/>
        <v>6.4973730566436488E-2</v>
      </c>
      <c r="O108" s="24">
        <f>'[5]TS BYDem'!O22</f>
        <v>7.2861538397679906E-2</v>
      </c>
      <c r="P108" s="24">
        <f t="shared" ref="P108:AO108" ca="1" si="63">IF($E$78=1, P88, P82)</f>
        <v>6.2969344536712088E-2</v>
      </c>
      <c r="Q108" s="24">
        <f t="shared" ca="1" si="63"/>
        <v>6.5240475725000899E-2</v>
      </c>
      <c r="R108" s="24">
        <f t="shared" ca="1" si="63"/>
        <v>6.9404851942299936E-2</v>
      </c>
      <c r="S108" s="24">
        <f t="shared" ca="1" si="63"/>
        <v>6.6901282048146493E-2</v>
      </c>
      <c r="T108" s="24">
        <f t="shared" ca="1" si="63"/>
        <v>6.8527648928284918E-2</v>
      </c>
      <c r="U108" s="24">
        <f t="shared" ca="1" si="63"/>
        <v>7.0090055971249982E-2</v>
      </c>
      <c r="V108" s="24">
        <f t="shared" ca="1" si="63"/>
        <v>7.1777844529976195E-2</v>
      </c>
      <c r="W108" s="24">
        <f t="shared" ca="1" si="63"/>
        <v>7.3472855824745095E-2</v>
      </c>
      <c r="X108" s="24">
        <f t="shared" ca="1" si="63"/>
        <v>7.4923512038991114E-2</v>
      </c>
      <c r="Y108" s="24">
        <f t="shared" ca="1" si="63"/>
        <v>7.6593890558501271E-2</v>
      </c>
      <c r="Z108" s="24">
        <f t="shared" ca="1" si="63"/>
        <v>7.8243192032938461E-2</v>
      </c>
      <c r="AA108" s="24">
        <f t="shared" ca="1" si="63"/>
        <v>7.9861077909163705E-2</v>
      </c>
      <c r="AB108" s="24">
        <f t="shared" ca="1" si="63"/>
        <v>8.1715642921834891E-2</v>
      </c>
      <c r="AC108" s="24">
        <f t="shared" ca="1" si="63"/>
        <v>8.282482778962777E-2</v>
      </c>
      <c r="AD108" s="24">
        <f t="shared" ca="1" si="63"/>
        <v>8.4186129555470265E-2</v>
      </c>
      <c r="AE108" s="24">
        <f t="shared" ca="1" si="63"/>
        <v>8.5398559863679085E-2</v>
      </c>
      <c r="AF108" s="24">
        <f t="shared" ca="1" si="63"/>
        <v>8.6672135860084584E-2</v>
      </c>
      <c r="AG108" s="24">
        <f t="shared" ca="1" si="63"/>
        <v>8.7964500018178182E-2</v>
      </c>
      <c r="AH108" s="24">
        <f t="shared" ca="1" si="63"/>
        <v>8.9230947285396545E-2</v>
      </c>
      <c r="AI108" s="24">
        <f t="shared" ca="1" si="63"/>
        <v>9.0448638579587751E-2</v>
      </c>
      <c r="AJ108" s="24">
        <f t="shared" ca="1" si="63"/>
        <v>9.1702456762667181E-2</v>
      </c>
      <c r="AK108" s="24">
        <f t="shared" ca="1" si="63"/>
        <v>9.2924046188602991E-2</v>
      </c>
      <c r="AL108" s="24">
        <f t="shared" ca="1" si="63"/>
        <v>9.4141820503633483E-2</v>
      </c>
      <c r="AM108" s="24">
        <f t="shared" ca="1" si="63"/>
        <v>0.10191615645502751</v>
      </c>
      <c r="AN108" s="24">
        <f t="shared" ca="1" si="63"/>
        <v>0.10973297716024412</v>
      </c>
      <c r="AO108" s="24">
        <f t="shared" ca="1" si="63"/>
        <v>0.10973297716024412</v>
      </c>
      <c r="AP108" s="24">
        <f ca="1">IF($E$78=1, AP88, AP82)</f>
        <v>0.10973297716024412</v>
      </c>
      <c r="AQ108" s="6"/>
      <c r="AR108" s="6"/>
      <c r="AS108" s="195"/>
      <c r="AT108" s="195"/>
      <c r="AU108" s="6"/>
      <c r="AV108" s="6"/>
      <c r="BB108" s="224">
        <v>2</v>
      </c>
    </row>
    <row r="109" spans="1:54">
      <c r="A109" s="22" t="str">
        <f>'[5]TS BYDem'!A23</f>
        <v/>
      </c>
      <c r="B109" s="22" t="str">
        <f>'[5]TS BYDem'!B23</f>
        <v>COM_PROJ</v>
      </c>
      <c r="C109" s="22" t="str">
        <f>'[5]TS BYDem'!C23</f>
        <v>-</v>
      </c>
      <c r="D109" s="22" t="str">
        <f>'[5]TS BYDem'!D23</f>
        <v>RMEK</v>
      </c>
      <c r="E109" s="117" t="s">
        <v>137</v>
      </c>
      <c r="F109" s="117" t="s">
        <v>137</v>
      </c>
      <c r="G109" s="117" t="s">
        <v>137</v>
      </c>
      <c r="H109" s="117" t="s">
        <v>137</v>
      </c>
      <c r="I109" s="117">
        <v>0</v>
      </c>
      <c r="J109" s="6">
        <f>'[5]TS BYDem'!J23</f>
        <v>9.0435120774465076</v>
      </c>
      <c r="K109" s="24">
        <f t="shared" si="49"/>
        <v>8.9522489563431584</v>
      </c>
      <c r="L109" s="24">
        <f t="shared" si="46"/>
        <v>8.8609858352398092</v>
      </c>
      <c r="M109" s="24">
        <f t="shared" si="46"/>
        <v>8.7697227141364582</v>
      </c>
      <c r="N109" s="24">
        <f t="shared" si="46"/>
        <v>8.678459593033109</v>
      </c>
      <c r="O109" s="24">
        <f>'[5]TS BYDem'!O23</f>
        <v>8.5871964719297598</v>
      </c>
      <c r="P109" s="24">
        <f t="shared" ref="P109:AP109" ca="1" si="64">OFFSET(P$33,$BB109,$J$93)/OFFSET(O$33,$BB109,$J$93)*O109</f>
        <v>8.907585823916131</v>
      </c>
      <c r="Q109" s="24">
        <f t="shared" ca="1" si="64"/>
        <v>9.2288579623812321</v>
      </c>
      <c r="R109" s="24">
        <f t="shared" ca="1" si="64"/>
        <v>9.817946809209543</v>
      </c>
      <c r="S109" s="24">
        <f t="shared" ca="1" si="64"/>
        <v>9.4637941042319209</v>
      </c>
      <c r="T109" s="24">
        <f t="shared" ca="1" si="64"/>
        <v>9.693858474007305</v>
      </c>
      <c r="U109" s="24">
        <f t="shared" ca="1" si="64"/>
        <v>9.9148751437772802</v>
      </c>
      <c r="V109" s="24">
        <f t="shared" ca="1" si="64"/>
        <v>10.153628167968478</v>
      </c>
      <c r="W109" s="24">
        <f t="shared" ca="1" si="64"/>
        <v>10.393402913787192</v>
      </c>
      <c r="X109" s="24">
        <f t="shared" ca="1" si="64"/>
        <v>10.59861141364477</v>
      </c>
      <c r="Y109" s="24">
        <f t="shared" ca="1" si="64"/>
        <v>10.834901629628961</v>
      </c>
      <c r="Z109" s="24">
        <f t="shared" ca="1" si="64"/>
        <v>11.068210306115112</v>
      </c>
      <c r="AA109" s="24">
        <f t="shared" ca="1" si="64"/>
        <v>11.29707496084208</v>
      </c>
      <c r="AB109" s="24">
        <f t="shared" ca="1" si="64"/>
        <v>11.559420029509095</v>
      </c>
      <c r="AC109" s="24">
        <f t="shared" ca="1" si="64"/>
        <v>11.716324305345948</v>
      </c>
      <c r="AD109" s="24">
        <f t="shared" ca="1" si="64"/>
        <v>11.908892806744609</v>
      </c>
      <c r="AE109" s="24">
        <f t="shared" ca="1" si="64"/>
        <v>12.080402088051972</v>
      </c>
      <c r="AF109" s="24">
        <f t="shared" ca="1" si="64"/>
        <v>12.260560982427116</v>
      </c>
      <c r="AG109" s="24">
        <f t="shared" ca="1" si="64"/>
        <v>12.443377632952361</v>
      </c>
      <c r="AH109" s="24">
        <f t="shared" ca="1" si="64"/>
        <v>12.622528103823701</v>
      </c>
      <c r="AI109" s="24">
        <f t="shared" ca="1" si="64"/>
        <v>12.794781599391213</v>
      </c>
      <c r="AJ109" s="24">
        <f t="shared" ca="1" si="64"/>
        <v>12.972145571583352</v>
      </c>
      <c r="AK109" s="24">
        <f t="shared" ca="1" si="64"/>
        <v>13.144950493298357</v>
      </c>
      <c r="AL109" s="24">
        <f t="shared" ca="1" si="64"/>
        <v>13.317215732917781</v>
      </c>
      <c r="AM109" s="24">
        <f t="shared" ca="1" si="64"/>
        <v>14.416966178479823</v>
      </c>
      <c r="AN109" s="24">
        <f t="shared" ca="1" si="64"/>
        <v>15.522726478418896</v>
      </c>
      <c r="AO109" s="24">
        <f t="shared" ca="1" si="64"/>
        <v>15.522726478418896</v>
      </c>
      <c r="AP109" s="24">
        <f t="shared" ca="1" si="64"/>
        <v>15.522726478418896</v>
      </c>
      <c r="AQ109" s="6"/>
      <c r="AR109" s="6"/>
      <c r="AS109" s="195"/>
      <c r="AT109" s="195"/>
      <c r="AU109" s="6"/>
      <c r="AV109" s="6"/>
      <c r="BB109" s="4">
        <f t="shared" si="53"/>
        <v>2</v>
      </c>
    </row>
    <row r="110" spans="1:54">
      <c r="A110" s="22" t="str">
        <f>'[5]TS BYDem'!A24</f>
        <v/>
      </c>
      <c r="B110" s="22" t="str">
        <f>'[5]TS BYDem'!B24</f>
        <v>COM_PROJ</v>
      </c>
      <c r="C110" s="22" t="str">
        <f>'[5]TS BYDem'!C24</f>
        <v>-</v>
      </c>
      <c r="D110" s="22" t="str">
        <f>'[5]TS BYDem'!D24</f>
        <v>RMEH</v>
      </c>
      <c r="E110" s="117" t="s">
        <v>137</v>
      </c>
      <c r="F110" s="117" t="s">
        <v>137</v>
      </c>
      <c r="G110" s="117" t="s">
        <v>137</v>
      </c>
      <c r="H110" s="117" t="s">
        <v>137</v>
      </c>
      <c r="I110" s="117">
        <v>0</v>
      </c>
      <c r="J110" s="6">
        <f>'[5]TS BYDem'!J24</f>
        <v>13.160101387439708</v>
      </c>
      <c r="K110" s="24">
        <f t="shared" si="49"/>
        <v>13.113838780615991</v>
      </c>
      <c r="L110" s="24">
        <f t="shared" si="46"/>
        <v>13.067576173792274</v>
      </c>
      <c r="M110" s="24">
        <f t="shared" si="46"/>
        <v>13.021313566968555</v>
      </c>
      <c r="N110" s="24">
        <f t="shared" si="46"/>
        <v>12.975050960144838</v>
      </c>
      <c r="O110" s="24">
        <f>'[5]TS BYDem'!O24</f>
        <v>12.928788353321121</v>
      </c>
      <c r="P110" s="24">
        <f t="shared" ref="P110:AP110" ca="1" si="65">OFFSET(P$33,$BB110,$J$93)/OFFSET(O$33,$BB110,$J$93)*O110</f>
        <v>13.411163030089014</v>
      </c>
      <c r="Q110" s="24">
        <f t="shared" ca="1" si="65"/>
        <v>13.894866820448517</v>
      </c>
      <c r="R110" s="24">
        <f t="shared" ca="1" si="65"/>
        <v>14.781792494833802</v>
      </c>
      <c r="S110" s="24">
        <f t="shared" ca="1" si="65"/>
        <v>14.248584085968449</v>
      </c>
      <c r="T110" s="24">
        <f t="shared" ca="1" si="65"/>
        <v>14.594966465152295</v>
      </c>
      <c r="U110" s="24">
        <f t="shared" ca="1" si="65"/>
        <v>14.927726726938845</v>
      </c>
      <c r="V110" s="24">
        <f t="shared" ca="1" si="65"/>
        <v>15.287190648437972</v>
      </c>
      <c r="W110" s="24">
        <f t="shared" ca="1" si="65"/>
        <v>15.648192862757272</v>
      </c>
      <c r="X110" s="24">
        <f t="shared" ca="1" si="65"/>
        <v>15.957152518173768</v>
      </c>
      <c r="Y110" s="24">
        <f t="shared" ca="1" si="65"/>
        <v>16.31290846278343</v>
      </c>
      <c r="Z110" s="24">
        <f t="shared" ca="1" si="65"/>
        <v>16.664175434389712</v>
      </c>
      <c r="AA110" s="24">
        <f t="shared" ca="1" si="65"/>
        <v>17.00875153582086</v>
      </c>
      <c r="AB110" s="24">
        <f t="shared" ca="1" si="65"/>
        <v>17.403735379432757</v>
      </c>
      <c r="AC110" s="24">
        <f t="shared" ca="1" si="65"/>
        <v>17.6399687276107</v>
      </c>
      <c r="AD110" s="24">
        <f t="shared" ca="1" si="65"/>
        <v>17.929897740675425</v>
      </c>
      <c r="AE110" s="24">
        <f t="shared" ca="1" si="65"/>
        <v>18.18812022410194</v>
      </c>
      <c r="AF110" s="24">
        <f t="shared" ca="1" si="65"/>
        <v>18.459365469620483</v>
      </c>
      <c r="AG110" s="24">
        <f t="shared" ca="1" si="65"/>
        <v>18.734612203502746</v>
      </c>
      <c r="AH110" s="24">
        <f t="shared" ca="1" si="65"/>
        <v>19.0043391777096</v>
      </c>
      <c r="AI110" s="24">
        <f t="shared" ca="1" si="65"/>
        <v>19.263682141922882</v>
      </c>
      <c r="AJ110" s="24">
        <f t="shared" ca="1" si="65"/>
        <v>19.530719383410521</v>
      </c>
      <c r="AK110" s="24">
        <f t="shared" ca="1" si="65"/>
        <v>19.790892568753215</v>
      </c>
      <c r="AL110" s="24">
        <f t="shared" ca="1" si="65"/>
        <v>20.050253214681604</v>
      </c>
      <c r="AM110" s="24">
        <f t="shared" ca="1" si="65"/>
        <v>21.70602536320763</v>
      </c>
      <c r="AN110" s="24">
        <f t="shared" ca="1" si="65"/>
        <v>23.370845882238385</v>
      </c>
      <c r="AO110" s="24">
        <f t="shared" ca="1" si="65"/>
        <v>23.370845882238385</v>
      </c>
      <c r="AP110" s="24">
        <f t="shared" ca="1" si="65"/>
        <v>23.370845882238385</v>
      </c>
      <c r="AQ110" s="6"/>
      <c r="AR110" s="6"/>
      <c r="AS110" s="195"/>
      <c r="AT110" s="195"/>
      <c r="AU110" s="6"/>
      <c r="AV110" s="6"/>
      <c r="BB110" s="4">
        <f t="shared" si="53"/>
        <v>2</v>
      </c>
    </row>
    <row r="111" spans="1:54">
      <c r="A111" s="22" t="str">
        <f>'[5]TS BYDem'!A25</f>
        <v/>
      </c>
      <c r="B111" s="22" t="str">
        <f>'[5]TS BYDem'!B25</f>
        <v>COM_PROJ</v>
      </c>
      <c r="C111" s="22" t="str">
        <f>'[5]TS BYDem'!C25</f>
        <v>-</v>
      </c>
      <c r="D111" s="22" t="str">
        <f>'[5]TS BYDem'!D25</f>
        <v>RMEWG</v>
      </c>
      <c r="E111" s="117" t="s">
        <v>137</v>
      </c>
      <c r="F111" s="117" t="s">
        <v>137</v>
      </c>
      <c r="G111" s="117" t="s">
        <v>137</v>
      </c>
      <c r="H111" s="117" t="s">
        <v>137</v>
      </c>
      <c r="I111" s="117">
        <v>0</v>
      </c>
      <c r="J111" s="6">
        <f>'[5]TS BYDem'!J25</f>
        <v>8.7137527293210866</v>
      </c>
      <c r="K111" s="24">
        <f t="shared" si="49"/>
        <v>8.9845863339707623</v>
      </c>
      <c r="L111" s="24">
        <f t="shared" si="46"/>
        <v>9.2554199386204399</v>
      </c>
      <c r="M111" s="24">
        <f t="shared" si="46"/>
        <v>9.5262535432701156</v>
      </c>
      <c r="N111" s="24">
        <f t="shared" si="46"/>
        <v>9.7970871479197932</v>
      </c>
      <c r="O111" s="24">
        <f>'[5]TS BYDem'!O25</f>
        <v>10.067920752569469</v>
      </c>
      <c r="P111" s="24">
        <f t="shared" ref="P111:AP111" ca="1" si="66">OFFSET(P$33,$BB111,$J$93)/OFFSET(O$33,$BB111,$J$93)*O111</f>
        <v>10.443556108801278</v>
      </c>
      <c r="Q111" s="24">
        <f t="shared" ca="1" si="66"/>
        <v>10.820226473878913</v>
      </c>
      <c r="R111" s="24">
        <f t="shared" ca="1" si="66"/>
        <v>11.51089424251297</v>
      </c>
      <c r="S111" s="24">
        <f t="shared" ca="1" si="66"/>
        <v>11.095673584679165</v>
      </c>
      <c r="T111" s="24">
        <f t="shared" ca="1" si="66"/>
        <v>11.365408864459933</v>
      </c>
      <c r="U111" s="24">
        <f t="shared" ca="1" si="66"/>
        <v>11.624536313507443</v>
      </c>
      <c r="V111" s="24">
        <f t="shared" ca="1" si="66"/>
        <v>11.904458466779555</v>
      </c>
      <c r="W111" s="24">
        <f t="shared" ca="1" si="66"/>
        <v>12.18557852118397</v>
      </c>
      <c r="X111" s="24">
        <f t="shared" ca="1" si="66"/>
        <v>12.426171935003403</v>
      </c>
      <c r="Y111" s="24">
        <f t="shared" ca="1" si="66"/>
        <v>12.703206608300187</v>
      </c>
      <c r="Z111" s="24">
        <f t="shared" ca="1" si="66"/>
        <v>12.976745623440662</v>
      </c>
      <c r="AA111" s="24">
        <f t="shared" ca="1" si="66"/>
        <v>13.245074316558064</v>
      </c>
      <c r="AB111" s="24">
        <f t="shared" ca="1" si="66"/>
        <v>13.552656583925629</v>
      </c>
      <c r="AC111" s="24">
        <f t="shared" ca="1" si="66"/>
        <v>13.736616485160978</v>
      </c>
      <c r="AD111" s="24">
        <f t="shared" ca="1" si="66"/>
        <v>13.962390335550952</v>
      </c>
      <c r="AE111" s="24">
        <f t="shared" ca="1" si="66"/>
        <v>14.16347364116497</v>
      </c>
      <c r="AF111" s="24">
        <f t="shared" ca="1" si="66"/>
        <v>14.374698046868112</v>
      </c>
      <c r="AG111" s="24">
        <f t="shared" ca="1" si="66"/>
        <v>14.58903849613522</v>
      </c>
      <c r="AH111" s="24">
        <f t="shared" ca="1" si="66"/>
        <v>14.799080591877887</v>
      </c>
      <c r="AI111" s="24">
        <f t="shared" ca="1" si="66"/>
        <v>15.001036439562954</v>
      </c>
      <c r="AJ111" s="24">
        <f t="shared" ca="1" si="66"/>
        <v>15.208983983587192</v>
      </c>
      <c r="AK111" s="24">
        <f t="shared" ca="1" si="66"/>
        <v>15.411586342013219</v>
      </c>
      <c r="AL111" s="24">
        <f t="shared" ca="1" si="66"/>
        <v>15.613555958823557</v>
      </c>
      <c r="AM111" s="24">
        <f t="shared" ca="1" si="66"/>
        <v>16.902940727148696</v>
      </c>
      <c r="AN111" s="24">
        <f t="shared" ca="1" si="66"/>
        <v>18.199371652831502</v>
      </c>
      <c r="AO111" s="24">
        <f t="shared" ca="1" si="66"/>
        <v>18.199371652831502</v>
      </c>
      <c r="AP111" s="24">
        <f t="shared" ca="1" si="66"/>
        <v>18.199371652831502</v>
      </c>
      <c r="AQ111" s="6"/>
      <c r="AR111" s="6"/>
      <c r="AS111" s="195"/>
      <c r="AT111" s="195"/>
      <c r="AU111" s="6"/>
      <c r="AV111" s="6"/>
      <c r="BB111" s="4">
        <f t="shared" si="53"/>
        <v>2</v>
      </c>
    </row>
    <row r="112" spans="1:54">
      <c r="A112" s="22" t="str">
        <f>'[5]TS BYDem'!A26</f>
        <v/>
      </c>
      <c r="B112" s="22" t="str">
        <f>'[5]TS BYDem'!B26</f>
        <v>COM_PROJ</v>
      </c>
      <c r="C112" s="22" t="str">
        <f>'[5]TS BYDem'!C26</f>
        <v>-</v>
      </c>
      <c r="D112" s="22" t="str">
        <f>'[5]TS BYDem'!D26</f>
        <v>RMEW</v>
      </c>
      <c r="E112" s="117" t="s">
        <v>137</v>
      </c>
      <c r="F112" s="117" t="s">
        <v>137</v>
      </c>
      <c r="G112" s="117" t="s">
        <v>137</v>
      </c>
      <c r="H112" s="117" t="s">
        <v>137</v>
      </c>
      <c r="I112" s="117">
        <v>0</v>
      </c>
      <c r="J112" s="6">
        <f>'[5]TS BYDem'!J26</f>
        <v>6.084532675932218</v>
      </c>
      <c r="K112" s="24">
        <f t="shared" si="49"/>
        <v>5.9075367357775663</v>
      </c>
      <c r="L112" s="24">
        <f t="shared" si="49"/>
        <v>5.7305407956229146</v>
      </c>
      <c r="M112" s="24">
        <f t="shared" si="49"/>
        <v>5.553544855468262</v>
      </c>
      <c r="N112" s="24">
        <f t="shared" si="49"/>
        <v>5.3765489153136103</v>
      </c>
      <c r="O112" s="24">
        <f>'[5]TS BYDem'!O26</f>
        <v>5.1995529751589586</v>
      </c>
      <c r="P112" s="24">
        <f t="shared" ref="P112:AP112" ca="1" si="67">OFFSET(P$33,$BB112,$J$93)/OFFSET(O$33,$BB112,$J$93)*O112</f>
        <v>5.3935489334179207</v>
      </c>
      <c r="Q112" s="24">
        <f t="shared" ca="1" si="67"/>
        <v>5.5880794194563403</v>
      </c>
      <c r="R112" s="24">
        <f t="shared" ca="1" si="67"/>
        <v>5.9447730942979007</v>
      </c>
      <c r="S112" s="24">
        <f t="shared" ca="1" si="67"/>
        <v>5.730333404132856</v>
      </c>
      <c r="T112" s="24">
        <f t="shared" ca="1" si="67"/>
        <v>5.8696375276909887</v>
      </c>
      <c r="U112" s="24">
        <f t="shared" ca="1" si="67"/>
        <v>6.0034632630888831</v>
      </c>
      <c r="V112" s="24">
        <f t="shared" ca="1" si="67"/>
        <v>6.1480283724723135</v>
      </c>
      <c r="W112" s="24">
        <f t="shared" ca="1" si="67"/>
        <v>6.2932121349569634</v>
      </c>
      <c r="X112" s="24">
        <f t="shared" ca="1" si="67"/>
        <v>6.4174660133269548</v>
      </c>
      <c r="Y112" s="24">
        <f t="shared" ca="1" si="67"/>
        <v>6.5605398907603725</v>
      </c>
      <c r="Z112" s="24">
        <f t="shared" ca="1" si="67"/>
        <v>6.7018084441141248</v>
      </c>
      <c r="AA112" s="24">
        <f t="shared" ca="1" si="67"/>
        <v>6.8403861394404446</v>
      </c>
      <c r="AB112" s="24">
        <f t="shared" ca="1" si="67"/>
        <v>6.9992362468957499</v>
      </c>
      <c r="AC112" s="24">
        <f t="shared" ca="1" si="67"/>
        <v>7.0942418866187378</v>
      </c>
      <c r="AD112" s="24">
        <f t="shared" ca="1" si="67"/>
        <v>7.2108422378092927</v>
      </c>
      <c r="AE112" s="24">
        <f t="shared" ca="1" si="67"/>
        <v>7.3146912177184094</v>
      </c>
      <c r="AF112" s="24">
        <f t="shared" ca="1" si="67"/>
        <v>7.423777543891533</v>
      </c>
      <c r="AG112" s="24">
        <f t="shared" ca="1" si="67"/>
        <v>7.5344731431193352</v>
      </c>
      <c r="AH112" s="24">
        <f t="shared" ca="1" si="67"/>
        <v>7.6429488682136828</v>
      </c>
      <c r="AI112" s="24">
        <f t="shared" ca="1" si="67"/>
        <v>7.7472484703349691</v>
      </c>
      <c r="AJ112" s="24">
        <f t="shared" ca="1" si="67"/>
        <v>7.8546424693324557</v>
      </c>
      <c r="AK112" s="24">
        <f t="shared" ca="1" si="67"/>
        <v>7.959275960339963</v>
      </c>
      <c r="AL112" s="24">
        <f t="shared" ca="1" si="67"/>
        <v>8.0635826734922187</v>
      </c>
      <c r="AM112" s="24">
        <f t="shared" ca="1" si="67"/>
        <v>8.7294822741181584</v>
      </c>
      <c r="AN112" s="24">
        <f t="shared" ca="1" si="67"/>
        <v>9.3990208454266142</v>
      </c>
      <c r="AO112" s="24">
        <f t="shared" ca="1" si="67"/>
        <v>9.3990208454266142</v>
      </c>
      <c r="AP112" s="24">
        <f t="shared" ca="1" si="67"/>
        <v>9.3990208454266142</v>
      </c>
      <c r="AQ112" s="6"/>
      <c r="AR112" s="6"/>
      <c r="AS112" s="195"/>
      <c r="AT112" s="195"/>
      <c r="AU112" s="6"/>
      <c r="AV112" s="6"/>
      <c r="BB112" s="4">
        <f t="shared" si="53"/>
        <v>2</v>
      </c>
    </row>
    <row r="113" spans="1:54">
      <c r="A113" s="22" t="str">
        <f>'[5]TS BYDem'!A27</f>
        <v/>
      </c>
      <c r="B113" s="22" t="str">
        <f>'[5]TS BYDem'!B27</f>
        <v>COM_PROJ</v>
      </c>
      <c r="C113" s="22" t="str">
        <f>'[5]TS BYDem'!C27</f>
        <v>-</v>
      </c>
      <c r="D113" s="22" t="str">
        <f>'[5]TS BYDem'!D27</f>
        <v>RMER</v>
      </c>
      <c r="E113" s="117" t="s">
        <v>137</v>
      </c>
      <c r="F113" s="117" t="s">
        <v>137</v>
      </c>
      <c r="G113" s="117" t="s">
        <v>137</v>
      </c>
      <c r="H113" s="117" t="s">
        <v>137</v>
      </c>
      <c r="I113" s="117">
        <v>0</v>
      </c>
      <c r="J113" s="6">
        <f>'[5]TS BYDem'!J27</f>
        <v>3.4675669688275099</v>
      </c>
      <c r="K113" s="24">
        <f t="shared" si="49"/>
        <v>3.6294093972389909</v>
      </c>
      <c r="L113" s="24">
        <f t="shared" si="49"/>
        <v>3.7912518256504715</v>
      </c>
      <c r="M113" s="24">
        <f t="shared" si="49"/>
        <v>3.9530942540619525</v>
      </c>
      <c r="N113" s="24">
        <f t="shared" si="49"/>
        <v>4.1149366824734335</v>
      </c>
      <c r="O113" s="24">
        <f>'[5]TS BYDem'!O27</f>
        <v>4.276779110884914</v>
      </c>
      <c r="P113" s="24">
        <f t="shared" ref="P113:AP113" ca="1" si="68">OFFSET(P$33,$BB113,$J$93)/OFFSET(O$33,$BB113,$J$93)*O113</f>
        <v>4.4363462632616368</v>
      </c>
      <c r="Q113" s="24">
        <f t="shared" ca="1" si="68"/>
        <v>4.5963530798272414</v>
      </c>
      <c r="R113" s="24">
        <f t="shared" ca="1" si="68"/>
        <v>4.8897436972197923</v>
      </c>
      <c r="S113" s="24">
        <f t="shared" ca="1" si="68"/>
        <v>4.7133609982023907</v>
      </c>
      <c r="T113" s="24">
        <f t="shared" ca="1" si="68"/>
        <v>4.8279425725300067</v>
      </c>
      <c r="U113" s="24">
        <f t="shared" ca="1" si="68"/>
        <v>4.9380180179352013</v>
      </c>
      <c r="V113" s="24">
        <f t="shared" ca="1" si="68"/>
        <v>5.0569269016272553</v>
      </c>
      <c r="W113" s="24">
        <f t="shared" ca="1" si="68"/>
        <v>5.1763446449602863</v>
      </c>
      <c r="X113" s="24">
        <f t="shared" ca="1" si="68"/>
        <v>5.2785469677364993</v>
      </c>
      <c r="Y113" s="24">
        <f t="shared" ca="1" si="68"/>
        <v>5.3962292710506299</v>
      </c>
      <c r="Z113" s="24">
        <f t="shared" ca="1" si="68"/>
        <v>5.5124266443430505</v>
      </c>
      <c r="AA113" s="24">
        <f t="shared" ca="1" si="68"/>
        <v>5.6264107109421717</v>
      </c>
      <c r="AB113" s="24">
        <f t="shared" ca="1" si="68"/>
        <v>5.757069408828773</v>
      </c>
      <c r="AC113" s="24">
        <f t="shared" ca="1" si="68"/>
        <v>5.8352142296094698</v>
      </c>
      <c r="AD113" s="24">
        <f t="shared" ca="1" si="68"/>
        <v>5.9311213102135225</v>
      </c>
      <c r="AE113" s="24">
        <f t="shared" ca="1" si="68"/>
        <v>6.0165400279540489</v>
      </c>
      <c r="AF113" s="24">
        <f t="shared" ca="1" si="68"/>
        <v>6.1062666108524821</v>
      </c>
      <c r="AG113" s="24">
        <f t="shared" ca="1" si="68"/>
        <v>6.1973168662698486</v>
      </c>
      <c r="AH113" s="24">
        <f t="shared" ca="1" si="68"/>
        <v>6.2865412125430815</v>
      </c>
      <c r="AI113" s="24">
        <f t="shared" ca="1" si="68"/>
        <v>6.3723305797746539</v>
      </c>
      <c r="AJ113" s="24">
        <f t="shared" ca="1" si="68"/>
        <v>6.4606651757949596</v>
      </c>
      <c r="AK113" s="24">
        <f t="shared" ca="1" si="68"/>
        <v>6.546729176061481</v>
      </c>
      <c r="AL113" s="24">
        <f t="shared" ca="1" si="68"/>
        <v>6.6325243923167774</v>
      </c>
      <c r="AM113" s="24">
        <f t="shared" ca="1" si="68"/>
        <v>7.1802456128735432</v>
      </c>
      <c r="AN113" s="24">
        <f t="shared" ca="1" si="68"/>
        <v>7.7309599895486256</v>
      </c>
      <c r="AO113" s="24">
        <f t="shared" ca="1" si="68"/>
        <v>7.7309599895486256</v>
      </c>
      <c r="AP113" s="24">
        <f t="shared" ca="1" si="68"/>
        <v>7.7309599895486256</v>
      </c>
      <c r="AQ113" s="6"/>
      <c r="AR113" s="6"/>
      <c r="AS113" s="195"/>
      <c r="AT113" s="195"/>
      <c r="AU113" s="6"/>
      <c r="AV113" s="6"/>
      <c r="BB113" s="4">
        <f t="shared" si="53"/>
        <v>2</v>
      </c>
    </row>
    <row r="114" spans="1:54">
      <c r="A114" s="22" t="str">
        <f>'[5]TS BYDem'!A28</f>
        <v/>
      </c>
      <c r="B114" s="22" t="str">
        <f>'[5]TS BYDem'!B28</f>
        <v>COM_PROJ</v>
      </c>
      <c r="C114" s="22" t="str">
        <f>'[5]TS BYDem'!C28</f>
        <v>-</v>
      </c>
      <c r="D114" s="22" t="str">
        <f>'[5]TS BYDem'!D28</f>
        <v>RMEO</v>
      </c>
      <c r="E114" s="117" t="s">
        <v>137</v>
      </c>
      <c r="F114" s="117" t="s">
        <v>137</v>
      </c>
      <c r="G114" s="117" t="s">
        <v>137</v>
      </c>
      <c r="H114" s="117" t="s">
        <v>137</v>
      </c>
      <c r="I114" s="117">
        <v>0</v>
      </c>
      <c r="J114" s="6">
        <f>'[5]TS BYDem'!J28</f>
        <v>6.1966615637186973</v>
      </c>
      <c r="K114" s="24">
        <f t="shared" si="49"/>
        <v>6.5664507313193043</v>
      </c>
      <c r="L114" s="24">
        <f t="shared" si="49"/>
        <v>6.9362398989199114</v>
      </c>
      <c r="M114" s="24">
        <f t="shared" si="49"/>
        <v>7.3060290665205176</v>
      </c>
      <c r="N114" s="24">
        <f t="shared" si="49"/>
        <v>7.6758182341211247</v>
      </c>
      <c r="O114" s="24">
        <f>'[5]TS BYDem'!O28</f>
        <v>8.0456074017217318</v>
      </c>
      <c r="P114" s="24">
        <f t="shared" ref="P114:AP114" ca="1" si="69">OFFSET(P$33,$BB114,$J$93)/OFFSET(O$33,$BB114,$J$93)*O114</f>
        <v>8.3457899991737143</v>
      </c>
      <c r="Q114" s="24">
        <f t="shared" ca="1" si="69"/>
        <v>8.6467997063175073</v>
      </c>
      <c r="R114" s="24">
        <f t="shared" ca="1" si="69"/>
        <v>9.1987350907944485</v>
      </c>
      <c r="S114" s="24">
        <f t="shared" ca="1" si="69"/>
        <v>8.8669185737481815</v>
      </c>
      <c r="T114" s="24">
        <f t="shared" ca="1" si="69"/>
        <v>9.0824729286983601</v>
      </c>
      <c r="U114" s="24">
        <f t="shared" ca="1" si="69"/>
        <v>9.2895502163810075</v>
      </c>
      <c r="V114" s="24">
        <f t="shared" ca="1" si="69"/>
        <v>9.5132452377882046</v>
      </c>
      <c r="W114" s="24">
        <f t="shared" ca="1" si="69"/>
        <v>9.7378975414837168</v>
      </c>
      <c r="X114" s="24">
        <f t="shared" ca="1" si="69"/>
        <v>9.9301636705687226</v>
      </c>
      <c r="Y114" s="24">
        <f t="shared" ca="1" si="69"/>
        <v>10.151551211530576</v>
      </c>
      <c r="Z114" s="24">
        <f t="shared" ca="1" si="69"/>
        <v>10.370145256811695</v>
      </c>
      <c r="AA114" s="24">
        <f t="shared" ca="1" si="69"/>
        <v>10.584575561985552</v>
      </c>
      <c r="AB114" s="24">
        <f t="shared" ca="1" si="69"/>
        <v>10.830374692490155</v>
      </c>
      <c r="AC114" s="24">
        <f t="shared" ca="1" si="69"/>
        <v>10.977383114524207</v>
      </c>
      <c r="AD114" s="24">
        <f t="shared" ca="1" si="69"/>
        <v>11.157806441887921</v>
      </c>
      <c r="AE114" s="24">
        <f t="shared" ca="1" si="69"/>
        <v>11.318498740900894</v>
      </c>
      <c r="AF114" s="24">
        <f t="shared" ca="1" si="69"/>
        <v>11.487295127336074</v>
      </c>
      <c r="AG114" s="24">
        <f t="shared" ca="1" si="69"/>
        <v>11.658581646915769</v>
      </c>
      <c r="AH114" s="24">
        <f t="shared" ca="1" si="69"/>
        <v>11.826433210482065</v>
      </c>
      <c r="AI114" s="24">
        <f t="shared" ca="1" si="69"/>
        <v>11.987822786630772</v>
      </c>
      <c r="AJ114" s="24">
        <f t="shared" ca="1" si="69"/>
        <v>12.154000524863791</v>
      </c>
      <c r="AK114" s="24">
        <f t="shared" ca="1" si="69"/>
        <v>12.315906749060353</v>
      </c>
      <c r="AL114" s="24">
        <f t="shared" ca="1" si="69"/>
        <v>12.477307328571019</v>
      </c>
      <c r="AM114" s="24">
        <f t="shared" ca="1" si="69"/>
        <v>13.507697206546215</v>
      </c>
      <c r="AN114" s="24">
        <f t="shared" ca="1" si="69"/>
        <v>14.54371790117003</v>
      </c>
      <c r="AO114" s="24">
        <f t="shared" ca="1" si="69"/>
        <v>14.54371790117003</v>
      </c>
      <c r="AP114" s="24">
        <f t="shared" ca="1" si="69"/>
        <v>14.54371790117003</v>
      </c>
      <c r="AQ114" s="6"/>
      <c r="AR114" s="6"/>
      <c r="AS114" s="195"/>
      <c r="AT114" s="195"/>
      <c r="AU114" s="6"/>
      <c r="AV114" s="6"/>
      <c r="BB114" s="4">
        <f t="shared" si="53"/>
        <v>2</v>
      </c>
    </row>
    <row r="115" spans="1:54">
      <c r="A115" s="22" t="str">
        <f>'[5]TS BYDem'!A29</f>
        <v>*</v>
      </c>
      <c r="B115" s="22" t="str">
        <f>'[5]TS BYDem'!B29</f>
        <v>COM_PROJ</v>
      </c>
      <c r="C115" s="22" t="str">
        <f>'[5]TS BYDem'!C29</f>
        <v>-</v>
      </c>
      <c r="D115" s="22">
        <f>'[5]TS BYDem'!D29</f>
        <v>0</v>
      </c>
      <c r="E115" s="117" t="s">
        <v>137</v>
      </c>
      <c r="F115" s="117" t="s">
        <v>137</v>
      </c>
      <c r="G115" s="117" t="s">
        <v>137</v>
      </c>
      <c r="H115" s="117" t="s">
        <v>137</v>
      </c>
      <c r="I115" s="117">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17" t="s">
        <v>137</v>
      </c>
      <c r="F116" s="117" t="s">
        <v>137</v>
      </c>
      <c r="G116" s="117" t="s">
        <v>137</v>
      </c>
      <c r="H116" s="117" t="s">
        <v>137</v>
      </c>
      <c r="I116" s="117">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17" t="s">
        <v>137</v>
      </c>
      <c r="F117" s="117" t="s">
        <v>137</v>
      </c>
      <c r="G117" s="117" t="s">
        <v>137</v>
      </c>
      <c r="H117" s="117" t="s">
        <v>137</v>
      </c>
      <c r="I117" s="117">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17" t="s">
        <v>137</v>
      </c>
      <c r="F118" s="117" t="s">
        <v>137</v>
      </c>
      <c r="G118" s="117" t="s">
        <v>137</v>
      </c>
      <c r="H118" s="117" t="s">
        <v>137</v>
      </c>
      <c r="I118" s="117">
        <v>0</v>
      </c>
      <c r="J118" s="6">
        <f>'[5]TS BYDem'!J32</f>
        <v>29.137979962225089</v>
      </c>
      <c r="K118" s="24">
        <f t="shared" si="49"/>
        <v>30.895416547805155</v>
      </c>
      <c r="L118" s="24">
        <f t="shared" si="49"/>
        <v>32.652853133385221</v>
      </c>
      <c r="M118" s="24">
        <f t="shared" si="49"/>
        <v>34.410289718965288</v>
      </c>
      <c r="N118" s="24">
        <f t="shared" si="49"/>
        <v>36.167726304545354</v>
      </c>
      <c r="O118" s="24">
        <f>'[5]TS BYDem'!O32</f>
        <v>37.925162890125421</v>
      </c>
      <c r="P118" s="24">
        <f t="shared" ref="P118:AP118" ca="1" si="73">IF($E$78=1, P89, P83)</f>
        <v>38.078510482314542</v>
      </c>
      <c r="Q118" s="24">
        <f t="shared" ca="1" si="73"/>
        <v>38.606792599126273</v>
      </c>
      <c r="R118" s="24">
        <f t="shared" ca="1" si="73"/>
        <v>35.012850498185863</v>
      </c>
      <c r="S118" s="24">
        <f t="shared" ca="1" si="73"/>
        <v>35.923787609462615</v>
      </c>
      <c r="T118" s="24">
        <f t="shared" ca="1" si="73"/>
        <v>37.088638279846194</v>
      </c>
      <c r="U118" s="24">
        <f t="shared" ca="1" si="73"/>
        <v>38.334431548431901</v>
      </c>
      <c r="V118" s="24">
        <f t="shared" ca="1" si="73"/>
        <v>39.535719759111238</v>
      </c>
      <c r="W118" s="24">
        <f t="shared" ca="1" si="73"/>
        <v>40.69867147738448</v>
      </c>
      <c r="X118" s="24">
        <f t="shared" ca="1" si="73"/>
        <v>42.242931084139542</v>
      </c>
      <c r="Y118" s="24">
        <f t="shared" ca="1" si="73"/>
        <v>43.765684242724085</v>
      </c>
      <c r="Z118" s="24">
        <f t="shared" ca="1" si="73"/>
        <v>45.351502210731596</v>
      </c>
      <c r="AA118" s="24">
        <f t="shared" ca="1" si="73"/>
        <v>47.143894139591559</v>
      </c>
      <c r="AB118" s="24">
        <f t="shared" ca="1" si="73"/>
        <v>48.726339382646543</v>
      </c>
      <c r="AC118" s="24">
        <f t="shared" ca="1" si="73"/>
        <v>50.500526338235183</v>
      </c>
      <c r="AD118" s="24">
        <f t="shared" ca="1" si="73"/>
        <v>52.062421655743201</v>
      </c>
      <c r="AE118" s="24">
        <f t="shared" ca="1" si="73"/>
        <v>53.783444541791219</v>
      </c>
      <c r="AF118" s="24">
        <f t="shared" ca="1" si="73"/>
        <v>55.606466188704701</v>
      </c>
      <c r="AG118" s="24">
        <f t="shared" ca="1" si="73"/>
        <v>57.52389885394787</v>
      </c>
      <c r="AH118" s="24">
        <f t="shared" ca="1" si="73"/>
        <v>59.32137585258522</v>
      </c>
      <c r="AI118" s="24">
        <f t="shared" ca="1" si="73"/>
        <v>61.110880929359148</v>
      </c>
      <c r="AJ118" s="24">
        <f t="shared" ca="1" si="73"/>
        <v>62.831983752018765</v>
      </c>
      <c r="AK118" s="24">
        <f t="shared" ca="1" si="73"/>
        <v>64.551573785122088</v>
      </c>
      <c r="AL118" s="24">
        <f t="shared" ca="1" si="73"/>
        <v>66.299451019839651</v>
      </c>
      <c r="AM118" s="24">
        <f t="shared" ca="1" si="73"/>
        <v>75.317095275313491</v>
      </c>
      <c r="AN118" s="24">
        <f t="shared" ca="1" si="73"/>
        <v>83.48256661289561</v>
      </c>
      <c r="AO118" s="24">
        <f t="shared" ca="1" si="73"/>
        <v>83.48256661289561</v>
      </c>
      <c r="AP118" s="24">
        <f t="shared" ca="1" si="73"/>
        <v>83.48256661289561</v>
      </c>
      <c r="AQ118" s="6"/>
      <c r="AR118" s="195"/>
      <c r="AS118" s="195"/>
      <c r="AT118" s="194"/>
      <c r="AU118" s="6"/>
      <c r="AV118" s="6"/>
      <c r="BB118" s="4">
        <f t="shared" si="53"/>
        <v>3</v>
      </c>
    </row>
    <row r="119" spans="1:54">
      <c r="A119" s="22" t="str">
        <f>'[5]TS BYDem'!A33</f>
        <v/>
      </c>
      <c r="B119" s="22" t="str">
        <f>'[5]TS BYDem'!B33</f>
        <v>COM_PROJ</v>
      </c>
      <c r="C119" s="22" t="str">
        <f>'[5]TS BYDem'!C33</f>
        <v>-</v>
      </c>
      <c r="D119" s="22" t="str">
        <f>'[5]TS BYDem'!D33</f>
        <v>RHEK</v>
      </c>
      <c r="E119" s="117" t="s">
        <v>137</v>
      </c>
      <c r="F119" s="117" t="s">
        <v>137</v>
      </c>
      <c r="G119" s="117" t="s">
        <v>137</v>
      </c>
      <c r="H119" s="117" t="s">
        <v>137</v>
      </c>
      <c r="I119" s="117">
        <v>0</v>
      </c>
      <c r="J119" s="6">
        <f>'[5]TS BYDem'!J33</f>
        <v>3.8899651470038408</v>
      </c>
      <c r="K119" s="24">
        <f t="shared" si="49"/>
        <v>4.388697141528918</v>
      </c>
      <c r="L119" s="24">
        <f t="shared" si="49"/>
        <v>4.8874291360539948</v>
      </c>
      <c r="M119" s="24">
        <f t="shared" si="49"/>
        <v>5.3861611305790715</v>
      </c>
      <c r="N119" s="24">
        <f t="shared" si="49"/>
        <v>5.8848931251041492</v>
      </c>
      <c r="O119" s="24">
        <f>'[5]TS BYDem'!O33</f>
        <v>6.383625119629226</v>
      </c>
      <c r="P119" s="24">
        <f t="shared" ref="P119:AP119" ca="1" si="74">OFFSET(P$33,$BB119,$J$93)/OFFSET(O$33,$BB119,$J$93)*O119</f>
        <v>6.5864663962987153</v>
      </c>
      <c r="Q119" s="24">
        <f t="shared" ca="1" si="74"/>
        <v>6.6778437208335619</v>
      </c>
      <c r="R119" s="24">
        <f t="shared" ca="1" si="74"/>
        <v>6.056197060335081</v>
      </c>
      <c r="S119" s="24">
        <f t="shared" ca="1" si="74"/>
        <v>6.2137624849425475</v>
      </c>
      <c r="T119" s="24">
        <f t="shared" ca="1" si="74"/>
        <v>6.415247514162659</v>
      </c>
      <c r="U119" s="24">
        <f t="shared" ca="1" si="74"/>
        <v>6.6307332407927975</v>
      </c>
      <c r="V119" s="24">
        <f t="shared" ca="1" si="74"/>
        <v>6.8385208966567017</v>
      </c>
      <c r="W119" s="24">
        <f t="shared" ca="1" si="74"/>
        <v>7.0396774628118326</v>
      </c>
      <c r="X119" s="24">
        <f t="shared" ca="1" si="74"/>
        <v>7.3067891191823646</v>
      </c>
      <c r="Y119" s="24">
        <f t="shared" ca="1" si="74"/>
        <v>7.5701807902807658</v>
      </c>
      <c r="Z119" s="24">
        <f t="shared" ca="1" si="74"/>
        <v>7.8444808252513907</v>
      </c>
      <c r="AA119" s="24">
        <f t="shared" ca="1" si="74"/>
        <v>8.1545121016563922</v>
      </c>
      <c r="AB119" s="24">
        <f t="shared" ca="1" si="74"/>
        <v>8.4282287540502718</v>
      </c>
      <c r="AC119" s="24">
        <f t="shared" ca="1" si="74"/>
        <v>8.735111103588693</v>
      </c>
      <c r="AD119" s="24">
        <f t="shared" ca="1" si="74"/>
        <v>9.0052732210927591</v>
      </c>
      <c r="AE119" s="24">
        <f t="shared" ca="1" si="74"/>
        <v>9.3029597446105576</v>
      </c>
      <c r="AF119" s="24">
        <f t="shared" ca="1" si="74"/>
        <v>9.6182890646137</v>
      </c>
      <c r="AG119" s="24">
        <f t="shared" ca="1" si="74"/>
        <v>9.9499487240075499</v>
      </c>
      <c r="AH119" s="24">
        <f t="shared" ca="1" si="74"/>
        <v>10.260859568462545</v>
      </c>
      <c r="AI119" s="24">
        <f t="shared" ca="1" si="74"/>
        <v>10.570391504057861</v>
      </c>
      <c r="AJ119" s="24">
        <f t="shared" ca="1" si="74"/>
        <v>10.86809185426687</v>
      </c>
      <c r="AK119" s="24">
        <f t="shared" ca="1" si="74"/>
        <v>11.165530536215988</v>
      </c>
      <c r="AL119" s="24">
        <f t="shared" ca="1" si="74"/>
        <v>11.467862075068318</v>
      </c>
      <c r="AM119" s="24">
        <f t="shared" ca="1" si="74"/>
        <v>13.027650262950303</v>
      </c>
      <c r="AN119" s="24">
        <f t="shared" ca="1" si="74"/>
        <v>14.440037509555015</v>
      </c>
      <c r="AO119" s="24">
        <f t="shared" ca="1" si="74"/>
        <v>14.440037509555015</v>
      </c>
      <c r="AP119" s="24">
        <f t="shared" ca="1" si="74"/>
        <v>14.440037509555015</v>
      </c>
      <c r="AQ119" s="6"/>
      <c r="AR119" s="195"/>
      <c r="AS119" s="195"/>
      <c r="AT119" s="194"/>
      <c r="AU119" s="6"/>
      <c r="AV119" s="6"/>
      <c r="BB119" s="4">
        <f t="shared" si="53"/>
        <v>3</v>
      </c>
    </row>
    <row r="120" spans="1:54">
      <c r="A120" s="22" t="str">
        <f>'[5]TS BYDem'!A34</f>
        <v/>
      </c>
      <c r="B120" s="22" t="str">
        <f>'[5]TS BYDem'!B34</f>
        <v>COM_PROJ</v>
      </c>
      <c r="C120" s="22" t="str">
        <f>'[5]TS BYDem'!C34</f>
        <v>-</v>
      </c>
      <c r="D120" s="22" t="str">
        <f>'[5]TS BYDem'!D34</f>
        <v>RHEH</v>
      </c>
      <c r="E120" s="117" t="s">
        <v>137</v>
      </c>
      <c r="F120" s="117" t="s">
        <v>137</v>
      </c>
      <c r="G120" s="117" t="s">
        <v>137</v>
      </c>
      <c r="H120" s="117" t="s">
        <v>137</v>
      </c>
      <c r="I120" s="117">
        <v>0</v>
      </c>
      <c r="J120" s="6">
        <f>'[5]TS BYDem'!J34</f>
        <v>7.0807191761646662</v>
      </c>
      <c r="K120" s="24">
        <f t="shared" si="49"/>
        <v>7.4891838053592767</v>
      </c>
      <c r="L120" s="24">
        <f t="shared" si="49"/>
        <v>7.8976484345538882</v>
      </c>
      <c r="M120" s="24">
        <f t="shared" si="49"/>
        <v>8.3061130637484997</v>
      </c>
      <c r="N120" s="24">
        <f t="shared" si="49"/>
        <v>8.7145776929431094</v>
      </c>
      <c r="O120" s="24">
        <f>'[5]TS BYDem'!O34</f>
        <v>9.1230423221377208</v>
      </c>
      <c r="P120" s="24">
        <f t="shared" ref="P120:AP120" ca="1" si="75">OFFSET(P$33,$BB120,$J$93)/OFFSET(O$33,$BB120,$J$93)*O120</f>
        <v>9.41292926209006</v>
      </c>
      <c r="Q120" s="24">
        <f t="shared" ca="1" si="75"/>
        <v>9.543519511892125</v>
      </c>
      <c r="R120" s="24">
        <f t="shared" ca="1" si="75"/>
        <v>8.6551044363100207</v>
      </c>
      <c r="S120" s="24">
        <f t="shared" ca="1" si="75"/>
        <v>8.8802862115961947</v>
      </c>
      <c r="T120" s="24">
        <f t="shared" ca="1" si="75"/>
        <v>9.1682348950488031</v>
      </c>
      <c r="U120" s="24">
        <f t="shared" ca="1" si="75"/>
        <v>9.4761924218494276</v>
      </c>
      <c r="V120" s="24">
        <f t="shared" ca="1" si="75"/>
        <v>9.773148390118175</v>
      </c>
      <c r="W120" s="24">
        <f t="shared" ca="1" si="75"/>
        <v>10.060627656525307</v>
      </c>
      <c r="X120" s="24">
        <f t="shared" ca="1" si="75"/>
        <v>10.44236544659563</v>
      </c>
      <c r="Y120" s="24">
        <f t="shared" ca="1" si="75"/>
        <v>10.818786887030852</v>
      </c>
      <c r="Z120" s="24">
        <f t="shared" ca="1" si="75"/>
        <v>11.210797818297163</v>
      </c>
      <c r="AA120" s="24">
        <f t="shared" ca="1" si="75"/>
        <v>11.653873406669664</v>
      </c>
      <c r="AB120" s="24">
        <f t="shared" ca="1" si="75"/>
        <v>12.045050607283265</v>
      </c>
      <c r="AC120" s="24">
        <f t="shared" ca="1" si="75"/>
        <v>12.483625963807128</v>
      </c>
      <c r="AD120" s="24">
        <f t="shared" ca="1" si="75"/>
        <v>12.869723265205536</v>
      </c>
      <c r="AE120" s="24">
        <f t="shared" ca="1" si="75"/>
        <v>13.295156573378975</v>
      </c>
      <c r="AF120" s="24">
        <f t="shared" ca="1" si="75"/>
        <v>13.745803764886778</v>
      </c>
      <c r="AG120" s="24">
        <f t="shared" ca="1" si="75"/>
        <v>14.21978916542227</v>
      </c>
      <c r="AH120" s="24">
        <f t="shared" ca="1" si="75"/>
        <v>14.664121772556825</v>
      </c>
      <c r="AI120" s="24">
        <f t="shared" ca="1" si="75"/>
        <v>15.106483737047201</v>
      </c>
      <c r="AJ120" s="24">
        <f t="shared" ca="1" si="75"/>
        <v>15.531936805386175</v>
      </c>
      <c r="AK120" s="24">
        <f t="shared" ca="1" si="75"/>
        <v>15.957015915266654</v>
      </c>
      <c r="AL120" s="24">
        <f t="shared" ca="1" si="75"/>
        <v>16.389087563049603</v>
      </c>
      <c r="AM120" s="24">
        <f t="shared" ca="1" si="75"/>
        <v>18.618230625956212</v>
      </c>
      <c r="AN120" s="24">
        <f t="shared" ca="1" si="75"/>
        <v>20.6367183009923</v>
      </c>
      <c r="AO120" s="24">
        <f t="shared" ca="1" si="75"/>
        <v>20.6367183009923</v>
      </c>
      <c r="AP120" s="24">
        <f t="shared" ca="1" si="75"/>
        <v>20.6367183009923</v>
      </c>
      <c r="AQ120" s="6"/>
      <c r="AR120" s="195"/>
      <c r="AS120" s="195"/>
      <c r="AT120" s="194"/>
      <c r="AU120" s="6"/>
      <c r="AV120" s="6"/>
      <c r="BB120" s="4">
        <f t="shared" si="53"/>
        <v>3</v>
      </c>
    </row>
    <row r="121" spans="1:54">
      <c r="A121" s="22" t="str">
        <f>'[5]TS BYDem'!A35</f>
        <v/>
      </c>
      <c r="B121" s="22" t="str">
        <f>'[5]TS BYDem'!B35</f>
        <v>COM_PROJ</v>
      </c>
      <c r="C121" s="22" t="str">
        <f>'[5]TS BYDem'!C35</f>
        <v>-</v>
      </c>
      <c r="D121" s="22" t="str">
        <f>'[5]TS BYDem'!D35</f>
        <v>RHEWG</v>
      </c>
      <c r="E121" s="117" t="s">
        <v>137</v>
      </c>
      <c r="F121" s="117" t="s">
        <v>137</v>
      </c>
      <c r="G121" s="117" t="s">
        <v>137</v>
      </c>
      <c r="H121" s="117" t="s">
        <v>137</v>
      </c>
      <c r="I121" s="117">
        <v>0</v>
      </c>
      <c r="J121" s="6">
        <f>'[5]TS BYDem'!J35</f>
        <v>31.723289073249305</v>
      </c>
      <c r="K121" s="24">
        <f t="shared" si="49"/>
        <v>33.216137308815547</v>
      </c>
      <c r="L121" s="24">
        <f t="shared" si="49"/>
        <v>34.708985544381797</v>
      </c>
      <c r="M121" s="24">
        <f t="shared" si="49"/>
        <v>36.201833779948039</v>
      </c>
      <c r="N121" s="24">
        <f t="shared" si="49"/>
        <v>37.694682015514289</v>
      </c>
      <c r="O121" s="24">
        <f>'[5]TS BYDem'!O35</f>
        <v>39.187530251080531</v>
      </c>
      <c r="P121" s="24">
        <f t="shared" ref="P121:AP121" ca="1" si="76">OFFSET(P$33,$BB121,$J$93)/OFFSET(O$33,$BB121,$J$93)*O121</f>
        <v>40.43272377618451</v>
      </c>
      <c r="Q121" s="24">
        <f t="shared" ca="1" si="76"/>
        <v>40.993667065047326</v>
      </c>
      <c r="R121" s="24">
        <f t="shared" ca="1" si="76"/>
        <v>37.177528608097596</v>
      </c>
      <c r="S121" s="24">
        <f t="shared" ca="1" si="76"/>
        <v>38.144784630752021</v>
      </c>
      <c r="T121" s="24">
        <f t="shared" ca="1" si="76"/>
        <v>39.381652480874394</v>
      </c>
      <c r="U121" s="24">
        <f t="shared" ca="1" si="76"/>
        <v>40.704467225278606</v>
      </c>
      <c r="V121" s="24">
        <f t="shared" ca="1" si="76"/>
        <v>41.980025375604455</v>
      </c>
      <c r="W121" s="24">
        <f t="shared" ca="1" si="76"/>
        <v>43.214876870434324</v>
      </c>
      <c r="X121" s="24">
        <f t="shared" ca="1" si="76"/>
        <v>44.854610707913238</v>
      </c>
      <c r="Y121" s="24">
        <f t="shared" ca="1" si="76"/>
        <v>46.471508455763875</v>
      </c>
      <c r="Z121" s="24">
        <f t="shared" ca="1" si="76"/>
        <v>48.155370010420476</v>
      </c>
      <c r="AA121" s="24">
        <f t="shared" ca="1" si="76"/>
        <v>50.058577011963159</v>
      </c>
      <c r="AB121" s="24">
        <f t="shared" ca="1" si="76"/>
        <v>51.73885732211594</v>
      </c>
      <c r="AC121" s="24">
        <f t="shared" ca="1" si="76"/>
        <v>53.622733823428732</v>
      </c>
      <c r="AD121" s="24">
        <f t="shared" ca="1" si="76"/>
        <v>55.281193703823696</v>
      </c>
      <c r="AE121" s="24">
        <f t="shared" ca="1" si="76"/>
        <v>57.108619253895831</v>
      </c>
      <c r="AF121" s="24">
        <f t="shared" ca="1" si="76"/>
        <v>59.04434966335846</v>
      </c>
      <c r="AG121" s="24">
        <f t="shared" ca="1" si="76"/>
        <v>61.080328075623761</v>
      </c>
      <c r="AH121" s="24">
        <f t="shared" ca="1" si="76"/>
        <v>62.988934532635881</v>
      </c>
      <c r="AI121" s="24">
        <f t="shared" ca="1" si="76"/>
        <v>64.889076201750925</v>
      </c>
      <c r="AJ121" s="24">
        <f t="shared" ca="1" si="76"/>
        <v>66.716586630535375</v>
      </c>
      <c r="AK121" s="24">
        <f t="shared" ca="1" si="76"/>
        <v>68.542490741176437</v>
      </c>
      <c r="AL121" s="24">
        <f t="shared" ca="1" si="76"/>
        <v>70.398430916642056</v>
      </c>
      <c r="AM121" s="24">
        <f t="shared" ca="1" si="76"/>
        <v>79.973593250337117</v>
      </c>
      <c r="AN121" s="24">
        <f t="shared" ca="1" si="76"/>
        <v>88.643896865499485</v>
      </c>
      <c r="AO121" s="24">
        <f t="shared" ca="1" si="76"/>
        <v>88.643896865499485</v>
      </c>
      <c r="AP121" s="24">
        <f t="shared" ca="1" si="76"/>
        <v>88.643896865499485</v>
      </c>
      <c r="AQ121" s="6"/>
      <c r="AR121" s="195"/>
      <c r="AS121" s="195"/>
      <c r="AT121" s="194"/>
      <c r="AU121" s="6"/>
      <c r="AV121" s="6"/>
      <c r="BB121" s="4">
        <f t="shared" si="53"/>
        <v>3</v>
      </c>
    </row>
    <row r="122" spans="1:54">
      <c r="A122" s="22" t="str">
        <f>'[5]TS BYDem'!A36</f>
        <v/>
      </c>
      <c r="B122" s="22" t="str">
        <f>'[5]TS BYDem'!B36</f>
        <v>COM_PROJ</v>
      </c>
      <c r="C122" s="22" t="str">
        <f>'[5]TS BYDem'!C36</f>
        <v>-</v>
      </c>
      <c r="D122" s="22" t="str">
        <f>'[5]TS BYDem'!D36</f>
        <v>RHEW</v>
      </c>
      <c r="E122" s="117" t="s">
        <v>137</v>
      </c>
      <c r="F122" s="117" t="s">
        <v>137</v>
      </c>
      <c r="G122" s="117" t="s">
        <v>137</v>
      </c>
      <c r="H122" s="117" t="s">
        <v>137</v>
      </c>
      <c r="I122" s="117">
        <v>0</v>
      </c>
      <c r="J122" s="6">
        <f>'[5]TS BYDem'!J36</f>
        <v>0.56043977372187515</v>
      </c>
      <c r="K122" s="24">
        <f t="shared" si="49"/>
        <v>1.9626793267777487</v>
      </c>
      <c r="L122" s="24">
        <f t="shared" si="49"/>
        <v>3.3649188798336223</v>
      </c>
      <c r="M122" s="24">
        <f t="shared" si="49"/>
        <v>4.7671584328894951</v>
      </c>
      <c r="N122" s="24">
        <f t="shared" si="49"/>
        <v>6.1693979859453698</v>
      </c>
      <c r="O122" s="24">
        <f>'[5]TS BYDem'!O36</f>
        <v>7.5716375390012427</v>
      </c>
      <c r="P122" s="24">
        <f t="shared" ref="P122:AP122" ca="1" si="77">OFFSET(P$33,$BB122,$J$93)/OFFSET(O$33,$BB122,$J$93)*O122</f>
        <v>7.8122282059197987</v>
      </c>
      <c r="Q122" s="24">
        <f t="shared" ca="1" si="77"/>
        <v>7.9206111337540275</v>
      </c>
      <c r="R122" s="24">
        <f t="shared" ca="1" si="77"/>
        <v>7.1832741030828959</v>
      </c>
      <c r="S122" s="24">
        <f t="shared" ca="1" si="77"/>
        <v>7.3701629415483758</v>
      </c>
      <c r="T122" s="24">
        <f t="shared" ca="1" si="77"/>
        <v>7.6091449591638405</v>
      </c>
      <c r="U122" s="24">
        <f t="shared" ca="1" si="77"/>
        <v>7.8647332473693492</v>
      </c>
      <c r="V122" s="24">
        <f t="shared" ca="1" si="77"/>
        <v>8.1111908299805897</v>
      </c>
      <c r="W122" s="24">
        <f t="shared" ca="1" si="77"/>
        <v>8.3497832565366839</v>
      </c>
      <c r="X122" s="24">
        <f t="shared" ca="1" si="77"/>
        <v>8.6666052200102204</v>
      </c>
      <c r="Y122" s="24">
        <f t="shared" ca="1" si="77"/>
        <v>8.9790148974232249</v>
      </c>
      <c r="Z122" s="24">
        <f t="shared" ca="1" si="77"/>
        <v>9.3043630190330919</v>
      </c>
      <c r="AA122" s="24">
        <f t="shared" ca="1" si="77"/>
        <v>9.6720920768492125</v>
      </c>
      <c r="AB122" s="24">
        <f t="shared" ca="1" si="77"/>
        <v>9.9967482465767397</v>
      </c>
      <c r="AC122" s="24">
        <f t="shared" ca="1" si="77"/>
        <v>10.36074235247702</v>
      </c>
      <c r="AD122" s="24">
        <f t="shared" ca="1" si="77"/>
        <v>10.681182477355259</v>
      </c>
      <c r="AE122" s="24">
        <f t="shared" ca="1" si="77"/>
        <v>11.034269385512086</v>
      </c>
      <c r="AF122" s="24">
        <f t="shared" ca="1" si="77"/>
        <v>11.408282469260056</v>
      </c>
      <c r="AG122" s="24">
        <f t="shared" ca="1" si="77"/>
        <v>11.801665019171555</v>
      </c>
      <c r="AH122" s="24">
        <f t="shared" ca="1" si="77"/>
        <v>12.170437335377796</v>
      </c>
      <c r="AI122" s="24">
        <f t="shared" ca="1" si="77"/>
        <v>12.537574123511957</v>
      </c>
      <c r="AJ122" s="24">
        <f t="shared" ca="1" si="77"/>
        <v>12.890677431550081</v>
      </c>
      <c r="AK122" s="24">
        <f t="shared" ca="1" si="77"/>
        <v>13.243470374054166</v>
      </c>
      <c r="AL122" s="24">
        <f t="shared" ca="1" si="77"/>
        <v>13.60206674929546</v>
      </c>
      <c r="AM122" s="24">
        <f t="shared" ca="1" si="77"/>
        <v>15.452136353154641</v>
      </c>
      <c r="AN122" s="24">
        <f t="shared" ca="1" si="77"/>
        <v>17.127373243728815</v>
      </c>
      <c r="AO122" s="24">
        <f t="shared" ca="1" si="77"/>
        <v>17.127373243728815</v>
      </c>
      <c r="AP122" s="24">
        <f t="shared" ca="1" si="77"/>
        <v>17.127373243728815</v>
      </c>
      <c r="AQ122" s="6"/>
      <c r="AR122" s="195"/>
      <c r="AS122" s="195"/>
      <c r="AT122" s="194"/>
      <c r="AU122" s="6"/>
      <c r="AV122" s="6"/>
      <c r="BB122" s="4">
        <f t="shared" si="53"/>
        <v>3</v>
      </c>
    </row>
    <row r="123" spans="1:54">
      <c r="A123" s="22" t="str">
        <f>'[5]TS BYDem'!A37</f>
        <v/>
      </c>
      <c r="B123" s="22" t="str">
        <f>'[5]TS BYDem'!B37</f>
        <v>COM_PROJ</v>
      </c>
      <c r="C123" s="22" t="str">
        <f>'[5]TS BYDem'!C37</f>
        <v>-</v>
      </c>
      <c r="D123" s="22" t="str">
        <f>'[5]TS BYDem'!D37</f>
        <v>RHER</v>
      </c>
      <c r="E123" s="117" t="s">
        <v>137</v>
      </c>
      <c r="F123" s="117" t="s">
        <v>137</v>
      </c>
      <c r="G123" s="117" t="s">
        <v>137</v>
      </c>
      <c r="H123" s="117" t="s">
        <v>137</v>
      </c>
      <c r="I123" s="117">
        <v>0</v>
      </c>
      <c r="J123" s="6">
        <f>'[5]TS BYDem'!J37</f>
        <v>5.2199769796058071</v>
      </c>
      <c r="K123" s="24">
        <f t="shared" si="49"/>
        <v>5.5365127481796916</v>
      </c>
      <c r="L123" s="24">
        <f t="shared" si="49"/>
        <v>5.8530485167535753</v>
      </c>
      <c r="M123" s="24">
        <f t="shared" si="49"/>
        <v>6.1695842853274598</v>
      </c>
      <c r="N123" s="24">
        <f t="shared" si="49"/>
        <v>6.4861200539013435</v>
      </c>
      <c r="O123" s="24">
        <f>'[5]TS BYDem'!O37</f>
        <v>6.802655822475228</v>
      </c>
      <c r="P123" s="24">
        <f t="shared" ref="P123:AP123" ca="1" si="78">OFFSET(P$33,$BB123,$J$93)/OFFSET(O$33,$BB123,$J$93)*O123</f>
        <v>7.0188119039987242</v>
      </c>
      <c r="Q123" s="24">
        <f t="shared" ca="1" si="78"/>
        <v>7.1161873728178087</v>
      </c>
      <c r="R123" s="24">
        <f t="shared" ca="1" si="78"/>
        <v>6.453734895532004</v>
      </c>
      <c r="S123" s="24">
        <f t="shared" ca="1" si="78"/>
        <v>6.6216431503308106</v>
      </c>
      <c r="T123" s="24">
        <f t="shared" ca="1" si="78"/>
        <v>6.8363539582933859</v>
      </c>
      <c r="U123" s="24">
        <f t="shared" ca="1" si="78"/>
        <v>7.0659844903892237</v>
      </c>
      <c r="V123" s="24">
        <f t="shared" ca="1" si="78"/>
        <v>7.2874116388373098</v>
      </c>
      <c r="W123" s="24">
        <f t="shared" ca="1" si="78"/>
        <v>7.5017724229279334</v>
      </c>
      <c r="X123" s="24">
        <f t="shared" ca="1" si="78"/>
        <v>7.7864176880254456</v>
      </c>
      <c r="Y123" s="24">
        <f t="shared" ca="1" si="78"/>
        <v>8.0670987824524136</v>
      </c>
      <c r="Z123" s="24">
        <f t="shared" ca="1" si="78"/>
        <v>8.3594042820752446</v>
      </c>
      <c r="AA123" s="24">
        <f t="shared" ca="1" si="78"/>
        <v>8.6897864752746479</v>
      </c>
      <c r="AB123" s="24">
        <f t="shared" ca="1" si="78"/>
        <v>8.9814702982156494</v>
      </c>
      <c r="AC123" s="24">
        <f t="shared" ca="1" si="78"/>
        <v>9.3084968642781103</v>
      </c>
      <c r="AD123" s="24">
        <f t="shared" ca="1" si="78"/>
        <v>9.5963928273414947</v>
      </c>
      <c r="AE123" s="24">
        <f t="shared" ca="1" si="78"/>
        <v>9.9136199396062548</v>
      </c>
      <c r="AF123" s="24">
        <f t="shared" ca="1" si="78"/>
        <v>10.24964794791153</v>
      </c>
      <c r="AG123" s="24">
        <f t="shared" ca="1" si="78"/>
        <v>10.603078243515538</v>
      </c>
      <c r="AH123" s="24">
        <f t="shared" ca="1" si="78"/>
        <v>10.934397740927583</v>
      </c>
      <c r="AI123" s="24">
        <f t="shared" ca="1" si="78"/>
        <v>11.264247815839534</v>
      </c>
      <c r="AJ123" s="24">
        <f t="shared" ca="1" si="78"/>
        <v>11.5814896624002</v>
      </c>
      <c r="AK123" s="24">
        <f t="shared" ca="1" si="78"/>
        <v>11.898452664404935</v>
      </c>
      <c r="AL123" s="24">
        <f t="shared" ca="1" si="78"/>
        <v>12.220629697759794</v>
      </c>
      <c r="AM123" s="24">
        <f t="shared" ca="1" si="78"/>
        <v>13.88280471575956</v>
      </c>
      <c r="AN123" s="24">
        <f t="shared" ca="1" si="78"/>
        <v>15.387903174182719</v>
      </c>
      <c r="AO123" s="24">
        <f t="shared" ca="1" si="78"/>
        <v>15.387903174182719</v>
      </c>
      <c r="AP123" s="24">
        <f t="shared" ca="1" si="78"/>
        <v>15.387903174182719</v>
      </c>
      <c r="AQ123" s="6"/>
      <c r="AR123" s="195"/>
      <c r="AS123" s="195"/>
      <c r="AT123" s="194"/>
      <c r="AU123" s="6"/>
      <c r="AV123" s="6"/>
      <c r="BB123" s="4">
        <f t="shared" si="53"/>
        <v>3</v>
      </c>
    </row>
    <row r="124" spans="1:54">
      <c r="A124" s="22" t="str">
        <f>'[5]TS BYDem'!A38</f>
        <v/>
      </c>
      <c r="B124" s="22" t="str">
        <f>'[5]TS BYDem'!B38</f>
        <v>COM_PROJ</v>
      </c>
      <c r="C124" s="22" t="str">
        <f>'[5]TS BYDem'!C38</f>
        <v>-</v>
      </c>
      <c r="D124" s="22" t="str">
        <f>'[5]TS BYDem'!D38</f>
        <v>RHEO</v>
      </c>
      <c r="E124" s="117" t="s">
        <v>137</v>
      </c>
      <c r="F124" s="117" t="s">
        <v>137</v>
      </c>
      <c r="G124" s="117" t="s">
        <v>137</v>
      </c>
      <c r="H124" s="117" t="s">
        <v>137</v>
      </c>
      <c r="I124" s="117">
        <v>0</v>
      </c>
      <c r="J124" s="6">
        <f>'[5]TS BYDem'!J38</f>
        <v>11.683546033026639</v>
      </c>
      <c r="K124" s="24">
        <f t="shared" si="49"/>
        <v>12.392028127426933</v>
      </c>
      <c r="L124" s="24">
        <f t="shared" si="49"/>
        <v>13.100510221827227</v>
      </c>
      <c r="M124" s="24">
        <f t="shared" si="49"/>
        <v>13.808992316227521</v>
      </c>
      <c r="N124" s="24">
        <f t="shared" si="49"/>
        <v>14.517474410627814</v>
      </c>
      <c r="O124" s="24">
        <f>'[5]TS BYDem'!O38</f>
        <v>15.225956505028108</v>
      </c>
      <c r="P124" s="24">
        <f t="shared" ref="P124:AP124" ca="1" si="79">OFFSET(P$33,$BB124,$J$93)/OFFSET(O$33,$BB124,$J$93)*O124</f>
        <v>15.709765061783303</v>
      </c>
      <c r="Q124" s="24">
        <f t="shared" ca="1" si="79"/>
        <v>15.927714446786384</v>
      </c>
      <c r="R124" s="24">
        <f t="shared" ca="1" si="79"/>
        <v>14.444988748320618</v>
      </c>
      <c r="S124" s="24">
        <f t="shared" ca="1" si="79"/>
        <v>14.820807230266331</v>
      </c>
      <c r="T124" s="24">
        <f t="shared" ca="1" si="79"/>
        <v>15.301380922146583</v>
      </c>
      <c r="U124" s="24">
        <f t="shared" ca="1" si="79"/>
        <v>15.815348493806781</v>
      </c>
      <c r="V124" s="24">
        <f t="shared" ca="1" si="79"/>
        <v>16.310954948004284</v>
      </c>
      <c r="W124" s="24">
        <f t="shared" ca="1" si="79"/>
        <v>16.790745203475414</v>
      </c>
      <c r="X124" s="24">
        <f t="shared" ca="1" si="79"/>
        <v>17.427848790491808</v>
      </c>
      <c r="Y124" s="24">
        <f t="shared" ca="1" si="79"/>
        <v>18.056079623721541</v>
      </c>
      <c r="Z124" s="24">
        <f t="shared" ca="1" si="79"/>
        <v>18.710328631694772</v>
      </c>
      <c r="AA124" s="24">
        <f t="shared" ca="1" si="79"/>
        <v>19.449802307118723</v>
      </c>
      <c r="AB124" s="24">
        <f t="shared" ca="1" si="79"/>
        <v>20.102659855290845</v>
      </c>
      <c r="AC124" s="24">
        <f t="shared" ca="1" si="79"/>
        <v>20.834622841629901</v>
      </c>
      <c r="AD124" s="24">
        <f t="shared" ca="1" si="79"/>
        <v>21.479002261369718</v>
      </c>
      <c r="AE124" s="24">
        <f t="shared" ca="1" si="79"/>
        <v>22.189031746854024</v>
      </c>
      <c r="AF124" s="24">
        <f t="shared" ca="1" si="79"/>
        <v>22.941142094995332</v>
      </c>
      <c r="AG124" s="24">
        <f t="shared" ca="1" si="79"/>
        <v>23.732202887847233</v>
      </c>
      <c r="AH124" s="24">
        <f t="shared" ca="1" si="79"/>
        <v>24.473774472315256</v>
      </c>
      <c r="AI124" s="24">
        <f t="shared" ca="1" si="79"/>
        <v>25.212057140857233</v>
      </c>
      <c r="AJ124" s="24">
        <f t="shared" ca="1" si="79"/>
        <v>25.922119605188986</v>
      </c>
      <c r="AK124" s="24">
        <f t="shared" ca="1" si="79"/>
        <v>26.63155794929607</v>
      </c>
      <c r="AL124" s="24">
        <f t="shared" ca="1" si="79"/>
        <v>27.352666531707808</v>
      </c>
      <c r="AM124" s="24">
        <f t="shared" ca="1" si="79"/>
        <v>31.073008290612208</v>
      </c>
      <c r="AN124" s="24">
        <f t="shared" ca="1" si="79"/>
        <v>34.441775469457575</v>
      </c>
      <c r="AO124" s="24">
        <f t="shared" ca="1" si="79"/>
        <v>34.441775469457575</v>
      </c>
      <c r="AP124" s="24">
        <f t="shared" ca="1" si="79"/>
        <v>34.441775469457575</v>
      </c>
      <c r="AQ124" s="6"/>
      <c r="AR124" s="195"/>
      <c r="AS124" s="195"/>
      <c r="AT124" s="194"/>
      <c r="AU124" s="6"/>
      <c r="AV124" s="6"/>
      <c r="BB124" s="4">
        <f t="shared" si="53"/>
        <v>3</v>
      </c>
    </row>
    <row r="125" spans="1:54">
      <c r="A125" s="22" t="str">
        <f>'[5]TS BYDem'!A39</f>
        <v>*</v>
      </c>
      <c r="B125" s="22" t="str">
        <f>'[5]TS BYDem'!B39</f>
        <v>COM_PROJ</v>
      </c>
      <c r="C125" s="22" t="str">
        <f>'[5]TS BYDem'!C39</f>
        <v>-</v>
      </c>
      <c r="D125" s="22">
        <f>'[5]TS BYDem'!D39</f>
        <v>0</v>
      </c>
      <c r="E125" s="117" t="s">
        <v>137</v>
      </c>
      <c r="F125" s="117" t="s">
        <v>137</v>
      </c>
      <c r="G125" s="117" t="s">
        <v>137</v>
      </c>
      <c r="H125" s="117" t="s">
        <v>137</v>
      </c>
      <c r="I125" s="117">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17" t="s">
        <v>137</v>
      </c>
      <c r="F126" s="117" t="s">
        <v>137</v>
      </c>
      <c r="G126" s="117" t="s">
        <v>137</v>
      </c>
      <c r="H126" s="117" t="s">
        <v>137</v>
      </c>
      <c r="I126" s="117">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17" t="s">
        <v>137</v>
      </c>
      <c r="F127" s="117" t="s">
        <v>137</v>
      </c>
      <c r="G127" s="117" t="s">
        <v>137</v>
      </c>
      <c r="H127" s="117" t="s">
        <v>137</v>
      </c>
      <c r="I127" s="117">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17" t="s">
        <v>137</v>
      </c>
      <c r="F128" s="117" t="s">
        <v>137</v>
      </c>
      <c r="G128" s="117" t="s">
        <v>137</v>
      </c>
      <c r="H128" s="117" t="s">
        <v>137</v>
      </c>
      <c r="I128" s="117">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17" t="s">
        <v>137</v>
      </c>
      <c r="F129" s="117" t="s">
        <v>137</v>
      </c>
      <c r="G129" s="117" t="s">
        <v>137</v>
      </c>
      <c r="H129" s="117" t="s">
        <v>137</v>
      </c>
      <c r="I129" s="117">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17" t="s">
        <v>137</v>
      </c>
      <c r="F130" s="117" t="s">
        <v>137</v>
      </c>
      <c r="G130" s="117" t="s">
        <v>137</v>
      </c>
      <c r="H130" s="117" t="s">
        <v>137</v>
      </c>
      <c r="I130" s="117">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17" t="s">
        <v>137</v>
      </c>
      <c r="F131" s="117" t="s">
        <v>137</v>
      </c>
      <c r="G131" s="117" t="s">
        <v>137</v>
      </c>
      <c r="H131" s="117" t="s">
        <v>137</v>
      </c>
      <c r="I131" s="117">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17" t="s">
        <v>137</v>
      </c>
      <c r="F132" s="117" t="s">
        <v>137</v>
      </c>
      <c r="G132" s="117" t="s">
        <v>137</v>
      </c>
      <c r="H132" s="117" t="s">
        <v>137</v>
      </c>
      <c r="I132" s="117">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17" t="s">
        <v>137</v>
      </c>
      <c r="F133" s="117" t="s">
        <v>137</v>
      </c>
      <c r="G133" s="117" t="s">
        <v>137</v>
      </c>
      <c r="H133" s="117" t="s">
        <v>137</v>
      </c>
      <c r="I133" s="117">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17" t="s">
        <v>137</v>
      </c>
      <c r="F134" s="117" t="s">
        <v>137</v>
      </c>
      <c r="G134" s="117" t="s">
        <v>137</v>
      </c>
      <c r="H134" s="117" t="s">
        <v>137</v>
      </c>
      <c r="I134" s="117">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17" t="s">
        <v>137</v>
      </c>
      <c r="F135" s="117" t="s">
        <v>137</v>
      </c>
      <c r="G135" s="117" t="s">
        <v>137</v>
      </c>
      <c r="H135" s="117" t="s">
        <v>137</v>
      </c>
      <c r="I135" s="117">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17" t="s">
        <v>137</v>
      </c>
      <c r="F136" s="117" t="s">
        <v>137</v>
      </c>
      <c r="G136" s="117" t="s">
        <v>137</v>
      </c>
      <c r="H136" s="117" t="s">
        <v>137</v>
      </c>
      <c r="I136" s="117">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92"/>
    <col min="2" max="2" width="32.5703125" style="92" customWidth="1"/>
    <col min="3" max="3" width="31.85546875" style="92" customWidth="1"/>
    <col min="4" max="4" width="12" style="92" customWidth="1"/>
    <col min="5" max="5" width="13.42578125" style="92" customWidth="1"/>
    <col min="6" max="10" width="9.140625" style="92"/>
    <col min="11" max="11" width="6.85546875" style="91" customWidth="1"/>
    <col min="12" max="12" width="6.85546875" style="92" customWidth="1"/>
    <col min="13" max="13" width="8.5703125" style="92" customWidth="1"/>
    <col min="14" max="16" width="16.140625" style="92" customWidth="1"/>
    <col min="17" max="21" width="11.85546875" style="92" customWidth="1"/>
    <col min="22" max="40" width="6.85546875" style="92" customWidth="1"/>
    <col min="41" max="41" width="9.42578125" style="92" customWidth="1"/>
    <col min="42" max="47" width="6.85546875" style="92" customWidth="1"/>
    <col min="48" max="48" width="9.85546875" style="92" customWidth="1"/>
    <col min="49" max="49" width="17.85546875" style="92" bestFit="1" customWidth="1"/>
    <col min="50" max="16384" width="9.140625" style="92"/>
  </cols>
  <sheetData>
    <row r="1" spans="1:48" s="194" customFormat="1">
      <c r="A1" s="194" t="str">
        <f>IF(COM,"TS DATA","")</f>
        <v>TS DATA</v>
      </c>
      <c r="B1" s="194" t="s">
        <v>17</v>
      </c>
      <c r="J1" s="41"/>
    </row>
    <row r="2" spans="1:48" s="194" customFormat="1" ht="15.75" thickBot="1">
      <c r="A2" s="194" t="s">
        <v>16</v>
      </c>
      <c r="B2" s="324" t="s">
        <v>296</v>
      </c>
      <c r="C2" s="324"/>
      <c r="J2" s="41"/>
    </row>
    <row r="3" spans="1:48">
      <c r="A3" s="194" t="s">
        <v>16</v>
      </c>
      <c r="J3" s="91">
        <f>MATCH(J4,Drivers!$C$5:$AG$5,0)</f>
        <v>1</v>
      </c>
      <c r="K3" s="91">
        <f>MATCH(K4,Drivers!$C$5:$AG$5,0)</f>
        <v>2</v>
      </c>
      <c r="L3" s="91">
        <f>MATCH(L4,Drivers!$C$5:$AG$5,0)</f>
        <v>3</v>
      </c>
      <c r="M3" s="91">
        <f>MATCH(M4,Drivers!$C$5:$AG$5,0)</f>
        <v>4</v>
      </c>
      <c r="N3" s="91">
        <f>MATCH(N4,Drivers!$C$5:$AG$5,0)</f>
        <v>5</v>
      </c>
      <c r="O3" s="91">
        <f>MATCH(O4,Drivers!$C$5:$AG$5,0)</f>
        <v>6</v>
      </c>
      <c r="P3" s="91">
        <f>MATCH(P4,Drivers!$C$5:$AG$5,0)</f>
        <v>7</v>
      </c>
      <c r="Q3" s="91">
        <f>MATCH(Q4,Drivers!$C$5:$AG$5,0)</f>
        <v>8</v>
      </c>
      <c r="R3" s="91">
        <f>MATCH(R4,Drivers!$C$5:$AG$5,0)</f>
        <v>9</v>
      </c>
      <c r="S3" s="91">
        <f>MATCH(S4,Drivers!$C$5:$AG$5,0)</f>
        <v>10</v>
      </c>
      <c r="T3" s="91">
        <f>MATCH(T4,Drivers!$C$5:$AG$5,0)</f>
        <v>11</v>
      </c>
      <c r="U3" s="91">
        <f>MATCH(U4,Drivers!$C$5:$AG$5,0)</f>
        <v>12</v>
      </c>
      <c r="V3" s="91">
        <f>MATCH(V4,Drivers!$C$5:$AG$5,0)</f>
        <v>13</v>
      </c>
      <c r="W3" s="91">
        <f>MATCH(W4,Drivers!$C$5:$AG$5,0)</f>
        <v>14</v>
      </c>
      <c r="X3" s="91">
        <f>MATCH(X4,Drivers!$C$5:$AG$5,0)</f>
        <v>15</v>
      </c>
      <c r="Y3" s="91">
        <f>MATCH(Y4,Drivers!$C$5:$AG$5,0)</f>
        <v>16</v>
      </c>
      <c r="Z3" s="91">
        <f>MATCH(Z4,Drivers!$C$5:$AG$5,0)</f>
        <v>17</v>
      </c>
      <c r="AA3" s="91">
        <f>MATCH(AA4,Drivers!$C$5:$AG$5,0)</f>
        <v>18</v>
      </c>
      <c r="AB3" s="91">
        <f>MATCH(AB4,Drivers!$C$5:$AG$5,0)</f>
        <v>19</v>
      </c>
      <c r="AC3" s="91">
        <f>MATCH(AC4,Drivers!$C$5:$AG$5,0)</f>
        <v>20</v>
      </c>
      <c r="AD3" s="91">
        <f>MATCH(AD4,Drivers!$C$5:$AG$5,0)</f>
        <v>21</v>
      </c>
      <c r="AE3" s="91">
        <f>MATCH(AE4,Drivers!$C$5:$AG$5,0)</f>
        <v>22</v>
      </c>
      <c r="AF3" s="91">
        <f>MATCH(AF4,Drivers!$C$5:$AG$5,0)</f>
        <v>23</v>
      </c>
      <c r="AG3" s="91">
        <f>MATCH(AG4,Drivers!$C$5:$AG$5,0)</f>
        <v>24</v>
      </c>
      <c r="AH3" s="91">
        <f>MATCH(AH4,Drivers!$C$5:$AG$5,0)</f>
        <v>25</v>
      </c>
      <c r="AI3" s="91">
        <f>MATCH(AI4,Drivers!$C$5:$AG$5,0)</f>
        <v>26</v>
      </c>
      <c r="AJ3" s="91">
        <f>MATCH(AJ4,Drivers!$C$5:$AG$5,0)</f>
        <v>27</v>
      </c>
      <c r="AK3" s="91">
        <f>MATCH(AK4,Drivers!$C$5:$AG$5,0)</f>
        <v>28</v>
      </c>
      <c r="AL3" s="91">
        <f>MATCH(AL4,Drivers!$C$5:$AG$5,0)</f>
        <v>29</v>
      </c>
      <c r="AM3" s="91" t="e">
        <f>MATCH(AM4,Drivers!$C$5:$AG$5,0)</f>
        <v>#N/A</v>
      </c>
      <c r="AN3" s="91" t="e">
        <f>MATCH(AN4,Drivers!$C$5:$AG$5,0)</f>
        <v>#N/A</v>
      </c>
      <c r="AO3" s="91" t="e">
        <f>MATCH(AO4,Drivers!$C$5:$AG$5,0)</f>
        <v>#N/A</v>
      </c>
      <c r="AP3" s="91" t="e">
        <f>MATCH(AP4,Drivers!$C$5:$AG$5,0)</f>
        <v>#N/A</v>
      </c>
      <c r="AQ3" s="91">
        <f>MATCH(AQ4,Drivers!$C$5:$AG$5,0)</f>
        <v>30</v>
      </c>
      <c r="AR3" s="91" t="e">
        <f>MATCH(AR4,Drivers!$C$5:$AG$5,0)</f>
        <v>#N/A</v>
      </c>
      <c r="AS3" s="91" t="e">
        <f>MATCH(AS4,Drivers!$C$5:$AG$5,0)</f>
        <v>#N/A</v>
      </c>
      <c r="AT3" s="91" t="e">
        <f>MATCH(AT4,Drivers!$C$5:$AG$5,0)</f>
        <v>#N/A</v>
      </c>
      <c r="AU3" s="91" t="e">
        <f>MATCH(AU4,Drivers!$C$5:$AG$5,0)</f>
        <v>#N/A</v>
      </c>
      <c r="AV3" s="91">
        <f>MATCH(AV4,Drivers!$C$5:$AG$5,0)</f>
        <v>31</v>
      </c>
    </row>
    <row r="4" spans="1:48" ht="15.75" thickBot="1">
      <c r="A4" s="194" t="s">
        <v>16</v>
      </c>
      <c r="B4" s="89" t="s">
        <v>11</v>
      </c>
      <c r="C4" s="89"/>
      <c r="D4" s="89"/>
      <c r="E4" s="90"/>
      <c r="F4" s="90"/>
      <c r="G4" s="90"/>
      <c r="H4" s="90"/>
      <c r="I4" s="90"/>
      <c r="J4" s="91">
        <v>2012</v>
      </c>
      <c r="K4" s="92">
        <f>J4+1</f>
        <v>2013</v>
      </c>
      <c r="L4" s="92">
        <f>K4+1</f>
        <v>2014</v>
      </c>
      <c r="M4" s="92">
        <f t="shared" ref="M4:AR4" si="0">L4+1</f>
        <v>2015</v>
      </c>
      <c r="N4" s="92">
        <f t="shared" si="0"/>
        <v>2016</v>
      </c>
      <c r="O4" s="92">
        <f t="shared" si="0"/>
        <v>2017</v>
      </c>
      <c r="P4" s="92">
        <f t="shared" si="0"/>
        <v>2018</v>
      </c>
      <c r="Q4" s="92">
        <f t="shared" si="0"/>
        <v>2019</v>
      </c>
      <c r="R4" s="92">
        <f t="shared" si="0"/>
        <v>2020</v>
      </c>
      <c r="S4" s="92">
        <f t="shared" si="0"/>
        <v>2021</v>
      </c>
      <c r="T4" s="92">
        <f t="shared" si="0"/>
        <v>2022</v>
      </c>
      <c r="U4" s="92">
        <f t="shared" si="0"/>
        <v>2023</v>
      </c>
      <c r="V4" s="92">
        <f t="shared" si="0"/>
        <v>2024</v>
      </c>
      <c r="W4" s="92">
        <f t="shared" si="0"/>
        <v>2025</v>
      </c>
      <c r="X4" s="92">
        <f t="shared" si="0"/>
        <v>2026</v>
      </c>
      <c r="Y4" s="92">
        <f t="shared" si="0"/>
        <v>2027</v>
      </c>
      <c r="Z4" s="92">
        <f t="shared" si="0"/>
        <v>2028</v>
      </c>
      <c r="AA4" s="92">
        <f t="shared" si="0"/>
        <v>2029</v>
      </c>
      <c r="AB4" s="92">
        <f t="shared" si="0"/>
        <v>2030</v>
      </c>
      <c r="AC4" s="92">
        <f t="shared" si="0"/>
        <v>2031</v>
      </c>
      <c r="AD4" s="92">
        <f t="shared" si="0"/>
        <v>2032</v>
      </c>
      <c r="AE4" s="92">
        <f t="shared" si="0"/>
        <v>2033</v>
      </c>
      <c r="AF4" s="92">
        <f t="shared" si="0"/>
        <v>2034</v>
      </c>
      <c r="AG4" s="92">
        <f t="shared" si="0"/>
        <v>2035</v>
      </c>
      <c r="AH4" s="92">
        <f t="shared" si="0"/>
        <v>2036</v>
      </c>
      <c r="AI4" s="92">
        <f t="shared" si="0"/>
        <v>2037</v>
      </c>
      <c r="AJ4" s="92">
        <f t="shared" si="0"/>
        <v>2038</v>
      </c>
      <c r="AK4" s="92">
        <f t="shared" si="0"/>
        <v>2039</v>
      </c>
      <c r="AL4" s="92">
        <f t="shared" si="0"/>
        <v>2040</v>
      </c>
      <c r="AM4" s="92">
        <f t="shared" si="0"/>
        <v>2041</v>
      </c>
      <c r="AN4" s="92">
        <f t="shared" si="0"/>
        <v>2042</v>
      </c>
      <c r="AO4" s="92">
        <f t="shared" si="0"/>
        <v>2043</v>
      </c>
      <c r="AP4" s="92">
        <f t="shared" si="0"/>
        <v>2044</v>
      </c>
      <c r="AQ4" s="92">
        <f t="shared" si="0"/>
        <v>2045</v>
      </c>
      <c r="AR4" s="92">
        <f t="shared" si="0"/>
        <v>2046</v>
      </c>
      <c r="AS4" s="92">
        <f>AR4+1</f>
        <v>2047</v>
      </c>
      <c r="AT4" s="92">
        <f>AS4+1</f>
        <v>2048</v>
      </c>
      <c r="AU4" s="92">
        <f>AT4+1</f>
        <v>2049</v>
      </c>
      <c r="AV4" s="92">
        <f>AU4+1</f>
        <v>2050</v>
      </c>
    </row>
    <row r="5" spans="1:48" s="194" customFormat="1">
      <c r="A5" s="194" t="s">
        <v>16</v>
      </c>
      <c r="C5" s="194">
        <v>1</v>
      </c>
      <c r="D5" s="194">
        <v>2012</v>
      </c>
      <c r="E5" s="194">
        <v>2017</v>
      </c>
      <c r="F5" s="194">
        <v>2020</v>
      </c>
      <c r="G5" s="194">
        <v>2030</v>
      </c>
      <c r="H5" s="194">
        <v>2050</v>
      </c>
      <c r="I5" s="194" t="s">
        <v>392</v>
      </c>
      <c r="J5" s="194">
        <f>MATCH(J$4,$D$5:$H$5,$C5)</f>
        <v>1</v>
      </c>
      <c r="K5" s="194">
        <f t="shared" ref="K5:AV6" si="1">MATCH(K$4,$D$5:$H$5,$C5)</f>
        <v>1</v>
      </c>
      <c r="L5" s="194">
        <f t="shared" si="1"/>
        <v>1</v>
      </c>
      <c r="M5" s="194">
        <f t="shared" si="1"/>
        <v>1</v>
      </c>
      <c r="N5" s="194">
        <f t="shared" si="1"/>
        <v>1</v>
      </c>
      <c r="O5" s="194">
        <f t="shared" si="1"/>
        <v>2</v>
      </c>
      <c r="P5" s="194">
        <f t="shared" si="1"/>
        <v>2</v>
      </c>
      <c r="Q5" s="194">
        <f t="shared" si="1"/>
        <v>2</v>
      </c>
      <c r="R5" s="194">
        <f t="shared" si="1"/>
        <v>3</v>
      </c>
      <c r="S5" s="194">
        <f t="shared" si="1"/>
        <v>3</v>
      </c>
      <c r="T5" s="194">
        <f t="shared" si="1"/>
        <v>3</v>
      </c>
      <c r="U5" s="194">
        <f t="shared" si="1"/>
        <v>3</v>
      </c>
      <c r="V5" s="194">
        <f t="shared" si="1"/>
        <v>3</v>
      </c>
      <c r="W5" s="194">
        <f t="shared" si="1"/>
        <v>3</v>
      </c>
      <c r="X5" s="194">
        <f t="shared" si="1"/>
        <v>3</v>
      </c>
      <c r="Y5" s="194">
        <f t="shared" si="1"/>
        <v>3</v>
      </c>
      <c r="Z5" s="194">
        <f t="shared" si="1"/>
        <v>3</v>
      </c>
      <c r="AA5" s="194">
        <f t="shared" si="1"/>
        <v>3</v>
      </c>
      <c r="AB5" s="194">
        <f t="shared" si="1"/>
        <v>4</v>
      </c>
      <c r="AC5" s="194">
        <f t="shared" si="1"/>
        <v>4</v>
      </c>
      <c r="AD5" s="194">
        <f t="shared" si="1"/>
        <v>4</v>
      </c>
      <c r="AE5" s="194">
        <f t="shared" si="1"/>
        <v>4</v>
      </c>
      <c r="AF5" s="194">
        <f t="shared" si="1"/>
        <v>4</v>
      </c>
      <c r="AG5" s="194">
        <f t="shared" si="1"/>
        <v>4</v>
      </c>
      <c r="AH5" s="194">
        <f t="shared" si="1"/>
        <v>4</v>
      </c>
      <c r="AI5" s="194">
        <f t="shared" si="1"/>
        <v>4</v>
      </c>
      <c r="AJ5" s="194">
        <f t="shared" si="1"/>
        <v>4</v>
      </c>
      <c r="AK5" s="194">
        <f t="shared" si="1"/>
        <v>4</v>
      </c>
      <c r="AL5" s="194">
        <f t="shared" si="1"/>
        <v>4</v>
      </c>
      <c r="AM5" s="194">
        <f t="shared" si="1"/>
        <v>4</v>
      </c>
      <c r="AN5" s="194">
        <f t="shared" si="1"/>
        <v>4</v>
      </c>
      <c r="AO5" s="194">
        <f t="shared" si="1"/>
        <v>4</v>
      </c>
      <c r="AP5" s="194">
        <f t="shared" si="1"/>
        <v>4</v>
      </c>
      <c r="AQ5" s="194">
        <f t="shared" si="1"/>
        <v>4</v>
      </c>
      <c r="AR5" s="194">
        <f t="shared" si="1"/>
        <v>4</v>
      </c>
      <c r="AS5" s="194">
        <f t="shared" si="1"/>
        <v>4</v>
      </c>
      <c r="AT5" s="194">
        <f t="shared" si="1"/>
        <v>4</v>
      </c>
      <c r="AU5" s="194">
        <f t="shared" si="1"/>
        <v>4</v>
      </c>
      <c r="AV5" s="194">
        <f t="shared" si="1"/>
        <v>5</v>
      </c>
    </row>
    <row r="6" spans="1:48" s="194" customFormat="1">
      <c r="A6" s="194" t="s">
        <v>16</v>
      </c>
      <c r="C6" s="194">
        <v>0</v>
      </c>
      <c r="D6" s="194">
        <f>INDEX($D5:$H5,0,COUNT($D5:$H5)-D7)</f>
        <v>2050</v>
      </c>
      <c r="E6" s="194">
        <f>INDEX($D5:$H5,0,COUNT($D5:$H5)-E7)</f>
        <v>2030</v>
      </c>
      <c r="F6" s="194">
        <f>INDEX($D5:$H5,0,COUNT($D5:$H5)-F7)</f>
        <v>2020</v>
      </c>
      <c r="G6" s="194">
        <f>INDEX($D5:$H5,0,COUNT($D5:$H5)-G7)</f>
        <v>2017</v>
      </c>
      <c r="H6" s="194">
        <f>INDEX($D5:$H5,0,COUNT($D5:$H5)-H7)</f>
        <v>2012</v>
      </c>
      <c r="I6" s="194" t="s">
        <v>393</v>
      </c>
      <c r="J6" s="194">
        <f>MATCH(J$4,$D$5:$H$5,$C6)</f>
        <v>1</v>
      </c>
      <c r="K6" s="194" t="e">
        <f t="shared" si="1"/>
        <v>#N/A</v>
      </c>
      <c r="L6" s="194" t="e">
        <f t="shared" si="1"/>
        <v>#N/A</v>
      </c>
      <c r="M6" s="194" t="e">
        <f t="shared" si="1"/>
        <v>#N/A</v>
      </c>
      <c r="N6" s="194" t="e">
        <f t="shared" si="1"/>
        <v>#N/A</v>
      </c>
      <c r="O6" s="194">
        <f t="shared" si="1"/>
        <v>2</v>
      </c>
      <c r="P6" s="194" t="e">
        <f t="shared" si="1"/>
        <v>#N/A</v>
      </c>
      <c r="Q6" s="194" t="e">
        <f t="shared" si="1"/>
        <v>#N/A</v>
      </c>
      <c r="R6" s="194">
        <f t="shared" si="1"/>
        <v>3</v>
      </c>
      <c r="S6" s="194" t="e">
        <f t="shared" si="1"/>
        <v>#N/A</v>
      </c>
      <c r="T6" s="194" t="e">
        <f t="shared" si="1"/>
        <v>#N/A</v>
      </c>
      <c r="U6" s="194" t="e">
        <f t="shared" si="1"/>
        <v>#N/A</v>
      </c>
      <c r="V6" s="194" t="e">
        <f t="shared" si="1"/>
        <v>#N/A</v>
      </c>
      <c r="W6" s="194" t="e">
        <f t="shared" si="1"/>
        <v>#N/A</v>
      </c>
      <c r="X6" s="194" t="e">
        <f t="shared" si="1"/>
        <v>#N/A</v>
      </c>
      <c r="Y6" s="194" t="e">
        <f t="shared" si="1"/>
        <v>#N/A</v>
      </c>
      <c r="Z6" s="194" t="e">
        <f t="shared" si="1"/>
        <v>#N/A</v>
      </c>
      <c r="AA6" s="194" t="e">
        <f t="shared" si="1"/>
        <v>#N/A</v>
      </c>
      <c r="AB6" s="194">
        <f t="shared" si="1"/>
        <v>4</v>
      </c>
      <c r="AC6" s="194" t="e">
        <f t="shared" si="1"/>
        <v>#N/A</v>
      </c>
      <c r="AD6" s="194" t="e">
        <f t="shared" si="1"/>
        <v>#N/A</v>
      </c>
      <c r="AE6" s="194" t="e">
        <f t="shared" si="1"/>
        <v>#N/A</v>
      </c>
      <c r="AF6" s="194" t="e">
        <f t="shared" si="1"/>
        <v>#N/A</v>
      </c>
      <c r="AG6" s="194" t="e">
        <f t="shared" si="1"/>
        <v>#N/A</v>
      </c>
      <c r="AH6" s="194" t="e">
        <f t="shared" si="1"/>
        <v>#N/A</v>
      </c>
      <c r="AI6" s="194" t="e">
        <f t="shared" si="1"/>
        <v>#N/A</v>
      </c>
      <c r="AJ6" s="194" t="e">
        <f t="shared" si="1"/>
        <v>#N/A</v>
      </c>
      <c r="AK6" s="194" t="e">
        <f t="shared" si="1"/>
        <v>#N/A</v>
      </c>
      <c r="AL6" s="194" t="e">
        <f t="shared" si="1"/>
        <v>#N/A</v>
      </c>
      <c r="AM6" s="194" t="e">
        <f t="shared" si="1"/>
        <v>#N/A</v>
      </c>
      <c r="AN6" s="194" t="e">
        <f t="shared" si="1"/>
        <v>#N/A</v>
      </c>
      <c r="AO6" s="194" t="e">
        <f t="shared" si="1"/>
        <v>#N/A</v>
      </c>
      <c r="AP6" s="194" t="e">
        <f t="shared" si="1"/>
        <v>#N/A</v>
      </c>
      <c r="AQ6" s="194" t="e">
        <f t="shared" si="1"/>
        <v>#N/A</v>
      </c>
      <c r="AR6" s="194" t="e">
        <f t="shared" si="1"/>
        <v>#N/A</v>
      </c>
      <c r="AS6" s="194" t="e">
        <f t="shared" si="1"/>
        <v>#N/A</v>
      </c>
      <c r="AT6" s="194" t="e">
        <f t="shared" si="1"/>
        <v>#N/A</v>
      </c>
      <c r="AU6" s="194" t="e">
        <f t="shared" si="1"/>
        <v>#N/A</v>
      </c>
      <c r="AV6" s="194">
        <f t="shared" si="1"/>
        <v>5</v>
      </c>
    </row>
    <row r="7" spans="1:48" s="194" customFormat="1">
      <c r="A7" s="194" t="s">
        <v>16</v>
      </c>
      <c r="C7" s="194">
        <v>-1</v>
      </c>
      <c r="D7" s="194">
        <v>0</v>
      </c>
      <c r="E7" s="194">
        <v>1</v>
      </c>
      <c r="F7" s="194">
        <v>2</v>
      </c>
      <c r="G7" s="194">
        <v>3</v>
      </c>
      <c r="H7" s="194">
        <v>4</v>
      </c>
      <c r="I7" s="194" t="s">
        <v>391</v>
      </c>
      <c r="J7" s="194">
        <f>MATCH(J$4,$D$6:$H$6,$C7)</f>
        <v>5</v>
      </c>
      <c r="K7" s="194">
        <f t="shared" ref="K7:AV7" si="2">MATCH(K$4,$D$6:$H$6,$C7)</f>
        <v>4</v>
      </c>
      <c r="L7" s="194">
        <f t="shared" si="2"/>
        <v>4</v>
      </c>
      <c r="M7" s="194">
        <f t="shared" si="2"/>
        <v>4</v>
      </c>
      <c r="N7" s="194">
        <f t="shared" si="2"/>
        <v>4</v>
      </c>
      <c r="O7" s="194">
        <f t="shared" si="2"/>
        <v>4</v>
      </c>
      <c r="P7" s="194">
        <f t="shared" si="2"/>
        <v>3</v>
      </c>
      <c r="Q7" s="194">
        <f t="shared" si="2"/>
        <v>3</v>
      </c>
      <c r="R7" s="194">
        <f t="shared" si="2"/>
        <v>3</v>
      </c>
      <c r="S7" s="194">
        <f t="shared" si="2"/>
        <v>2</v>
      </c>
      <c r="T7" s="194">
        <f t="shared" si="2"/>
        <v>2</v>
      </c>
      <c r="U7" s="194">
        <f t="shared" si="2"/>
        <v>2</v>
      </c>
      <c r="V7" s="194">
        <f t="shared" si="2"/>
        <v>2</v>
      </c>
      <c r="W7" s="194">
        <f t="shared" si="2"/>
        <v>2</v>
      </c>
      <c r="X7" s="194">
        <f t="shared" si="2"/>
        <v>2</v>
      </c>
      <c r="Y7" s="194">
        <f t="shared" si="2"/>
        <v>2</v>
      </c>
      <c r="Z7" s="194">
        <f t="shared" si="2"/>
        <v>2</v>
      </c>
      <c r="AA7" s="194">
        <f t="shared" si="2"/>
        <v>2</v>
      </c>
      <c r="AB7" s="194">
        <f t="shared" si="2"/>
        <v>2</v>
      </c>
      <c r="AC7" s="194">
        <f t="shared" si="2"/>
        <v>1</v>
      </c>
      <c r="AD7" s="194">
        <f t="shared" si="2"/>
        <v>1</v>
      </c>
      <c r="AE7" s="194">
        <f t="shared" si="2"/>
        <v>1</v>
      </c>
      <c r="AF7" s="194">
        <f t="shared" si="2"/>
        <v>1</v>
      </c>
      <c r="AG7" s="194">
        <f t="shared" si="2"/>
        <v>1</v>
      </c>
      <c r="AH7" s="194">
        <f t="shared" si="2"/>
        <v>1</v>
      </c>
      <c r="AI7" s="194">
        <f t="shared" si="2"/>
        <v>1</v>
      </c>
      <c r="AJ7" s="194">
        <f t="shared" si="2"/>
        <v>1</v>
      </c>
      <c r="AK7" s="194">
        <f t="shared" si="2"/>
        <v>1</v>
      </c>
      <c r="AL7" s="194">
        <f t="shared" si="2"/>
        <v>1</v>
      </c>
      <c r="AM7" s="194">
        <f t="shared" si="2"/>
        <v>1</v>
      </c>
      <c r="AN7" s="194">
        <f t="shared" si="2"/>
        <v>1</v>
      </c>
      <c r="AO7" s="194">
        <f t="shared" si="2"/>
        <v>1</v>
      </c>
      <c r="AP7" s="194">
        <f t="shared" si="2"/>
        <v>1</v>
      </c>
      <c r="AQ7" s="194">
        <f t="shared" si="2"/>
        <v>1</v>
      </c>
      <c r="AR7" s="194">
        <f t="shared" si="2"/>
        <v>1</v>
      </c>
      <c r="AS7" s="194">
        <f t="shared" si="2"/>
        <v>1</v>
      </c>
      <c r="AT7" s="194">
        <f t="shared" si="2"/>
        <v>1</v>
      </c>
      <c r="AU7" s="194">
        <f t="shared" si="2"/>
        <v>1</v>
      </c>
      <c r="AV7" s="194">
        <f t="shared" si="2"/>
        <v>1</v>
      </c>
    </row>
    <row r="8" spans="1:48" s="194" customFormat="1">
      <c r="A8" s="194" t="s">
        <v>16</v>
      </c>
      <c r="I8" s="194"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4" t="s">
        <v>16</v>
      </c>
      <c r="B9" s="92" t="s">
        <v>9</v>
      </c>
      <c r="C9" s="92" t="s">
        <v>10</v>
      </c>
      <c r="J9" s="91"/>
      <c r="K9" s="92"/>
    </row>
    <row r="10" spans="1:48">
      <c r="A10" s="194" t="s">
        <v>16</v>
      </c>
      <c r="B10" s="274" t="s">
        <v>4</v>
      </c>
      <c r="C10" s="92" t="s">
        <v>3</v>
      </c>
      <c r="E10" s="92">
        <f>MATCH(B10,Drivers!A7:A22,0)</f>
        <v>2</v>
      </c>
      <c r="J10" s="195">
        <f>INDEX(Drivers!$C$7:$AG$22,$E$10,J3)</f>
        <v>1833.85</v>
      </c>
      <c r="K10" s="195">
        <f>INDEX(Drivers!$C$7:$AG$22,$E$10,K3)</f>
        <v>1884.55</v>
      </c>
      <c r="L10" s="195">
        <f>INDEX(Drivers!$C$7:$AG$22,$E$10,L3)</f>
        <v>1927.88</v>
      </c>
      <c r="M10" s="195">
        <f>INDEX(Drivers!$C$7:$AG$22,$E$10,M3)</f>
        <v>1957.41</v>
      </c>
      <c r="N10" s="195">
        <f>INDEX(Drivers!$C$7:$AG$22,$E$10,N3)</f>
        <v>1982.72</v>
      </c>
      <c r="O10" s="195">
        <f>INDEX(Drivers!$C$7:$AG$22,$E$10,O3)</f>
        <v>2007.4</v>
      </c>
      <c r="P10" s="195">
        <f>INDEX(Drivers!$C$7:$AG$22,$E$10,P3)</f>
        <v>2036.6</v>
      </c>
      <c r="Q10" s="195">
        <f>INDEX(Drivers!$C$7:$AG$22,$E$10,Q3)</f>
        <v>2071.14</v>
      </c>
      <c r="R10" s="195">
        <f>INDEX(Drivers!$C$7:$AG$22,$E$10,R3)</f>
        <v>1915.6</v>
      </c>
      <c r="S10" s="195">
        <f>INDEX(Drivers!$C$7:$AG$22,$E$10,S3)</f>
        <v>1960.19</v>
      </c>
      <c r="T10" s="195">
        <f>INDEX(Drivers!$C$7:$AG$22,$E$10,T3)</f>
        <v>2004.23</v>
      </c>
      <c r="U10" s="195">
        <f>INDEX(Drivers!$C$7:$AG$22,$E$10,U3)</f>
        <v>2048.11</v>
      </c>
      <c r="V10" s="195">
        <f>INDEX(Drivers!$C$7:$AG$22,$E$10,V3)</f>
        <v>2091.16</v>
      </c>
      <c r="W10" s="195">
        <f>INDEX(Drivers!$C$7:$AG$22,$E$10,W3)</f>
        <v>2135.91</v>
      </c>
      <c r="X10" s="195">
        <f>INDEX(Drivers!$C$7:$AG$22,$E$10,X3)</f>
        <v>2188.48</v>
      </c>
      <c r="Y10" s="195">
        <f>INDEX(Drivers!$C$7:$AG$22,$E$10,Y3)</f>
        <v>2240.58</v>
      </c>
      <c r="Z10" s="195">
        <f>INDEX(Drivers!$C$7:$AG$22,$E$10,Z3)</f>
        <v>2295.15</v>
      </c>
      <c r="AA10" s="195">
        <f>INDEX(Drivers!$C$7:$AG$22,$E$10,AA3)</f>
        <v>2351.59</v>
      </c>
      <c r="AB10" s="195">
        <f>INDEX(Drivers!$C$7:$AG$22,$E$10,AB3)</f>
        <v>2409.79</v>
      </c>
      <c r="AC10" s="195">
        <f>INDEX(Drivers!$C$7:$AG$22,$E$10,AC3)</f>
        <v>2477.56</v>
      </c>
      <c r="AD10" s="195">
        <f>INDEX(Drivers!$C$7:$AG$22,$E$10,AD3)</f>
        <v>2544.31</v>
      </c>
      <c r="AE10" s="195">
        <f>INDEX(Drivers!$C$7:$AG$22,$E$10,AE3)</f>
        <v>2617.34</v>
      </c>
      <c r="AF10" s="195">
        <f>INDEX(Drivers!$C$7:$AG$22,$E$10,AF3)</f>
        <v>2695.68</v>
      </c>
      <c r="AG10" s="195">
        <f>INDEX(Drivers!$C$7:$AG$22,$E$10,AG3)</f>
        <v>2779.08</v>
      </c>
      <c r="AH10" s="195">
        <f>INDEX(Drivers!$C$7:$AG$22,$E$10,AH3)</f>
        <v>2866.42</v>
      </c>
      <c r="AI10" s="195">
        <f>INDEX(Drivers!$C$7:$AG$22,$E$10,AI3)</f>
        <v>2957.38</v>
      </c>
      <c r="AJ10" s="195">
        <f>INDEX(Drivers!$C$7:$AG$22,$E$10,AJ3)</f>
        <v>3050.01</v>
      </c>
      <c r="AK10" s="195">
        <f>INDEX(Drivers!$C$7:$AG$22,$E$10,AK3)</f>
        <v>3146.53</v>
      </c>
      <c r="AL10" s="195">
        <f>INDEX(Drivers!$C$7:$AG$22,$E$10,AL3)</f>
        <v>3249.04</v>
      </c>
      <c r="AM10" s="195">
        <f>(AQ10-AL10)/5+AL10</f>
        <v>3365.5160000000001</v>
      </c>
      <c r="AN10" s="195">
        <f>(AQ10-AL10)/5+AM10</f>
        <v>3481.9920000000002</v>
      </c>
      <c r="AO10" s="195">
        <f>(AQ10-AL10)/5+AN10</f>
        <v>3598.4680000000003</v>
      </c>
      <c r="AP10" s="195">
        <f>(AQ10-AL10)/5+AO10</f>
        <v>3714.9440000000004</v>
      </c>
      <c r="AQ10" s="195">
        <f>INDEX(Drivers!$C$7:$AG$22,$E$10,AQ3)</f>
        <v>3831.42</v>
      </c>
      <c r="AR10" s="195">
        <f>(AV10-AQ10)/5+AQ10</f>
        <v>3977.1440000000002</v>
      </c>
      <c r="AS10" s="195">
        <f>(AV10-AQ10)/5+AR10</f>
        <v>4122.8680000000004</v>
      </c>
      <c r="AT10" s="195">
        <f>(AV10-AQ10)/5+AS10</f>
        <v>4268.5920000000006</v>
      </c>
      <c r="AU10" s="195">
        <f>(AV10-AQ10)/5+AT10</f>
        <v>4414.3160000000007</v>
      </c>
      <c r="AV10" s="195">
        <f>INDEX(Drivers!$C$7:$AG$22,$E$10,AV3)</f>
        <v>4560.04</v>
      </c>
    </row>
    <row r="11" spans="1:48">
      <c r="A11" s="194" t="s">
        <v>16</v>
      </c>
      <c r="B11" s="95" t="s">
        <v>227</v>
      </c>
      <c r="C11" s="96"/>
      <c r="D11" s="96"/>
      <c r="E11" s="96"/>
      <c r="F11" s="96"/>
      <c r="G11" s="96"/>
      <c r="H11" s="96"/>
      <c r="I11" s="96"/>
      <c r="J11" s="275" t="str">
        <f t="shared" ref="J11:AV11" si="4">INDEX($C$14:$C$18,MATCH(J$12,$B$14:$B$18,0))</f>
        <v>A</v>
      </c>
      <c r="K11" s="275" t="str">
        <f t="shared" si="4"/>
        <v>A</v>
      </c>
      <c r="L11" s="275" t="str">
        <f t="shared" si="4"/>
        <v>A</v>
      </c>
      <c r="M11" s="275" t="str">
        <f t="shared" si="4"/>
        <v>A</v>
      </c>
      <c r="N11" s="275" t="str">
        <f t="shared" si="4"/>
        <v>A</v>
      </c>
      <c r="O11" s="275" t="str">
        <f t="shared" si="4"/>
        <v>A</v>
      </c>
      <c r="P11" s="275" t="str">
        <f t="shared" si="4"/>
        <v>B</v>
      </c>
      <c r="Q11" s="275" t="str">
        <f t="shared" si="4"/>
        <v>B</v>
      </c>
      <c r="R11" s="275" t="str">
        <f t="shared" si="4"/>
        <v>B</v>
      </c>
      <c r="S11" s="275" t="str">
        <f t="shared" si="4"/>
        <v>B</v>
      </c>
      <c r="T11" s="275" t="str">
        <f t="shared" si="4"/>
        <v>B</v>
      </c>
      <c r="U11" s="275" t="str">
        <f t="shared" si="4"/>
        <v>B</v>
      </c>
      <c r="V11" s="275" t="str">
        <f t="shared" si="4"/>
        <v>B</v>
      </c>
      <c r="W11" s="275" t="str">
        <f t="shared" si="4"/>
        <v>B</v>
      </c>
      <c r="X11" s="275" t="str">
        <f t="shared" si="4"/>
        <v>B</v>
      </c>
      <c r="Y11" s="275" t="str">
        <f t="shared" si="4"/>
        <v>B</v>
      </c>
      <c r="Z11" s="275" t="str">
        <f t="shared" si="4"/>
        <v>B</v>
      </c>
      <c r="AA11" s="275" t="str">
        <f t="shared" si="4"/>
        <v>B</v>
      </c>
      <c r="AB11" s="275" t="str">
        <f t="shared" si="4"/>
        <v>B</v>
      </c>
      <c r="AC11" s="275" t="str">
        <f t="shared" si="4"/>
        <v>C</v>
      </c>
      <c r="AD11" s="275" t="str">
        <f t="shared" si="4"/>
        <v>C</v>
      </c>
      <c r="AE11" s="275" t="str">
        <f t="shared" si="4"/>
        <v>C</v>
      </c>
      <c r="AF11" s="275" t="str">
        <f t="shared" si="4"/>
        <v>C</v>
      </c>
      <c r="AG11" s="275" t="str">
        <f t="shared" si="4"/>
        <v>C</v>
      </c>
      <c r="AH11" s="275" t="str">
        <f t="shared" si="4"/>
        <v>C</v>
      </c>
      <c r="AI11" s="275" t="str">
        <f t="shared" si="4"/>
        <v>C</v>
      </c>
      <c r="AJ11" s="275" t="str">
        <f t="shared" si="4"/>
        <v>C</v>
      </c>
      <c r="AK11" s="275" t="str">
        <f t="shared" si="4"/>
        <v>C</v>
      </c>
      <c r="AL11" s="275" t="str">
        <f t="shared" si="4"/>
        <v>C</v>
      </c>
      <c r="AM11" s="275" t="str">
        <f t="shared" si="4"/>
        <v>D</v>
      </c>
      <c r="AN11" s="275" t="str">
        <f t="shared" si="4"/>
        <v>D</v>
      </c>
      <c r="AO11" s="275" t="str">
        <f t="shared" si="4"/>
        <v>D</v>
      </c>
      <c r="AP11" s="275" t="str">
        <f t="shared" si="4"/>
        <v>D</v>
      </c>
      <c r="AQ11" s="275" t="str">
        <f t="shared" si="4"/>
        <v>D</v>
      </c>
      <c r="AR11" s="275" t="str">
        <f t="shared" si="4"/>
        <v>D</v>
      </c>
      <c r="AS11" s="275" t="str">
        <f t="shared" si="4"/>
        <v>D</v>
      </c>
      <c r="AT11" s="275" t="str">
        <f t="shared" si="4"/>
        <v>D</v>
      </c>
      <c r="AU11" s="275" t="str">
        <f t="shared" si="4"/>
        <v>D</v>
      </c>
      <c r="AV11" s="275" t="str">
        <f t="shared" si="4"/>
        <v>D</v>
      </c>
    </row>
    <row r="12" spans="1:48">
      <c r="A12" s="194" t="s">
        <v>16</v>
      </c>
      <c r="B12" s="274"/>
      <c r="J12" s="91">
        <f t="array" ref="J12">SUM($B$14:$B$18*(J4&gt;=$D$14:$D$18)*(J4&lt;=$E$14:$E$18))</f>
        <v>1</v>
      </c>
      <c r="K12" s="91">
        <f t="array" ref="K12">SUM($B$14:$B$17*(K4&gt;=$D$14:$D$17)*(K4&lt;=$E$14:$E$17))</f>
        <v>1</v>
      </c>
      <c r="L12" s="91">
        <f t="array" ref="L12">SUM($B$14:$B$17*(L4&gt;=$D$14:$D$17)*(L4&lt;=$E$14:$E$17))</f>
        <v>1</v>
      </c>
      <c r="M12" s="91">
        <f t="array" ref="M12">SUM($B$14:$B$17*(M4&gt;=$D$14:$D$17)*(M4&lt;=$E$14:$E$17))</f>
        <v>1</v>
      </c>
      <c r="N12" s="91">
        <f t="array" ref="N12">SUM($B$14:$B$17*(N4&gt;=$D$14:$D$17)*(N4&lt;=$E$14:$E$17))</f>
        <v>1</v>
      </c>
      <c r="O12" s="91">
        <f t="array" ref="O12">SUM($B$14:$B$17*(O4&gt;=$D$14:$D$17)*(O4&lt;=$E$14:$E$17))</f>
        <v>1</v>
      </c>
      <c r="P12" s="91">
        <f t="array" ref="P12">SUM($B$14:$B$17*(P4&gt;=$D$14:$D$17)*(P4&lt;=$E$14:$E$17))</f>
        <v>2</v>
      </c>
      <c r="Q12" s="91">
        <f t="array" ref="Q12">SUM($B$14:$B$17*(Q4&gt;=$D$14:$D$17)*(Q4&lt;=$E$14:$E$17))</f>
        <v>2</v>
      </c>
      <c r="R12" s="91">
        <f t="array" ref="R12">SUM($B$14:$B$17*(R4&gt;=$D$14:$D$17)*(R4&lt;=$E$14:$E$17))</f>
        <v>2</v>
      </c>
      <c r="S12" s="91">
        <f t="array" ref="S12">SUM($B$14:$B$17*(S4&gt;=$D$14:$D$17)*(S4&lt;=$E$14:$E$17))</f>
        <v>2</v>
      </c>
      <c r="T12" s="91">
        <f t="array" ref="T12">SUM($B$14:$B$17*(T4&gt;=$D$14:$D$17)*(T4&lt;=$E$14:$E$17))</f>
        <v>2</v>
      </c>
      <c r="U12" s="91">
        <f t="array" ref="U12">SUM($B$14:$B$17*(U4&gt;=$D$14:$D$17)*(U4&lt;=$E$14:$E$17))</f>
        <v>2</v>
      </c>
      <c r="V12" s="91">
        <f t="array" ref="V12">SUM($B$14:$B$17*(V4&gt;=$D$14:$D$17)*(V4&lt;=$E$14:$E$17))</f>
        <v>2</v>
      </c>
      <c r="W12" s="91">
        <f t="array" ref="W12">SUM($B$14:$B$17*(W4&gt;=$D$14:$D$17)*(W4&lt;=$E$14:$E$17))</f>
        <v>2</v>
      </c>
      <c r="X12" s="91">
        <f t="array" ref="X12">SUM($B$14:$B$17*(X4&gt;=$D$14:$D$17)*(X4&lt;=$E$14:$E$17))</f>
        <v>2</v>
      </c>
      <c r="Y12" s="91">
        <f t="array" ref="Y12">SUM($B$14:$B$17*(Y4&gt;=$D$14:$D$17)*(Y4&lt;=$E$14:$E$17))</f>
        <v>2</v>
      </c>
      <c r="Z12" s="91">
        <f t="array" ref="Z12">SUM($B$14:$B$17*(Z4&gt;=$D$14:$D$17)*(Z4&lt;=$E$14:$E$17))</f>
        <v>2</v>
      </c>
      <c r="AA12" s="91">
        <f t="array" ref="AA12">SUM($B$14:$B$17*(AA4&gt;=$D$14:$D$17)*(AA4&lt;=$E$14:$E$17))</f>
        <v>2</v>
      </c>
      <c r="AB12" s="91">
        <f t="array" ref="AB12">SUM($B$14:$B$17*(AB4&gt;=$D$14:$D$17)*(AB4&lt;=$E$14:$E$17))</f>
        <v>2</v>
      </c>
      <c r="AC12" s="91">
        <f t="array" ref="AC12">SUM($B$14:$B$17*(AC4&gt;=$D$14:$D$17)*(AC4&lt;=$E$14:$E$17))</f>
        <v>3</v>
      </c>
      <c r="AD12" s="91">
        <f t="array" ref="AD12">SUM($B$14:$B$17*(AD4&gt;=$D$14:$D$17)*(AD4&lt;=$E$14:$E$17))</f>
        <v>3</v>
      </c>
      <c r="AE12" s="91">
        <f t="array" ref="AE12">SUM($B$14:$B$17*(AE4&gt;=$D$14:$D$17)*(AE4&lt;=$E$14:$E$17))</f>
        <v>3</v>
      </c>
      <c r="AF12" s="91">
        <f t="array" ref="AF12">SUM($B$14:$B$17*(AF4&gt;=$D$14:$D$17)*(AF4&lt;=$E$14:$E$17))</f>
        <v>3</v>
      </c>
      <c r="AG12" s="91">
        <f t="array" ref="AG12">SUM($B$14:$B$17*(AG4&gt;=$D$14:$D$17)*(AG4&lt;=$E$14:$E$17))</f>
        <v>3</v>
      </c>
      <c r="AH12" s="91">
        <f t="array" ref="AH12">SUM($B$14:$B$17*(AH4&gt;=$D$14:$D$17)*(AH4&lt;=$E$14:$E$17))</f>
        <v>3</v>
      </c>
      <c r="AI12" s="91">
        <f t="array" ref="AI12">SUM($B$14:$B$17*(AI4&gt;=$D$14:$D$17)*(AI4&lt;=$E$14:$E$17))</f>
        <v>3</v>
      </c>
      <c r="AJ12" s="91">
        <f t="array" ref="AJ12">SUM($B$14:$B$17*(AJ4&gt;=$D$14:$D$17)*(AJ4&lt;=$E$14:$E$17))</f>
        <v>3</v>
      </c>
      <c r="AK12" s="91">
        <f t="array" ref="AK12">SUM($B$14:$B$17*(AK4&gt;=$D$14:$D$17)*(AK4&lt;=$E$14:$E$17))</f>
        <v>3</v>
      </c>
      <c r="AL12" s="91">
        <f t="array" ref="AL12">SUM($B$14:$B$17*(AL4&gt;=$D$14:$D$17)*(AL4&lt;=$E$14:$E$17))</f>
        <v>3</v>
      </c>
      <c r="AM12" s="91">
        <f t="array" ref="AM12">SUM($B$14:$B$17*(AM4&gt;=$D$14:$D$17)*(AM4&lt;=$E$14:$E$17))</f>
        <v>4</v>
      </c>
      <c r="AN12" s="91">
        <f t="array" ref="AN12">SUM($B$14:$B$17*(AN4&gt;=$D$14:$D$17)*(AN4&lt;=$E$14:$E$17))</f>
        <v>4</v>
      </c>
      <c r="AO12" s="91">
        <f t="array" ref="AO12">SUM($B$14:$B$17*(AO4&gt;=$D$14:$D$17)*(AO4&lt;=$E$14:$E$17))</f>
        <v>4</v>
      </c>
      <c r="AP12" s="91">
        <f t="array" ref="AP12">SUM($B$14:$B$17*(AP4&gt;=$D$14:$D$17)*(AP4&lt;=$E$14:$E$17))</f>
        <v>4</v>
      </c>
      <c r="AQ12" s="91">
        <f t="array" ref="AQ12">SUM($B$14:$B$17*(AQ4&gt;=$D$14:$D$17)*(AQ4&lt;=$E$14:$E$17))</f>
        <v>4</v>
      </c>
      <c r="AR12" s="91">
        <f t="array" ref="AR12">SUM($B$14:$B$17*(AR4&gt;=$D$14:$D$17)*(AR4&lt;=$E$14:$E$17))</f>
        <v>4</v>
      </c>
      <c r="AS12" s="91">
        <f t="array" ref="AS12">SUM($B$14:$B$17*(AS4&gt;=$D$14:$D$17)*(AS4&lt;=$E$14:$E$17))</f>
        <v>4</v>
      </c>
      <c r="AT12" s="91">
        <f t="array" ref="AT12">SUM($B$14:$B$17*(AT4&gt;=$D$14:$D$17)*(AT4&lt;=$E$14:$E$17))</f>
        <v>4</v>
      </c>
      <c r="AU12" s="91">
        <f t="array" ref="AU12">SUM($B$14:$B$17*(AU4&gt;=$D$14:$D$17)*(AU4&lt;=$E$14:$E$17))</f>
        <v>4</v>
      </c>
      <c r="AV12" s="91">
        <f t="array" ref="AV12">SUM($B$14:$B$17*(AV4&gt;=$D$14:$D$17)*(AV4&lt;=$E$14:$E$17))</f>
        <v>4</v>
      </c>
    </row>
    <row r="13" spans="1:48">
      <c r="A13" s="194" t="s">
        <v>16</v>
      </c>
      <c r="B13" s="325" t="s">
        <v>228</v>
      </c>
      <c r="C13" s="326"/>
      <c r="D13" s="92" t="s">
        <v>229</v>
      </c>
      <c r="E13" s="92" t="s">
        <v>230</v>
      </c>
      <c r="J13" s="91"/>
      <c r="K13" s="92"/>
    </row>
    <row r="14" spans="1:48">
      <c r="A14" s="194" t="s">
        <v>16</v>
      </c>
      <c r="B14" s="274">
        <v>1</v>
      </c>
      <c r="C14" s="92" t="s">
        <v>109</v>
      </c>
      <c r="D14" s="97">
        <v>2012</v>
      </c>
      <c r="E14" s="97">
        <f>D14+5</f>
        <v>2017</v>
      </c>
      <c r="J14" s="91"/>
      <c r="K14" s="92"/>
      <c r="P14" s="92">
        <f>P10/O10</f>
        <v>1.0145461791371924</v>
      </c>
      <c r="Q14" s="92">
        <f t="shared" ref="Q14:T14" si="5">Q10/P10</f>
        <v>1.0169596386133752</v>
      </c>
      <c r="R14" s="92">
        <f t="shared" si="5"/>
        <v>0.92490126210685908</v>
      </c>
      <c r="S14" s="92">
        <f t="shared" si="5"/>
        <v>1.0232773021507622</v>
      </c>
      <c r="T14" s="92">
        <f t="shared" si="5"/>
        <v>1.0224672098112937</v>
      </c>
    </row>
    <row r="15" spans="1:48">
      <c r="A15" s="194" t="s">
        <v>16</v>
      </c>
      <c r="B15" s="274">
        <v>2</v>
      </c>
      <c r="C15" s="92" t="s">
        <v>231</v>
      </c>
      <c r="D15" s="97">
        <f>E14+1</f>
        <v>2018</v>
      </c>
      <c r="E15" s="97">
        <v>2030</v>
      </c>
      <c r="J15" s="91"/>
      <c r="K15" s="92"/>
    </row>
    <row r="16" spans="1:48">
      <c r="A16" s="194" t="s">
        <v>16</v>
      </c>
      <c r="B16" s="274">
        <v>3</v>
      </c>
      <c r="C16" s="92" t="s">
        <v>112</v>
      </c>
      <c r="D16" s="97">
        <v>2031</v>
      </c>
      <c r="E16" s="97">
        <v>2040</v>
      </c>
      <c r="J16" s="91"/>
      <c r="K16" s="92"/>
    </row>
    <row r="17" spans="1:48">
      <c r="A17" s="194" t="s">
        <v>16</v>
      </c>
      <c r="B17" s="274">
        <v>4</v>
      </c>
      <c r="C17" s="92" t="s">
        <v>232</v>
      </c>
      <c r="D17" s="97">
        <v>2041</v>
      </c>
      <c r="E17" s="97">
        <v>2070</v>
      </c>
      <c r="J17" s="91"/>
      <c r="K17" s="92"/>
    </row>
    <row r="18" spans="1:48">
      <c r="A18" s="194" t="s">
        <v>16</v>
      </c>
      <c r="B18" s="274"/>
      <c r="J18" s="91"/>
      <c r="K18" s="92"/>
    </row>
    <row r="19" spans="1:48" ht="15.75" thickBot="1">
      <c r="A19" s="194" t="s">
        <v>16</v>
      </c>
      <c r="B19" s="89" t="s">
        <v>511</v>
      </c>
      <c r="C19" s="89" t="s">
        <v>233</v>
      </c>
      <c r="D19" s="89"/>
      <c r="E19" s="90"/>
      <c r="F19" s="90"/>
      <c r="G19" s="90"/>
      <c r="H19" s="90"/>
      <c r="I19" s="90"/>
      <c r="J19" s="91"/>
      <c r="K19" s="92"/>
    </row>
    <row r="20" spans="1:48">
      <c r="A20" s="194" t="s">
        <v>16</v>
      </c>
      <c r="B20" s="94">
        <f>'[6]SA GDP'!$I$30</f>
        <v>0.44318133021912642</v>
      </c>
      <c r="C20" s="98">
        <v>0.01</v>
      </c>
      <c r="J20" s="91"/>
      <c r="K20" s="92"/>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row>
    <row r="21" spans="1:48">
      <c r="A21" s="194" t="s">
        <v>16</v>
      </c>
      <c r="B21" s="274"/>
      <c r="J21" s="100"/>
      <c r="K21" s="101"/>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row>
    <row r="22" spans="1:48" ht="19.5" thickBot="1">
      <c r="A22" s="194" t="s">
        <v>16</v>
      </c>
      <c r="B22" s="175" t="s">
        <v>70</v>
      </c>
      <c r="C22" s="89"/>
      <c r="D22" s="89"/>
      <c r="E22" s="102">
        <v>2006</v>
      </c>
      <c r="F22" s="102">
        <v>2010</v>
      </c>
      <c r="G22" s="102">
        <v>2020</v>
      </c>
      <c r="H22" s="102">
        <v>2030</v>
      </c>
      <c r="I22" s="102">
        <v>2050</v>
      </c>
      <c r="J22" s="91">
        <f t="shared" ref="J22:AV22" si="6">J4</f>
        <v>2012</v>
      </c>
      <c r="K22" s="92">
        <f t="shared" si="6"/>
        <v>2013</v>
      </c>
      <c r="L22" s="92">
        <f t="shared" si="6"/>
        <v>2014</v>
      </c>
      <c r="M22" s="92">
        <f t="shared" si="6"/>
        <v>2015</v>
      </c>
      <c r="N22" s="92">
        <f t="shared" si="6"/>
        <v>2016</v>
      </c>
      <c r="O22" s="92">
        <f t="shared" si="6"/>
        <v>2017</v>
      </c>
      <c r="P22" s="92">
        <f t="shared" si="6"/>
        <v>2018</v>
      </c>
      <c r="Q22" s="92">
        <f t="shared" si="6"/>
        <v>2019</v>
      </c>
      <c r="R22" s="92">
        <f t="shared" si="6"/>
        <v>2020</v>
      </c>
      <c r="S22" s="92">
        <f t="shared" si="6"/>
        <v>2021</v>
      </c>
      <c r="T22" s="92">
        <f t="shared" si="6"/>
        <v>2022</v>
      </c>
      <c r="U22" s="92">
        <f t="shared" si="6"/>
        <v>2023</v>
      </c>
      <c r="V22" s="92">
        <f t="shared" si="6"/>
        <v>2024</v>
      </c>
      <c r="W22" s="92">
        <f t="shared" si="6"/>
        <v>2025</v>
      </c>
      <c r="X22" s="92">
        <f t="shared" si="6"/>
        <v>2026</v>
      </c>
      <c r="Y22" s="92">
        <f t="shared" si="6"/>
        <v>2027</v>
      </c>
      <c r="Z22" s="92">
        <f t="shared" si="6"/>
        <v>2028</v>
      </c>
      <c r="AA22" s="92">
        <f t="shared" si="6"/>
        <v>2029</v>
      </c>
      <c r="AB22" s="92">
        <f t="shared" si="6"/>
        <v>2030</v>
      </c>
      <c r="AC22" s="92">
        <f t="shared" si="6"/>
        <v>2031</v>
      </c>
      <c r="AD22" s="92">
        <f t="shared" si="6"/>
        <v>2032</v>
      </c>
      <c r="AE22" s="92">
        <f t="shared" si="6"/>
        <v>2033</v>
      </c>
      <c r="AF22" s="92">
        <f t="shared" si="6"/>
        <v>2034</v>
      </c>
      <c r="AG22" s="92">
        <f t="shared" si="6"/>
        <v>2035</v>
      </c>
      <c r="AH22" s="92">
        <f t="shared" si="6"/>
        <v>2036</v>
      </c>
      <c r="AI22" s="92">
        <f t="shared" si="6"/>
        <v>2037</v>
      </c>
      <c r="AJ22" s="92">
        <f t="shared" si="6"/>
        <v>2038</v>
      </c>
      <c r="AK22" s="92">
        <f t="shared" si="6"/>
        <v>2039</v>
      </c>
      <c r="AL22" s="92">
        <f t="shared" si="6"/>
        <v>2040</v>
      </c>
      <c r="AM22" s="92">
        <f t="shared" si="6"/>
        <v>2041</v>
      </c>
      <c r="AN22" s="92">
        <f t="shared" si="6"/>
        <v>2042</v>
      </c>
      <c r="AO22" s="92">
        <f t="shared" si="6"/>
        <v>2043</v>
      </c>
      <c r="AP22" s="92">
        <f t="shared" si="6"/>
        <v>2044</v>
      </c>
      <c r="AQ22" s="92">
        <f t="shared" si="6"/>
        <v>2045</v>
      </c>
      <c r="AR22" s="92">
        <f t="shared" si="6"/>
        <v>2046</v>
      </c>
      <c r="AS22" s="92">
        <f t="shared" si="6"/>
        <v>2047</v>
      </c>
      <c r="AT22" s="92">
        <f t="shared" si="6"/>
        <v>2048</v>
      </c>
      <c r="AU22" s="92">
        <f t="shared" si="6"/>
        <v>2049</v>
      </c>
      <c r="AV22" s="92">
        <f t="shared" si="6"/>
        <v>2050</v>
      </c>
    </row>
    <row r="23" spans="1:48">
      <c r="A23" s="194" t="s">
        <v>16</v>
      </c>
      <c r="B23" s="274" t="str">
        <f>B10</f>
        <v>COM</v>
      </c>
      <c r="C23" s="92" t="str">
        <f>C10</f>
        <v>Commercial</v>
      </c>
      <c r="D23" s="92" t="s">
        <v>71</v>
      </c>
      <c r="J23" s="228">
        <f>[6]Forecast!I$8</f>
        <v>132.81548999999998</v>
      </c>
      <c r="K23" s="228">
        <f>[6]Forecast!J$8</f>
        <v>134.00787499999998</v>
      </c>
      <c r="L23" s="228">
        <f>[6]Forecast!K$8</f>
        <v>135.598851</v>
      </c>
      <c r="M23" s="228">
        <f>[6]Forecast!L$8</f>
        <v>136.99421599999999</v>
      </c>
      <c r="N23" s="228">
        <f>[6]Forecast!M$8</f>
        <v>138.328236</v>
      </c>
      <c r="O23" s="229">
        <f>IF(O10/N10&lt;1,N23,(1+$B$20*(O10/N10-1))*N23)</f>
        <v>139.0913265289752</v>
      </c>
      <c r="P23" s="229">
        <f t="shared" ref="P23:AO23" si="7">IF(P10/O10&lt;1,O23,(1+$B$20*(P10/O10-1))*O23)</f>
        <v>139.98799198185014</v>
      </c>
      <c r="Q23" s="229">
        <f t="shared" si="7"/>
        <v>141.04016905534132</v>
      </c>
      <c r="R23" s="229">
        <f t="shared" si="7"/>
        <v>141.04016905534132</v>
      </c>
      <c r="S23" s="229">
        <f t="shared" si="7"/>
        <v>142.49514871003987</v>
      </c>
      <c r="T23" s="229">
        <f t="shared" si="7"/>
        <v>143.9139797356068</v>
      </c>
      <c r="U23" s="229">
        <f t="shared" si="7"/>
        <v>145.31035935086177</v>
      </c>
      <c r="V23" s="229">
        <f t="shared" si="7"/>
        <v>146.66398293115881</v>
      </c>
      <c r="W23" s="229">
        <f t="shared" si="7"/>
        <v>148.05493033476128</v>
      </c>
      <c r="X23" s="229">
        <f t="shared" si="7"/>
        <v>149.66988136905539</v>
      </c>
      <c r="Y23" s="229">
        <f t="shared" si="7"/>
        <v>151.24898638253208</v>
      </c>
      <c r="Z23" s="229">
        <f t="shared" si="7"/>
        <v>152.8815399049507</v>
      </c>
      <c r="AA23" s="229">
        <f t="shared" si="7"/>
        <v>154.54768353122117</v>
      </c>
      <c r="AB23" s="229">
        <f t="shared" si="7"/>
        <v>156.24282261236783</v>
      </c>
      <c r="AC23" s="229">
        <f t="shared" si="7"/>
        <v>158.19015380554288</v>
      </c>
      <c r="AD23" s="229">
        <f t="shared" si="7"/>
        <v>160.07896259173032</v>
      </c>
      <c r="AE23" s="229">
        <f t="shared" si="7"/>
        <v>162.11528712517043</v>
      </c>
      <c r="AF23" s="229">
        <f t="shared" si="7"/>
        <v>164.26573465964745</v>
      </c>
      <c r="AG23" s="229">
        <f t="shared" si="7"/>
        <v>166.51803421552086</v>
      </c>
      <c r="AH23" s="229">
        <f t="shared" si="7"/>
        <v>168.83732322937493</v>
      </c>
      <c r="AI23" s="229">
        <f t="shared" si="7"/>
        <v>171.21175962825166</v>
      </c>
      <c r="AJ23" s="229">
        <f t="shared" si="7"/>
        <v>173.58837871134585</v>
      </c>
      <c r="AK23" s="229">
        <f t="shared" si="7"/>
        <v>176.02292565752037</v>
      </c>
      <c r="AL23" s="229">
        <f t="shared" si="7"/>
        <v>178.56439601400658</v>
      </c>
      <c r="AM23" s="229">
        <f t="shared" si="7"/>
        <v>181.40138542932024</v>
      </c>
      <c r="AN23" s="229">
        <f t="shared" si="7"/>
        <v>184.18370393598022</v>
      </c>
      <c r="AO23" s="229">
        <f t="shared" si="7"/>
        <v>186.91419863582661</v>
      </c>
      <c r="AP23" s="103">
        <f t="shared" ref="AP23:AU23" si="8">(1+$B$20*(AP10/AO10-1))*AO23</f>
        <v>189.5954810055008</v>
      </c>
      <c r="AQ23" s="103">
        <f t="shared" si="8"/>
        <v>192.22995317295272</v>
      </c>
      <c r="AR23" s="103">
        <f t="shared" si="8"/>
        <v>195.47016825127298</v>
      </c>
      <c r="AS23" s="103">
        <f t="shared" si="8"/>
        <v>198.64427633777265</v>
      </c>
      <c r="AT23" s="103">
        <f t="shared" si="8"/>
        <v>201.75591505036303</v>
      </c>
      <c r="AU23" s="103">
        <f t="shared" si="8"/>
        <v>204.80840449254097</v>
      </c>
      <c r="AV23" s="103">
        <f t="shared" ref="AV23" si="9">(1+$B$20*(AT10/AS10-1))*AU23</f>
        <v>208.01660042867366</v>
      </c>
    </row>
    <row r="24" spans="1:48">
      <c r="A24" s="194" t="s">
        <v>16</v>
      </c>
      <c r="B24" s="274" t="str">
        <f>B23 &amp; "-" &amp; "indexed"</f>
        <v>COM-indexed</v>
      </c>
      <c r="C24" s="92" t="str">
        <f>C23 &amp;"-" &amp; "indexed"</f>
        <v>Commercial-indexed</v>
      </c>
      <c r="I24" s="160"/>
      <c r="J24" s="94">
        <f>K24*(1+((J23-K23)/K23))</f>
        <v>0.9548797420688353</v>
      </c>
      <c r="K24" s="94">
        <f>L24*(1+((K23-L23)/L23))</f>
        <v>0.96345241895499323</v>
      </c>
      <c r="L24" s="94">
        <f>M24*(1+((L23-M23)/M23))</f>
        <v>0.97489077416881442</v>
      </c>
      <c r="M24" s="94">
        <f>N24*(1+((M23-N23)/N23))</f>
        <v>0.98492278000858424</v>
      </c>
      <c r="N24" s="94">
        <f>O24*(1+((N23-O23)/O23))</f>
        <v>0.99451374468834164</v>
      </c>
      <c r="O24" s="94">
        <v>1</v>
      </c>
      <c r="P24" s="94">
        <f t="shared" ref="P24:AV24" si="10">O24*(1+((P23-O23)/O23))</f>
        <v>1.0064465950196266</v>
      </c>
      <c r="Q24" s="94">
        <f t="shared" si="10"/>
        <v>1.0140112440868854</v>
      </c>
      <c r="R24" s="94">
        <f t="shared" si="10"/>
        <v>1.0140112440868854</v>
      </c>
      <c r="S24" s="94">
        <f t="shared" si="10"/>
        <v>1.0244718507329471</v>
      </c>
      <c r="T24" s="94">
        <f t="shared" si="10"/>
        <v>1.0346725660541241</v>
      </c>
      <c r="U24" s="94">
        <f t="shared" si="10"/>
        <v>1.0447118664914814</v>
      </c>
      <c r="V24" s="94">
        <f t="shared" si="10"/>
        <v>1.0544437715216275</v>
      </c>
      <c r="W24" s="94">
        <f t="shared" si="10"/>
        <v>1.0644440169597404</v>
      </c>
      <c r="X24" s="94">
        <f t="shared" si="10"/>
        <v>1.0760547411838544</v>
      </c>
      <c r="Y24" s="94">
        <f t="shared" si="10"/>
        <v>1.0874077496918848</v>
      </c>
      <c r="Z24" s="94">
        <f t="shared" si="10"/>
        <v>1.0991450273723771</v>
      </c>
      <c r="AA24" s="94">
        <f t="shared" si="10"/>
        <v>1.1111238018067655</v>
      </c>
      <c r="AB24" s="94">
        <f t="shared" si="10"/>
        <v>1.1233110396701813</v>
      </c>
      <c r="AC24" s="94">
        <f t="shared" si="10"/>
        <v>1.1373114179954926</v>
      </c>
      <c r="AD24" s="94">
        <f t="shared" si="10"/>
        <v>1.1508910482522647</v>
      </c>
      <c r="AE24" s="94">
        <f t="shared" si="10"/>
        <v>1.1655312460579554</v>
      </c>
      <c r="AF24" s="94">
        <f t="shared" si="10"/>
        <v>1.1809919335655195</v>
      </c>
      <c r="AG24" s="94">
        <f t="shared" si="10"/>
        <v>1.1971848883102871</v>
      </c>
      <c r="AH24" s="94">
        <f t="shared" si="10"/>
        <v>1.2138594651637253</v>
      </c>
      <c r="AI24" s="94">
        <f t="shared" si="10"/>
        <v>1.2309305252947256</v>
      </c>
      <c r="AJ24" s="94">
        <f t="shared" si="10"/>
        <v>1.2480172778795398</v>
      </c>
      <c r="AK24" s="94">
        <f t="shared" si="10"/>
        <v>1.2655205040470419</v>
      </c>
      <c r="AL24" s="94">
        <f t="shared" si="10"/>
        <v>1.2837924583083793</v>
      </c>
      <c r="AM24" s="94">
        <f t="shared" si="10"/>
        <v>1.3041890530214413</v>
      </c>
      <c r="AN24" s="94">
        <f t="shared" si="10"/>
        <v>1.3241925900937574</v>
      </c>
      <c r="AO24" s="94">
        <f t="shared" si="10"/>
        <v>1.3438235388235302</v>
      </c>
      <c r="AP24" s="94">
        <f t="shared" si="10"/>
        <v>1.3631006744766698</v>
      </c>
      <c r="AQ24" s="94">
        <f t="shared" si="10"/>
        <v>1.3820412672022924</v>
      </c>
      <c r="AR24" s="94">
        <f t="shared" si="10"/>
        <v>1.4053368612495982</v>
      </c>
      <c r="AS24" s="94">
        <f t="shared" si="10"/>
        <v>1.4281571776971407</v>
      </c>
      <c r="AT24" s="94">
        <f t="shared" si="10"/>
        <v>1.4505283692749431</v>
      </c>
      <c r="AU24" s="94">
        <f t="shared" si="10"/>
        <v>1.4724743059365082</v>
      </c>
      <c r="AV24" s="94">
        <f t="shared" si="10"/>
        <v>1.4955396976916466</v>
      </c>
    </row>
    <row r="25" spans="1:48">
      <c r="A25" s="194" t="s">
        <v>16</v>
      </c>
      <c r="B25" s="274" t="str">
        <f>B10 &amp; "-" &amp; "EXISTING"</f>
        <v>COM-EXISTING</v>
      </c>
      <c r="C25" s="92" t="str">
        <f>C10 &amp; "-" &amp; "existing"</f>
        <v>Commercial-existing</v>
      </c>
      <c r="D25" s="92" t="s">
        <v>53</v>
      </c>
      <c r="E25" s="104">
        <v>1</v>
      </c>
      <c r="I25" s="160"/>
      <c r="J25" s="227">
        <f>E25</f>
        <v>1</v>
      </c>
      <c r="K25" s="227">
        <v>1</v>
      </c>
      <c r="L25" s="227">
        <v>1</v>
      </c>
      <c r="M25" s="227">
        <v>1</v>
      </c>
      <c r="N25" s="227">
        <v>1</v>
      </c>
      <c r="O25" s="227">
        <f>E25</f>
        <v>1</v>
      </c>
      <c r="P25" s="94">
        <f t="shared" ref="P25:AV25" si="11">IF(O25-$C$20*(P22-O22)&lt;0,0,O25-$C$20*(P22-O22))</f>
        <v>0.99</v>
      </c>
      <c r="Q25" s="94">
        <f t="shared" si="11"/>
        <v>0.98</v>
      </c>
      <c r="R25" s="94">
        <f t="shared" si="11"/>
        <v>0.97</v>
      </c>
      <c r="S25" s="94">
        <f t="shared" si="11"/>
        <v>0.96</v>
      </c>
      <c r="T25" s="94">
        <f t="shared" si="11"/>
        <v>0.95</v>
      </c>
      <c r="U25" s="94">
        <f t="shared" si="11"/>
        <v>0.94</v>
      </c>
      <c r="V25" s="94">
        <f t="shared" si="11"/>
        <v>0.92999999999999994</v>
      </c>
      <c r="W25" s="94">
        <f t="shared" si="11"/>
        <v>0.91999999999999993</v>
      </c>
      <c r="X25" s="94">
        <f t="shared" si="11"/>
        <v>0.90999999999999992</v>
      </c>
      <c r="Y25" s="94">
        <f t="shared" si="11"/>
        <v>0.89999999999999991</v>
      </c>
      <c r="Z25" s="94">
        <f t="shared" si="11"/>
        <v>0.8899999999999999</v>
      </c>
      <c r="AA25" s="94">
        <f t="shared" si="11"/>
        <v>0.87999999999999989</v>
      </c>
      <c r="AB25" s="94">
        <f t="shared" si="11"/>
        <v>0.86999999999999988</v>
      </c>
      <c r="AC25" s="94">
        <f t="shared" si="11"/>
        <v>0.85999999999999988</v>
      </c>
      <c r="AD25" s="94">
        <f t="shared" si="11"/>
        <v>0.84999999999999987</v>
      </c>
      <c r="AE25" s="94">
        <f t="shared" si="11"/>
        <v>0.83999999999999986</v>
      </c>
      <c r="AF25" s="94">
        <f t="shared" si="11"/>
        <v>0.82999999999999985</v>
      </c>
      <c r="AG25" s="94">
        <f t="shared" si="11"/>
        <v>0.81999999999999984</v>
      </c>
      <c r="AH25" s="94">
        <f t="shared" si="11"/>
        <v>0.80999999999999983</v>
      </c>
      <c r="AI25" s="94">
        <f t="shared" si="11"/>
        <v>0.79999999999999982</v>
      </c>
      <c r="AJ25" s="94">
        <f t="shared" si="11"/>
        <v>0.78999999999999981</v>
      </c>
      <c r="AK25" s="94">
        <f t="shared" si="11"/>
        <v>0.7799999999999998</v>
      </c>
      <c r="AL25" s="94">
        <f t="shared" si="11"/>
        <v>0.7699999999999998</v>
      </c>
      <c r="AM25" s="94">
        <f t="shared" si="11"/>
        <v>0.75999999999999979</v>
      </c>
      <c r="AN25" s="94">
        <f t="shared" si="11"/>
        <v>0.74999999999999978</v>
      </c>
      <c r="AO25" s="94">
        <f t="shared" si="11"/>
        <v>0.73999999999999977</v>
      </c>
      <c r="AP25" s="94">
        <f t="shared" si="11"/>
        <v>0.72999999999999976</v>
      </c>
      <c r="AQ25" s="94">
        <f t="shared" si="11"/>
        <v>0.71999999999999975</v>
      </c>
      <c r="AR25" s="94">
        <f t="shared" si="11"/>
        <v>0.70999999999999974</v>
      </c>
      <c r="AS25" s="94">
        <f t="shared" si="11"/>
        <v>0.69999999999999973</v>
      </c>
      <c r="AT25" s="94">
        <f t="shared" si="11"/>
        <v>0.68999999999999972</v>
      </c>
      <c r="AU25" s="94">
        <f t="shared" si="11"/>
        <v>0.67999999999999972</v>
      </c>
      <c r="AV25" s="94">
        <f t="shared" si="11"/>
        <v>0.66999999999999971</v>
      </c>
    </row>
    <row r="26" spans="1:48">
      <c r="A26" s="194" t="s">
        <v>16</v>
      </c>
      <c r="B26" s="274"/>
      <c r="I26" s="160"/>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row>
    <row r="27" spans="1:48">
      <c r="A27" s="194" t="s">
        <v>16</v>
      </c>
      <c r="B27" s="274" t="s">
        <v>486</v>
      </c>
      <c r="C27" s="276">
        <v>0.2</v>
      </c>
      <c r="I27" s="160"/>
      <c r="J27" s="94"/>
      <c r="K27" s="94"/>
      <c r="L27" s="94"/>
      <c r="M27" s="94"/>
      <c r="N27" s="94"/>
      <c r="O27" s="94"/>
      <c r="P27" s="94"/>
      <c r="Q27" s="94"/>
      <c r="R27" s="94"/>
      <c r="S27" s="94"/>
      <c r="T27" s="94"/>
      <c r="U27" s="94"/>
      <c r="V27" s="94"/>
      <c r="W27" s="94"/>
      <c r="X27" s="94"/>
      <c r="Y27" s="94"/>
      <c r="Z27" s="94"/>
      <c r="AH27" s="94"/>
      <c r="AI27" s="94"/>
      <c r="AJ27" s="94"/>
      <c r="AK27" s="94"/>
      <c r="AL27" s="94"/>
      <c r="AM27" s="94"/>
      <c r="AN27" s="94"/>
      <c r="AO27" s="94"/>
      <c r="AP27" s="94"/>
      <c r="AQ27" s="94"/>
      <c r="AR27" s="94"/>
      <c r="AS27" s="94"/>
      <c r="AT27" s="94"/>
      <c r="AU27" s="94"/>
      <c r="AV27" s="94"/>
    </row>
    <row r="28" spans="1:48">
      <c r="A28" s="194" t="s">
        <v>16</v>
      </c>
      <c r="B28" s="274"/>
      <c r="I28" s="160"/>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row>
    <row r="29" spans="1:48">
      <c r="A29" s="194" t="s">
        <v>16</v>
      </c>
      <c r="B29" s="277" t="s">
        <v>490</v>
      </c>
      <c r="C29" s="173"/>
      <c r="D29" s="173"/>
      <c r="I29" s="160"/>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row>
    <row r="30" spans="1:48">
      <c r="A30" s="194" t="s">
        <v>16</v>
      </c>
      <c r="B30" s="274" t="s">
        <v>487</v>
      </c>
      <c r="D30" s="92" t="s">
        <v>71</v>
      </c>
      <c r="I30" s="160"/>
      <c r="J30" s="227">
        <f>J23</f>
        <v>132.81548999999998</v>
      </c>
      <c r="K30" s="227">
        <f t="shared" ref="K30:O30" si="12">K23</f>
        <v>134.00787499999998</v>
      </c>
      <c r="L30" s="227">
        <f t="shared" si="12"/>
        <v>135.598851</v>
      </c>
      <c r="M30" s="227">
        <f t="shared" si="12"/>
        <v>136.99421599999999</v>
      </c>
      <c r="N30" s="227">
        <f t="shared" si="12"/>
        <v>138.328236</v>
      </c>
      <c r="O30" s="227">
        <f t="shared" si="12"/>
        <v>139.0913265289752</v>
      </c>
      <c r="P30" s="94">
        <f>P25*$O$23</f>
        <v>137.70041326368545</v>
      </c>
      <c r="Q30" s="94">
        <f t="shared" ref="Q30:AV30" si="13">Q25*$O$23</f>
        <v>136.30949999839569</v>
      </c>
      <c r="R30" s="94">
        <f t="shared" si="13"/>
        <v>134.91858673310594</v>
      </c>
      <c r="S30" s="94">
        <f t="shared" si="13"/>
        <v>133.52767346781619</v>
      </c>
      <c r="T30" s="94">
        <f t="shared" si="13"/>
        <v>132.13676020252643</v>
      </c>
      <c r="U30" s="94">
        <f t="shared" si="13"/>
        <v>130.74584693723668</v>
      </c>
      <c r="V30" s="94">
        <f t="shared" si="13"/>
        <v>129.35493367194692</v>
      </c>
      <c r="W30" s="94">
        <f t="shared" si="13"/>
        <v>127.96402040665717</v>
      </c>
      <c r="X30" s="94">
        <f t="shared" si="13"/>
        <v>126.57310714136742</v>
      </c>
      <c r="Y30" s="94">
        <f t="shared" si="13"/>
        <v>125.18219387607768</v>
      </c>
      <c r="Z30" s="94">
        <f t="shared" si="13"/>
        <v>123.79128061078792</v>
      </c>
      <c r="AA30" s="94">
        <f t="shared" si="13"/>
        <v>122.40036734549817</v>
      </c>
      <c r="AB30" s="94">
        <f t="shared" si="13"/>
        <v>121.00945408020841</v>
      </c>
      <c r="AC30" s="94">
        <f t="shared" si="13"/>
        <v>119.61854081491866</v>
      </c>
      <c r="AD30" s="94">
        <f t="shared" si="13"/>
        <v>118.22762754962891</v>
      </c>
      <c r="AE30" s="94">
        <f t="shared" si="13"/>
        <v>116.83671428433915</v>
      </c>
      <c r="AF30" s="94">
        <f t="shared" si="13"/>
        <v>115.4458010190494</v>
      </c>
      <c r="AG30" s="94">
        <f t="shared" si="13"/>
        <v>114.05488775375964</v>
      </c>
      <c r="AH30" s="94">
        <f t="shared" si="13"/>
        <v>112.66397448846989</v>
      </c>
      <c r="AI30" s="94">
        <f t="shared" si="13"/>
        <v>111.27306122318014</v>
      </c>
      <c r="AJ30" s="94">
        <f t="shared" si="13"/>
        <v>109.88214795789038</v>
      </c>
      <c r="AK30" s="94">
        <f t="shared" si="13"/>
        <v>108.49123469260063</v>
      </c>
      <c r="AL30" s="94">
        <f t="shared" si="13"/>
        <v>107.10032142731087</v>
      </c>
      <c r="AM30" s="94">
        <f t="shared" si="13"/>
        <v>105.70940816202112</v>
      </c>
      <c r="AN30" s="94">
        <f t="shared" si="13"/>
        <v>104.31849489673137</v>
      </c>
      <c r="AO30" s="94">
        <f t="shared" si="13"/>
        <v>102.92758163144161</v>
      </c>
      <c r="AP30" s="94">
        <f t="shared" si="13"/>
        <v>101.53666836615186</v>
      </c>
      <c r="AQ30" s="94">
        <f t="shared" si="13"/>
        <v>100.1457551008621</v>
      </c>
      <c r="AR30" s="94">
        <f t="shared" si="13"/>
        <v>98.754841835572364</v>
      </c>
      <c r="AS30" s="94">
        <f t="shared" si="13"/>
        <v>97.36392857028261</v>
      </c>
      <c r="AT30" s="94">
        <f t="shared" si="13"/>
        <v>95.973015304992856</v>
      </c>
      <c r="AU30" s="94">
        <f t="shared" si="13"/>
        <v>94.582102039703102</v>
      </c>
      <c r="AV30" s="94">
        <f t="shared" si="13"/>
        <v>93.191188774413348</v>
      </c>
    </row>
    <row r="31" spans="1:48">
      <c r="A31" s="194" t="s">
        <v>16</v>
      </c>
      <c r="B31" s="274" t="s">
        <v>488</v>
      </c>
      <c r="D31" s="92" t="s">
        <v>71</v>
      </c>
      <c r="I31" s="160"/>
      <c r="J31" s="94">
        <f>J23-J30</f>
        <v>0</v>
      </c>
      <c r="K31" s="94">
        <f t="shared" ref="K31:AV31" si="14">K23-K30</f>
        <v>0</v>
      </c>
      <c r="L31" s="94">
        <f t="shared" si="14"/>
        <v>0</v>
      </c>
      <c r="M31" s="94">
        <f t="shared" si="14"/>
        <v>0</v>
      </c>
      <c r="N31" s="94">
        <f t="shared" si="14"/>
        <v>0</v>
      </c>
      <c r="O31" s="94">
        <f t="shared" si="14"/>
        <v>0</v>
      </c>
      <c r="P31" s="94">
        <f t="shared" si="14"/>
        <v>2.2875787181646956</v>
      </c>
      <c r="Q31" s="94">
        <f t="shared" si="14"/>
        <v>4.7306690569456293</v>
      </c>
      <c r="R31" s="94">
        <f t="shared" si="14"/>
        <v>6.1215823222353833</v>
      </c>
      <c r="S31" s="94">
        <f t="shared" si="14"/>
        <v>8.967475242223685</v>
      </c>
      <c r="T31" s="94">
        <f t="shared" si="14"/>
        <v>11.77721953308037</v>
      </c>
      <c r="U31" s="94">
        <f t="shared" si="14"/>
        <v>14.564512413625096</v>
      </c>
      <c r="V31" s="94">
        <f t="shared" si="14"/>
        <v>17.309049259211889</v>
      </c>
      <c r="W31" s="94">
        <f t="shared" si="14"/>
        <v>20.090909928104111</v>
      </c>
      <c r="X31" s="94">
        <f t="shared" si="14"/>
        <v>23.096774227687973</v>
      </c>
      <c r="Y31" s="94">
        <f t="shared" si="14"/>
        <v>26.066792506454405</v>
      </c>
      <c r="Z31" s="94">
        <f t="shared" si="14"/>
        <v>29.090259294162777</v>
      </c>
      <c r="AA31" s="94">
        <f t="shared" si="14"/>
        <v>32.147316185723</v>
      </c>
      <c r="AB31" s="94">
        <f t="shared" si="14"/>
        <v>35.233368532159417</v>
      </c>
      <c r="AC31" s="94">
        <f t="shared" si="14"/>
        <v>38.571612990624217</v>
      </c>
      <c r="AD31" s="94">
        <f t="shared" si="14"/>
        <v>41.851335042101411</v>
      </c>
      <c r="AE31" s="94">
        <f t="shared" si="14"/>
        <v>45.278572840831274</v>
      </c>
      <c r="AF31" s="94">
        <f t="shared" si="14"/>
        <v>48.819933640598052</v>
      </c>
      <c r="AG31" s="94">
        <f t="shared" si="14"/>
        <v>52.463146461761212</v>
      </c>
      <c r="AH31" s="94">
        <f t="shared" si="14"/>
        <v>56.173348740905041</v>
      </c>
      <c r="AI31" s="94">
        <f t="shared" si="14"/>
        <v>59.93869840507152</v>
      </c>
      <c r="AJ31" s="94">
        <f t="shared" si="14"/>
        <v>63.706230753455472</v>
      </c>
      <c r="AK31" s="94">
        <f t="shared" si="14"/>
        <v>67.531690964919747</v>
      </c>
      <c r="AL31" s="94">
        <f t="shared" si="14"/>
        <v>71.464074586695702</v>
      </c>
      <c r="AM31" s="94">
        <f t="shared" si="14"/>
        <v>75.691977267299123</v>
      </c>
      <c r="AN31" s="94">
        <f t="shared" si="14"/>
        <v>79.865209039248853</v>
      </c>
      <c r="AO31" s="94">
        <f t="shared" si="14"/>
        <v>83.986617004384996</v>
      </c>
      <c r="AP31" s="94">
        <f t="shared" si="14"/>
        <v>88.058812639348943</v>
      </c>
      <c r="AQ31" s="94">
        <f t="shared" si="14"/>
        <v>92.084198072090615</v>
      </c>
      <c r="AR31" s="94">
        <f t="shared" si="14"/>
        <v>96.715326415700616</v>
      </c>
      <c r="AS31" s="94">
        <f t="shared" si="14"/>
        <v>101.28034776749004</v>
      </c>
      <c r="AT31" s="94">
        <f t="shared" si="14"/>
        <v>105.78289974537017</v>
      </c>
      <c r="AU31" s="94">
        <f t="shared" si="14"/>
        <v>110.22630245283787</v>
      </c>
      <c r="AV31" s="94">
        <f t="shared" si="14"/>
        <v>114.82541165426031</v>
      </c>
    </row>
    <row r="32" spans="1:48">
      <c r="A32" s="194" t="s">
        <v>16</v>
      </c>
      <c r="B32" s="274"/>
      <c r="I32" s="160"/>
      <c r="J32" s="94"/>
      <c r="K32" s="94"/>
      <c r="L32" s="94"/>
      <c r="M32" s="94"/>
      <c r="N32" s="94"/>
      <c r="O32" s="94"/>
      <c r="P32" s="94"/>
      <c r="Q32" s="94"/>
      <c r="R32" s="94"/>
      <c r="S32" s="94"/>
      <c r="T32" s="94"/>
      <c r="U32" s="94"/>
      <c r="V32" s="94"/>
      <c r="W32" s="94"/>
      <c r="X32" s="94"/>
      <c r="Y32" s="94"/>
      <c r="Z32" s="94"/>
      <c r="AA32" s="94"/>
      <c r="AB32" s="94"/>
      <c r="AC32" s="94"/>
      <c r="AD32" s="94"/>
      <c r="AE32" s="94"/>
      <c r="AF32" s="94"/>
      <c r="AG32" s="94"/>
      <c r="AH32" s="94"/>
      <c r="AI32" s="94"/>
      <c r="AJ32" s="94"/>
      <c r="AK32" s="94"/>
      <c r="AL32" s="94"/>
      <c r="AM32" s="94"/>
      <c r="AN32" s="94"/>
      <c r="AO32" s="94"/>
      <c r="AP32" s="94"/>
      <c r="AQ32" s="94"/>
      <c r="AR32" s="94"/>
      <c r="AS32" s="94"/>
      <c r="AT32" s="94"/>
      <c r="AU32" s="94"/>
      <c r="AV32" s="94"/>
    </row>
    <row r="33" spans="1:48">
      <c r="A33" s="194" t="s">
        <v>16</v>
      </c>
      <c r="B33" s="277" t="s">
        <v>495</v>
      </c>
      <c r="C33" s="173"/>
      <c r="D33" s="173"/>
      <c r="I33" s="160"/>
      <c r="J33" s="94"/>
      <c r="K33" s="94"/>
      <c r="L33" s="94"/>
      <c r="M33" s="94"/>
      <c r="N33" s="94"/>
      <c r="O33" s="94"/>
      <c r="P33" s="94"/>
      <c r="Q33" s="94"/>
      <c r="R33" s="94"/>
      <c r="S33" s="94"/>
      <c r="T33" s="94"/>
      <c r="U33" s="94"/>
      <c r="V33" s="94"/>
      <c r="W33" s="94"/>
      <c r="X33" s="94"/>
      <c r="Y33" s="94"/>
      <c r="Z33" s="94"/>
      <c r="AA33" s="94"/>
      <c r="AB33" s="94"/>
      <c r="AC33" s="94"/>
      <c r="AD33" s="94"/>
      <c r="AE33" s="94"/>
      <c r="AF33" s="94"/>
      <c r="AG33" s="94"/>
      <c r="AH33" s="94"/>
      <c r="AI33" s="94"/>
      <c r="AJ33" s="94"/>
      <c r="AK33" s="94"/>
      <c r="AL33" s="94"/>
      <c r="AM33" s="94"/>
      <c r="AN33" s="94"/>
      <c r="AO33" s="94"/>
      <c r="AP33" s="94"/>
      <c r="AQ33" s="94"/>
      <c r="AR33" s="94"/>
      <c r="AS33" s="94"/>
      <c r="AT33" s="94"/>
      <c r="AU33" s="94"/>
      <c r="AV33" s="94"/>
    </row>
    <row r="34" spans="1:48">
      <c r="A34" s="194" t="s">
        <v>16</v>
      </c>
      <c r="B34" s="274" t="s">
        <v>489</v>
      </c>
      <c r="D34" s="92" t="s">
        <v>71</v>
      </c>
      <c r="I34" s="160"/>
      <c r="J34" s="94">
        <f>SUM(J30:J31)*$C$27</f>
        <v>26.563097999999997</v>
      </c>
      <c r="K34" s="94">
        <f t="shared" ref="K34:AV34" si="15">SUM(K30:K31)*$C$27</f>
        <v>26.801575</v>
      </c>
      <c r="L34" s="94">
        <f t="shared" si="15"/>
        <v>27.119770200000001</v>
      </c>
      <c r="M34" s="94">
        <f t="shared" si="15"/>
        <v>27.398843200000002</v>
      </c>
      <c r="N34" s="94">
        <f t="shared" si="15"/>
        <v>27.665647200000002</v>
      </c>
      <c r="O34" s="94">
        <f t="shared" si="15"/>
        <v>27.818265305795041</v>
      </c>
      <c r="P34" s="230">
        <f t="shared" si="15"/>
        <v>27.99759839637003</v>
      </c>
      <c r="Q34" s="94">
        <f t="shared" si="15"/>
        <v>28.208033811068265</v>
      </c>
      <c r="R34" s="94">
        <f t="shared" si="15"/>
        <v>28.208033811068265</v>
      </c>
      <c r="S34" s="94">
        <f t="shared" si="15"/>
        <v>28.499029742007977</v>
      </c>
      <c r="T34" s="94">
        <f t="shared" si="15"/>
        <v>28.782795947121361</v>
      </c>
      <c r="U34" s="94">
        <f t="shared" si="15"/>
        <v>29.062071870172357</v>
      </c>
      <c r="V34" s="94">
        <f t="shared" si="15"/>
        <v>29.332796586231765</v>
      </c>
      <c r="W34" s="94">
        <f t="shared" si="15"/>
        <v>29.610986066952258</v>
      </c>
      <c r="X34" s="94">
        <f t="shared" si="15"/>
        <v>29.93397627381108</v>
      </c>
      <c r="Y34" s="94">
        <f t="shared" si="15"/>
        <v>30.249797276506417</v>
      </c>
      <c r="Z34" s="94">
        <f t="shared" si="15"/>
        <v>30.576307980990141</v>
      </c>
      <c r="AA34" s="94">
        <f t="shared" si="15"/>
        <v>30.909536706244236</v>
      </c>
      <c r="AB34" s="94">
        <f t="shared" si="15"/>
        <v>31.248564522473568</v>
      </c>
      <c r="AC34" s="94">
        <f t="shared" si="15"/>
        <v>31.638030761108578</v>
      </c>
      <c r="AD34" s="94">
        <f t="shared" si="15"/>
        <v>32.015792518346068</v>
      </c>
      <c r="AE34" s="94">
        <f t="shared" si="15"/>
        <v>32.423057425034088</v>
      </c>
      <c r="AF34" s="94">
        <f t="shared" si="15"/>
        <v>32.853146931929494</v>
      </c>
      <c r="AG34" s="94">
        <f t="shared" si="15"/>
        <v>33.30360684310417</v>
      </c>
      <c r="AH34" s="94">
        <f t="shared" si="15"/>
        <v>33.767464645874988</v>
      </c>
      <c r="AI34" s="94">
        <f t="shared" si="15"/>
        <v>34.242351925650333</v>
      </c>
      <c r="AJ34" s="94">
        <f t="shared" si="15"/>
        <v>34.717675742269172</v>
      </c>
      <c r="AK34" s="94">
        <f t="shared" si="15"/>
        <v>35.204585131504075</v>
      </c>
      <c r="AL34" s="94">
        <f t="shared" si="15"/>
        <v>35.712879202801318</v>
      </c>
      <c r="AM34" s="94">
        <f t="shared" si="15"/>
        <v>36.28027708586405</v>
      </c>
      <c r="AN34" s="94">
        <f t="shared" si="15"/>
        <v>36.836740787196042</v>
      </c>
      <c r="AO34" s="94">
        <f t="shared" si="15"/>
        <v>37.382839727165326</v>
      </c>
      <c r="AP34" s="94">
        <f t="shared" si="15"/>
        <v>37.91909620110016</v>
      </c>
      <c r="AQ34" s="94">
        <f t="shared" si="15"/>
        <v>38.445990634590544</v>
      </c>
      <c r="AR34" s="94">
        <f t="shared" si="15"/>
        <v>39.094033650254602</v>
      </c>
      <c r="AS34" s="94">
        <f t="shared" si="15"/>
        <v>39.728855267554536</v>
      </c>
      <c r="AT34" s="94">
        <f t="shared" si="15"/>
        <v>40.35118301007261</v>
      </c>
      <c r="AU34" s="94">
        <f t="shared" si="15"/>
        <v>40.961680898508199</v>
      </c>
      <c r="AV34" s="94">
        <f t="shared" si="15"/>
        <v>41.603320085734737</v>
      </c>
    </row>
    <row r="35" spans="1:48">
      <c r="A35" s="194" t="s">
        <v>16</v>
      </c>
      <c r="B35" s="274" t="s">
        <v>491</v>
      </c>
      <c r="C35" s="274"/>
      <c r="D35" s="92" t="s">
        <v>71</v>
      </c>
      <c r="E35" s="94"/>
      <c r="F35" s="94"/>
      <c r="G35" s="94"/>
      <c r="H35" s="94"/>
      <c r="I35" s="160"/>
      <c r="J35" s="94">
        <f>J30-J34*(J30/SUM(J30:J31))</f>
        <v>106.25239199999999</v>
      </c>
      <c r="K35" s="94">
        <f t="shared" ref="K35:AV35" si="16">K30-K34*(K30/SUM(K30:K31))</f>
        <v>107.20629999999998</v>
      </c>
      <c r="L35" s="94">
        <f t="shared" si="16"/>
        <v>108.47908079999999</v>
      </c>
      <c r="M35" s="94">
        <f t="shared" si="16"/>
        <v>109.59537279999999</v>
      </c>
      <c r="N35" s="94">
        <f t="shared" si="16"/>
        <v>110.66258880000001</v>
      </c>
      <c r="O35" s="94">
        <f t="shared" si="16"/>
        <v>111.27306122318016</v>
      </c>
      <c r="P35" s="230">
        <f t="shared" si="16"/>
        <v>110.16033061094836</v>
      </c>
      <c r="Q35" s="94">
        <f t="shared" si="16"/>
        <v>109.04759999871655</v>
      </c>
      <c r="R35" s="94">
        <f t="shared" si="16"/>
        <v>107.93486938648475</v>
      </c>
      <c r="S35" s="94">
        <f t="shared" si="16"/>
        <v>106.82213877425295</v>
      </c>
      <c r="T35" s="94">
        <f t="shared" si="16"/>
        <v>105.70940816202115</v>
      </c>
      <c r="U35" s="94">
        <f t="shared" si="16"/>
        <v>104.59667754978935</v>
      </c>
      <c r="V35" s="94">
        <f t="shared" si="16"/>
        <v>103.48394693755753</v>
      </c>
      <c r="W35" s="94">
        <f t="shared" si="16"/>
        <v>102.37121632532573</v>
      </c>
      <c r="X35" s="94">
        <f t="shared" si="16"/>
        <v>101.25848571309393</v>
      </c>
      <c r="Y35" s="94">
        <f t="shared" si="16"/>
        <v>100.14575510086215</v>
      </c>
      <c r="Z35" s="94">
        <f t="shared" si="16"/>
        <v>99.033024488630332</v>
      </c>
      <c r="AA35" s="94">
        <f t="shared" si="16"/>
        <v>97.920293876398532</v>
      </c>
      <c r="AB35" s="94">
        <f t="shared" si="16"/>
        <v>96.807563264166731</v>
      </c>
      <c r="AC35" s="94">
        <f t="shared" si="16"/>
        <v>95.694832651934931</v>
      </c>
      <c r="AD35" s="94">
        <f t="shared" si="16"/>
        <v>94.58210203970313</v>
      </c>
      <c r="AE35" s="94">
        <f t="shared" si="16"/>
        <v>93.469371427471316</v>
      </c>
      <c r="AF35" s="94">
        <f t="shared" si="16"/>
        <v>92.356640815239516</v>
      </c>
      <c r="AG35" s="94">
        <f t="shared" si="16"/>
        <v>91.243910203007715</v>
      </c>
      <c r="AH35" s="94">
        <f t="shared" si="16"/>
        <v>90.131179590775915</v>
      </c>
      <c r="AI35" s="94">
        <f t="shared" si="16"/>
        <v>89.018448978544114</v>
      </c>
      <c r="AJ35" s="94">
        <f t="shared" si="16"/>
        <v>87.9057183663123</v>
      </c>
      <c r="AK35" s="94">
        <f t="shared" si="16"/>
        <v>86.792987754080499</v>
      </c>
      <c r="AL35" s="94">
        <f t="shared" si="16"/>
        <v>85.680257141848699</v>
      </c>
      <c r="AM35" s="94">
        <f t="shared" si="16"/>
        <v>84.567526529616899</v>
      </c>
      <c r="AN35" s="94">
        <f t="shared" si="16"/>
        <v>83.454795917385098</v>
      </c>
      <c r="AO35" s="94">
        <f t="shared" si="16"/>
        <v>82.342065305153284</v>
      </c>
      <c r="AP35" s="94">
        <f t="shared" si="16"/>
        <v>81.229334692921483</v>
      </c>
      <c r="AQ35" s="94">
        <f t="shared" si="16"/>
        <v>80.116604080689683</v>
      </c>
      <c r="AR35" s="94">
        <f t="shared" si="16"/>
        <v>79.003873468457897</v>
      </c>
      <c r="AS35" s="94">
        <f t="shared" si="16"/>
        <v>77.891142856226082</v>
      </c>
      <c r="AT35" s="94">
        <f t="shared" si="16"/>
        <v>76.778412243994282</v>
      </c>
      <c r="AU35" s="94">
        <f t="shared" si="16"/>
        <v>75.665681631762482</v>
      </c>
      <c r="AV35" s="94">
        <f t="shared" si="16"/>
        <v>74.552951019530667</v>
      </c>
    </row>
    <row r="36" spans="1:48">
      <c r="A36" s="194" t="s">
        <v>16</v>
      </c>
      <c r="B36" s="274" t="s">
        <v>492</v>
      </c>
      <c r="C36" s="274"/>
      <c r="D36" s="92" t="s">
        <v>71</v>
      </c>
      <c r="E36" s="94"/>
      <c r="F36" s="94"/>
      <c r="G36" s="94"/>
      <c r="H36" s="94"/>
      <c r="I36" s="160"/>
      <c r="J36" s="94">
        <f>J23-J35-J34</f>
        <v>0</v>
      </c>
      <c r="K36" s="94">
        <f t="shared" ref="K36:AV36" si="17">K23-K35-K34</f>
        <v>0</v>
      </c>
      <c r="L36" s="94">
        <f t="shared" si="17"/>
        <v>0</v>
      </c>
      <c r="M36" s="94">
        <f t="shared" si="17"/>
        <v>0</v>
      </c>
      <c r="N36" s="94">
        <f t="shared" si="17"/>
        <v>0</v>
      </c>
      <c r="O36" s="94">
        <f t="shared" si="17"/>
        <v>0</v>
      </c>
      <c r="P36" s="230">
        <f t="shared" si="17"/>
        <v>1.8300629745317494</v>
      </c>
      <c r="Q36" s="94">
        <f t="shared" si="17"/>
        <v>3.7845352455565084</v>
      </c>
      <c r="R36" s="94">
        <f t="shared" si="17"/>
        <v>4.8972658577883088</v>
      </c>
      <c r="S36" s="94">
        <f t="shared" si="17"/>
        <v>7.1739801937789451</v>
      </c>
      <c r="T36" s="94">
        <f t="shared" si="17"/>
        <v>9.4217756264642922</v>
      </c>
      <c r="U36" s="94">
        <f t="shared" si="17"/>
        <v>11.651609930900069</v>
      </c>
      <c r="V36" s="94">
        <f t="shared" si="17"/>
        <v>13.847239407369514</v>
      </c>
      <c r="W36" s="94">
        <f t="shared" si="17"/>
        <v>16.07272794248329</v>
      </c>
      <c r="X36" s="94">
        <f t="shared" si="17"/>
        <v>18.477419382150376</v>
      </c>
      <c r="Y36" s="94">
        <f t="shared" si="17"/>
        <v>20.853434005163518</v>
      </c>
      <c r="Z36" s="94">
        <f t="shared" si="17"/>
        <v>23.272207435330227</v>
      </c>
      <c r="AA36" s="94">
        <f t="shared" si="17"/>
        <v>25.7178529485784</v>
      </c>
      <c r="AB36" s="94">
        <f t="shared" si="17"/>
        <v>28.186694825727532</v>
      </c>
      <c r="AC36" s="94">
        <f t="shared" si="17"/>
        <v>30.857290392499369</v>
      </c>
      <c r="AD36" s="94">
        <f t="shared" si="17"/>
        <v>33.481068033681119</v>
      </c>
      <c r="AE36" s="94">
        <f t="shared" si="17"/>
        <v>36.222858272665022</v>
      </c>
      <c r="AF36" s="94">
        <f t="shared" si="17"/>
        <v>39.05594691247844</v>
      </c>
      <c r="AG36" s="94">
        <f t="shared" si="17"/>
        <v>41.970517169408971</v>
      </c>
      <c r="AH36" s="94">
        <f t="shared" si="17"/>
        <v>44.938678992724029</v>
      </c>
      <c r="AI36" s="94">
        <f t="shared" si="17"/>
        <v>47.950958724057209</v>
      </c>
      <c r="AJ36" s="94">
        <f t="shared" si="17"/>
        <v>50.964984602764382</v>
      </c>
      <c r="AK36" s="94">
        <f t="shared" si="17"/>
        <v>54.0253527719358</v>
      </c>
      <c r="AL36" s="94">
        <f t="shared" si="17"/>
        <v>57.171259669356559</v>
      </c>
      <c r="AM36" s="94">
        <f t="shared" si="17"/>
        <v>60.553581813839294</v>
      </c>
      <c r="AN36" s="94">
        <f t="shared" si="17"/>
        <v>63.892167231399078</v>
      </c>
      <c r="AO36" s="94">
        <f t="shared" si="17"/>
        <v>67.189293603507991</v>
      </c>
      <c r="AP36" s="94">
        <f t="shared" si="17"/>
        <v>70.447050111479157</v>
      </c>
      <c r="AQ36" s="94">
        <f t="shared" si="17"/>
        <v>73.667358457672492</v>
      </c>
      <c r="AR36" s="94">
        <f t="shared" si="17"/>
        <v>77.372261132560482</v>
      </c>
      <c r="AS36" s="94">
        <f t="shared" si="17"/>
        <v>81.024278213992034</v>
      </c>
      <c r="AT36" s="94">
        <f t="shared" si="17"/>
        <v>84.626319796296144</v>
      </c>
      <c r="AU36" s="94">
        <f t="shared" si="17"/>
        <v>88.181041962270285</v>
      </c>
      <c r="AV36" s="94">
        <f t="shared" si="17"/>
        <v>91.860329323408251</v>
      </c>
    </row>
    <row r="37" spans="1:48">
      <c r="A37" s="194" t="s">
        <v>16</v>
      </c>
      <c r="B37" s="274"/>
      <c r="C37" s="274"/>
      <c r="E37" s="94"/>
      <c r="F37" s="94"/>
      <c r="G37" s="94"/>
      <c r="H37" s="94"/>
      <c r="I37" s="160"/>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4"/>
      <c r="AQ37" s="94"/>
      <c r="AR37" s="94"/>
      <c r="AS37" s="94"/>
      <c r="AT37" s="94"/>
      <c r="AU37" s="94"/>
      <c r="AV37" s="94"/>
    </row>
    <row r="38" spans="1:48">
      <c r="A38" s="194" t="s">
        <v>16</v>
      </c>
      <c r="E38" s="94"/>
      <c r="F38" s="94"/>
      <c r="G38" s="94"/>
      <c r="H38" s="94"/>
      <c r="I38" s="160"/>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c r="AK38" s="94"/>
      <c r="AL38" s="94"/>
      <c r="AM38" s="94"/>
      <c r="AN38" s="94"/>
      <c r="AO38" s="94"/>
      <c r="AP38" s="94"/>
      <c r="AQ38" s="94"/>
      <c r="AR38" s="94"/>
      <c r="AS38" s="94"/>
      <c r="AT38" s="94"/>
      <c r="AU38" s="94"/>
      <c r="AV38" s="94"/>
    </row>
    <row r="39" spans="1:48" ht="15.75">
      <c r="A39" s="194" t="s">
        <v>16</v>
      </c>
      <c r="B39" s="278" t="s">
        <v>493</v>
      </c>
      <c r="C39" s="274"/>
      <c r="E39" s="94"/>
      <c r="F39" s="94"/>
      <c r="G39" s="94"/>
      <c r="H39" s="94"/>
      <c r="I39" s="160"/>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4"/>
      <c r="AO39" s="94"/>
      <c r="AP39" s="94"/>
      <c r="AQ39" s="94"/>
      <c r="AR39" s="94"/>
      <c r="AS39" s="94"/>
      <c r="AT39" s="94"/>
      <c r="AU39" s="94"/>
      <c r="AV39" s="94"/>
    </row>
    <row r="40" spans="1:48">
      <c r="A40" s="194" t="s">
        <v>16</v>
      </c>
      <c r="B40" s="279" t="s">
        <v>499</v>
      </c>
      <c r="C40" s="274"/>
      <c r="E40" s="94"/>
      <c r="F40" s="94"/>
      <c r="G40" s="94"/>
      <c r="H40" s="94"/>
      <c r="I40" s="94"/>
      <c r="J40" s="93"/>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4"/>
    </row>
    <row r="41" spans="1:48">
      <c r="A41" s="194" t="s">
        <v>16</v>
      </c>
      <c r="B41" s="95" t="s">
        <v>234</v>
      </c>
      <c r="C41" s="95"/>
      <c r="D41" s="96" t="s">
        <v>235</v>
      </c>
      <c r="E41" s="105"/>
      <c r="F41" s="105"/>
      <c r="G41" s="105"/>
      <c r="H41" s="105"/>
      <c r="I41" s="105"/>
      <c r="J41" s="106">
        <v>0</v>
      </c>
      <c r="K41" s="105">
        <f t="shared" ref="K41:AV41" si="18">K36-J36</f>
        <v>0</v>
      </c>
      <c r="L41" s="105">
        <f t="shared" si="18"/>
        <v>0</v>
      </c>
      <c r="M41" s="105">
        <f t="shared" si="18"/>
        <v>0</v>
      </c>
      <c r="N41" s="105">
        <f t="shared" si="18"/>
        <v>0</v>
      </c>
      <c r="O41" s="105">
        <f t="shared" si="18"/>
        <v>0</v>
      </c>
      <c r="P41" s="105">
        <f t="shared" si="18"/>
        <v>1.8300629745317494</v>
      </c>
      <c r="Q41" s="105">
        <f t="shared" si="18"/>
        <v>1.9544722710247591</v>
      </c>
      <c r="R41" s="105">
        <f t="shared" si="18"/>
        <v>1.1127306122318004</v>
      </c>
      <c r="S41" s="105">
        <f t="shared" si="18"/>
        <v>2.2767143359906363</v>
      </c>
      <c r="T41" s="105">
        <f t="shared" si="18"/>
        <v>2.2477954326853471</v>
      </c>
      <c r="U41" s="105">
        <f t="shared" si="18"/>
        <v>2.2298343044357765</v>
      </c>
      <c r="V41" s="105">
        <f t="shared" si="18"/>
        <v>2.1956294764694455</v>
      </c>
      <c r="W41" s="105">
        <f t="shared" si="18"/>
        <v>2.2254885351137759</v>
      </c>
      <c r="X41" s="105">
        <f t="shared" si="18"/>
        <v>2.4046914396670864</v>
      </c>
      <c r="Y41" s="105">
        <f t="shared" si="18"/>
        <v>2.3760146230131411</v>
      </c>
      <c r="Z41" s="105">
        <f t="shared" si="18"/>
        <v>2.4187734301667092</v>
      </c>
      <c r="AA41" s="105">
        <f t="shared" si="18"/>
        <v>2.4456455132481736</v>
      </c>
      <c r="AB41" s="105">
        <f t="shared" si="18"/>
        <v>2.4688418771491314</v>
      </c>
      <c r="AC41" s="105">
        <f t="shared" si="18"/>
        <v>2.6705955667718371</v>
      </c>
      <c r="AD41" s="105">
        <f t="shared" si="18"/>
        <v>2.6237776411817499</v>
      </c>
      <c r="AE41" s="105">
        <f t="shared" si="18"/>
        <v>2.7417902389839028</v>
      </c>
      <c r="AF41" s="105">
        <f t="shared" si="18"/>
        <v>2.8330886398134183</v>
      </c>
      <c r="AG41" s="105">
        <f t="shared" si="18"/>
        <v>2.9145702569305314</v>
      </c>
      <c r="AH41" s="105">
        <f t="shared" si="18"/>
        <v>2.9681618233150573</v>
      </c>
      <c r="AI41" s="105">
        <f t="shared" si="18"/>
        <v>3.0122797313331802</v>
      </c>
      <c r="AJ41" s="105">
        <f t="shared" si="18"/>
        <v>3.014025878707173</v>
      </c>
      <c r="AK41" s="105">
        <f t="shared" si="18"/>
        <v>3.0603681691714186</v>
      </c>
      <c r="AL41" s="105">
        <f t="shared" si="18"/>
        <v>3.1459068974207582</v>
      </c>
      <c r="AM41" s="105">
        <f t="shared" si="18"/>
        <v>3.3823221444827354</v>
      </c>
      <c r="AN41" s="105">
        <f t="shared" si="18"/>
        <v>3.3385854175597842</v>
      </c>
      <c r="AO41" s="105">
        <f t="shared" si="18"/>
        <v>3.297126372108913</v>
      </c>
      <c r="AP41" s="105">
        <f t="shared" si="18"/>
        <v>3.2577565079711661</v>
      </c>
      <c r="AQ41" s="105">
        <f t="shared" si="18"/>
        <v>3.2203083461933346</v>
      </c>
      <c r="AR41" s="105">
        <f t="shared" si="18"/>
        <v>3.7049026748879896</v>
      </c>
      <c r="AS41" s="105">
        <f t="shared" si="18"/>
        <v>3.652017081431552</v>
      </c>
      <c r="AT41" s="105">
        <f t="shared" si="18"/>
        <v>3.6020415823041105</v>
      </c>
      <c r="AU41" s="105">
        <f t="shared" si="18"/>
        <v>3.554722165974141</v>
      </c>
      <c r="AV41" s="105">
        <f t="shared" si="18"/>
        <v>3.6792873611379662</v>
      </c>
    </row>
    <row r="42" spans="1:48">
      <c r="A42" s="194" t="s">
        <v>16</v>
      </c>
      <c r="B42" s="274" t="s">
        <v>236</v>
      </c>
      <c r="C42" s="274"/>
      <c r="E42" s="94"/>
      <c r="F42" s="94"/>
      <c r="G42" s="94"/>
      <c r="H42" s="94"/>
      <c r="I42" s="94"/>
      <c r="J42" s="93"/>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c r="AK42" s="94"/>
      <c r="AL42" s="94"/>
      <c r="AM42" s="94"/>
      <c r="AN42" s="94"/>
      <c r="AO42" s="94"/>
      <c r="AP42" s="94"/>
      <c r="AQ42" s="94"/>
      <c r="AR42" s="94"/>
      <c r="AS42" s="94"/>
      <c r="AT42" s="94"/>
      <c r="AU42" s="94"/>
      <c r="AV42" s="94"/>
    </row>
    <row r="43" spans="1:48">
      <c r="A43" s="194" t="s">
        <v>16</v>
      </c>
      <c r="B43" s="279" t="str">
        <f>C14</f>
        <v>A</v>
      </c>
      <c r="C43" s="274"/>
      <c r="E43" s="94"/>
      <c r="F43" s="94"/>
      <c r="G43" s="94"/>
      <c r="H43" s="94"/>
      <c r="I43" s="174"/>
      <c r="J43" s="94">
        <f t="shared" ref="J43:S46" si="19">SUM($J$41:$AV$41*(J$4=$J$4:$AV$4)*($B43=$J$11:$AV$11))</f>
        <v>0</v>
      </c>
      <c r="K43" s="94">
        <f t="shared" si="19"/>
        <v>0</v>
      </c>
      <c r="L43" s="94">
        <f t="shared" si="19"/>
        <v>0</v>
      </c>
      <c r="M43" s="94">
        <f t="shared" si="19"/>
        <v>0</v>
      </c>
      <c r="N43" s="94">
        <f t="shared" si="19"/>
        <v>0</v>
      </c>
      <c r="O43" s="94">
        <f t="shared" si="19"/>
        <v>0</v>
      </c>
      <c r="P43" s="94">
        <f t="shared" si="19"/>
        <v>0</v>
      </c>
      <c r="Q43" s="94">
        <f t="shared" si="19"/>
        <v>0</v>
      </c>
      <c r="R43" s="94">
        <f t="shared" si="19"/>
        <v>0</v>
      </c>
      <c r="S43" s="94">
        <f t="shared" si="19"/>
        <v>0</v>
      </c>
      <c r="T43" s="94">
        <f t="shared" ref="T43:AI46" si="20">SUM($J$41:$AV$41*(T$4=$J$4:$AV$4)*($B43=$J$11:$AV$11))</f>
        <v>0</v>
      </c>
      <c r="U43" s="94">
        <f t="shared" si="20"/>
        <v>0</v>
      </c>
      <c r="V43" s="94">
        <f t="shared" si="20"/>
        <v>0</v>
      </c>
      <c r="W43" s="94">
        <f t="shared" si="20"/>
        <v>0</v>
      </c>
      <c r="X43" s="94">
        <f t="shared" si="20"/>
        <v>0</v>
      </c>
      <c r="Y43" s="94">
        <f t="shared" si="20"/>
        <v>0</v>
      </c>
      <c r="Z43" s="94">
        <f t="shared" si="20"/>
        <v>0</v>
      </c>
      <c r="AA43" s="94">
        <f t="shared" si="20"/>
        <v>0</v>
      </c>
      <c r="AB43" s="94">
        <f t="shared" si="20"/>
        <v>0</v>
      </c>
      <c r="AC43" s="94">
        <f t="shared" si="20"/>
        <v>0</v>
      </c>
      <c r="AD43" s="94">
        <f t="shared" si="20"/>
        <v>0</v>
      </c>
      <c r="AE43" s="94">
        <f t="shared" si="20"/>
        <v>0</v>
      </c>
      <c r="AF43" s="94">
        <f t="shared" si="20"/>
        <v>0</v>
      </c>
      <c r="AG43" s="94">
        <f t="shared" si="20"/>
        <v>0</v>
      </c>
      <c r="AH43" s="94">
        <f t="shared" si="20"/>
        <v>0</v>
      </c>
      <c r="AI43" s="94">
        <f t="shared" si="20"/>
        <v>0</v>
      </c>
      <c r="AJ43" s="94">
        <f t="shared" ref="AJ43:AV46" si="21">SUM($J$41:$AV$41*(AJ$4=$J$4:$AV$4)*($B43=$J$11:$AV$11))</f>
        <v>0</v>
      </c>
      <c r="AK43" s="94">
        <f t="shared" si="21"/>
        <v>0</v>
      </c>
      <c r="AL43" s="94">
        <f t="shared" si="21"/>
        <v>0</v>
      </c>
      <c r="AM43" s="94">
        <f t="shared" si="21"/>
        <v>0</v>
      </c>
      <c r="AN43" s="94">
        <f t="shared" si="21"/>
        <v>0</v>
      </c>
      <c r="AO43" s="94">
        <f t="shared" si="21"/>
        <v>0</v>
      </c>
      <c r="AP43" s="94">
        <f t="shared" si="21"/>
        <v>0</v>
      </c>
      <c r="AQ43" s="94">
        <f t="shared" si="21"/>
        <v>0</v>
      </c>
      <c r="AR43" s="94">
        <f t="shared" si="21"/>
        <v>0</v>
      </c>
      <c r="AS43" s="94">
        <f t="shared" si="21"/>
        <v>0</v>
      </c>
      <c r="AT43" s="94">
        <f t="shared" si="21"/>
        <v>0</v>
      </c>
      <c r="AU43" s="94">
        <f t="shared" si="21"/>
        <v>0</v>
      </c>
      <c r="AV43" s="94">
        <f t="shared" si="21"/>
        <v>0</v>
      </c>
    </row>
    <row r="44" spans="1:48">
      <c r="A44" s="194" t="s">
        <v>16</v>
      </c>
      <c r="B44" s="279" t="str">
        <f>C15</f>
        <v>B</v>
      </c>
      <c r="C44" s="274"/>
      <c r="E44" s="94"/>
      <c r="F44" s="94"/>
      <c r="G44" s="94"/>
      <c r="H44" s="94"/>
      <c r="I44" s="174"/>
      <c r="J44" s="94">
        <f t="shared" si="19"/>
        <v>0</v>
      </c>
      <c r="K44" s="94">
        <f t="shared" si="19"/>
        <v>0</v>
      </c>
      <c r="L44" s="94">
        <f t="shared" si="19"/>
        <v>0</v>
      </c>
      <c r="M44" s="94">
        <f t="shared" si="19"/>
        <v>0</v>
      </c>
      <c r="N44" s="94">
        <f t="shared" si="19"/>
        <v>0</v>
      </c>
      <c r="O44" s="94">
        <f t="shared" si="19"/>
        <v>0</v>
      </c>
      <c r="P44" s="94">
        <f t="shared" si="19"/>
        <v>1.8300629745317494</v>
      </c>
      <c r="Q44" s="94">
        <f t="shared" si="19"/>
        <v>1.9544722710247591</v>
      </c>
      <c r="R44" s="94">
        <f t="shared" si="19"/>
        <v>1.1127306122318004</v>
      </c>
      <c r="S44" s="94">
        <f t="shared" si="19"/>
        <v>2.2767143359906363</v>
      </c>
      <c r="T44" s="94">
        <f t="shared" si="20"/>
        <v>2.2477954326853471</v>
      </c>
      <c r="U44" s="94">
        <f t="shared" si="20"/>
        <v>2.2298343044357765</v>
      </c>
      <c r="V44" s="94">
        <f t="shared" si="20"/>
        <v>2.1956294764694455</v>
      </c>
      <c r="W44" s="94">
        <f t="shared" si="20"/>
        <v>2.2254885351137759</v>
      </c>
      <c r="X44" s="94">
        <f t="shared" si="20"/>
        <v>2.4046914396670864</v>
      </c>
      <c r="Y44" s="94">
        <f t="shared" si="20"/>
        <v>2.3760146230131411</v>
      </c>
      <c r="Z44" s="94">
        <f t="shared" si="20"/>
        <v>2.4187734301667092</v>
      </c>
      <c r="AA44" s="94">
        <f t="shared" si="20"/>
        <v>2.4456455132481736</v>
      </c>
      <c r="AB44" s="94">
        <f t="shared" si="20"/>
        <v>2.4688418771491314</v>
      </c>
      <c r="AC44" s="94">
        <f t="shared" si="20"/>
        <v>0</v>
      </c>
      <c r="AD44" s="94">
        <f t="shared" si="20"/>
        <v>0</v>
      </c>
      <c r="AE44" s="94">
        <f t="shared" si="20"/>
        <v>0</v>
      </c>
      <c r="AF44" s="94">
        <f t="shared" si="20"/>
        <v>0</v>
      </c>
      <c r="AG44" s="94">
        <f t="shared" si="20"/>
        <v>0</v>
      </c>
      <c r="AH44" s="94">
        <f t="shared" si="20"/>
        <v>0</v>
      </c>
      <c r="AI44" s="94">
        <f t="shared" si="20"/>
        <v>0</v>
      </c>
      <c r="AJ44" s="94">
        <f t="shared" si="21"/>
        <v>0</v>
      </c>
      <c r="AK44" s="94">
        <f t="shared" si="21"/>
        <v>0</v>
      </c>
      <c r="AL44" s="94">
        <f t="shared" si="21"/>
        <v>0</v>
      </c>
      <c r="AM44" s="94">
        <f t="shared" si="21"/>
        <v>0</v>
      </c>
      <c r="AN44" s="94">
        <f t="shared" si="21"/>
        <v>0</v>
      </c>
      <c r="AO44" s="94">
        <f t="shared" si="21"/>
        <v>0</v>
      </c>
      <c r="AP44" s="94">
        <f t="shared" si="21"/>
        <v>0</v>
      </c>
      <c r="AQ44" s="94">
        <f t="shared" si="21"/>
        <v>0</v>
      </c>
      <c r="AR44" s="94">
        <f t="shared" si="21"/>
        <v>0</v>
      </c>
      <c r="AS44" s="94">
        <f t="shared" si="21"/>
        <v>0</v>
      </c>
      <c r="AT44" s="94">
        <f t="shared" si="21"/>
        <v>0</v>
      </c>
      <c r="AU44" s="94">
        <f t="shared" si="21"/>
        <v>0</v>
      </c>
      <c r="AV44" s="94">
        <f t="shared" si="21"/>
        <v>0</v>
      </c>
    </row>
    <row r="45" spans="1:48">
      <c r="A45" s="194" t="s">
        <v>16</v>
      </c>
      <c r="B45" s="279" t="str">
        <f>C16</f>
        <v>C</v>
      </c>
      <c r="C45" s="274"/>
      <c r="E45" s="94"/>
      <c r="F45" s="94"/>
      <c r="G45" s="94"/>
      <c r="H45" s="94"/>
      <c r="I45" s="174"/>
      <c r="J45" s="94">
        <f t="shared" si="19"/>
        <v>0</v>
      </c>
      <c r="K45" s="94">
        <f t="shared" si="19"/>
        <v>0</v>
      </c>
      <c r="L45" s="94">
        <f t="shared" si="19"/>
        <v>0</v>
      </c>
      <c r="M45" s="94">
        <f t="shared" si="19"/>
        <v>0</v>
      </c>
      <c r="N45" s="94">
        <f t="shared" si="19"/>
        <v>0</v>
      </c>
      <c r="O45" s="94">
        <f t="shared" si="19"/>
        <v>0</v>
      </c>
      <c r="P45" s="94">
        <f t="shared" si="19"/>
        <v>0</v>
      </c>
      <c r="Q45" s="94">
        <f t="shared" si="19"/>
        <v>0</v>
      </c>
      <c r="R45" s="94">
        <f t="shared" si="19"/>
        <v>0</v>
      </c>
      <c r="S45" s="94">
        <f t="shared" si="19"/>
        <v>0</v>
      </c>
      <c r="T45" s="94">
        <f t="shared" si="20"/>
        <v>0</v>
      </c>
      <c r="U45" s="94">
        <f t="shared" si="20"/>
        <v>0</v>
      </c>
      <c r="V45" s="94">
        <f t="shared" si="20"/>
        <v>0</v>
      </c>
      <c r="W45" s="94">
        <f t="shared" si="20"/>
        <v>0</v>
      </c>
      <c r="X45" s="94">
        <f t="shared" si="20"/>
        <v>0</v>
      </c>
      <c r="Y45" s="94">
        <f t="shared" si="20"/>
        <v>0</v>
      </c>
      <c r="Z45" s="94">
        <f t="shared" si="20"/>
        <v>0</v>
      </c>
      <c r="AA45" s="94">
        <f t="shared" si="20"/>
        <v>0</v>
      </c>
      <c r="AB45" s="94">
        <f t="shared" si="20"/>
        <v>0</v>
      </c>
      <c r="AC45" s="94">
        <f t="shared" si="20"/>
        <v>2.6705955667718371</v>
      </c>
      <c r="AD45" s="94">
        <f t="shared" si="20"/>
        <v>2.6237776411817499</v>
      </c>
      <c r="AE45" s="94">
        <f t="shared" si="20"/>
        <v>2.7417902389839028</v>
      </c>
      <c r="AF45" s="94">
        <f t="shared" si="20"/>
        <v>2.8330886398134183</v>
      </c>
      <c r="AG45" s="94">
        <f t="shared" si="20"/>
        <v>2.9145702569305314</v>
      </c>
      <c r="AH45" s="94">
        <f t="shared" si="20"/>
        <v>2.9681618233150573</v>
      </c>
      <c r="AI45" s="94">
        <f t="shared" si="20"/>
        <v>3.0122797313331802</v>
      </c>
      <c r="AJ45" s="94">
        <f t="shared" si="21"/>
        <v>3.014025878707173</v>
      </c>
      <c r="AK45" s="94">
        <f t="shared" si="21"/>
        <v>3.0603681691714186</v>
      </c>
      <c r="AL45" s="94">
        <f t="shared" si="21"/>
        <v>3.1459068974207582</v>
      </c>
      <c r="AM45" s="94">
        <f t="shared" si="21"/>
        <v>0</v>
      </c>
      <c r="AN45" s="94">
        <f t="shared" si="21"/>
        <v>0</v>
      </c>
      <c r="AO45" s="94">
        <f t="shared" si="21"/>
        <v>0</v>
      </c>
      <c r="AP45" s="94">
        <f t="shared" si="21"/>
        <v>0</v>
      </c>
      <c r="AQ45" s="94">
        <f t="shared" si="21"/>
        <v>0</v>
      </c>
      <c r="AR45" s="94">
        <f t="shared" si="21"/>
        <v>0</v>
      </c>
      <c r="AS45" s="94">
        <f t="shared" si="21"/>
        <v>0</v>
      </c>
      <c r="AT45" s="94">
        <f t="shared" si="21"/>
        <v>0</v>
      </c>
      <c r="AU45" s="94">
        <f t="shared" si="21"/>
        <v>0</v>
      </c>
      <c r="AV45" s="94">
        <f t="shared" si="21"/>
        <v>0</v>
      </c>
    </row>
    <row r="46" spans="1:48">
      <c r="A46" s="194" t="s">
        <v>16</v>
      </c>
      <c r="B46" s="279" t="str">
        <f>C17</f>
        <v>D</v>
      </c>
      <c r="C46" s="274"/>
      <c r="E46" s="94"/>
      <c r="F46" s="94"/>
      <c r="G46" s="94"/>
      <c r="H46" s="94"/>
      <c r="I46" s="174"/>
      <c r="J46" s="94">
        <f t="shared" si="19"/>
        <v>0</v>
      </c>
      <c r="K46" s="94">
        <f t="shared" si="19"/>
        <v>0</v>
      </c>
      <c r="L46" s="94">
        <f t="shared" si="19"/>
        <v>0</v>
      </c>
      <c r="M46" s="94">
        <f t="shared" si="19"/>
        <v>0</v>
      </c>
      <c r="N46" s="94">
        <f t="shared" si="19"/>
        <v>0</v>
      </c>
      <c r="O46" s="94">
        <f t="shared" si="19"/>
        <v>0</v>
      </c>
      <c r="P46" s="94">
        <f t="shared" si="19"/>
        <v>0</v>
      </c>
      <c r="Q46" s="94">
        <f t="shared" si="19"/>
        <v>0</v>
      </c>
      <c r="R46" s="94">
        <f t="shared" si="19"/>
        <v>0</v>
      </c>
      <c r="S46" s="94">
        <f t="shared" si="19"/>
        <v>0</v>
      </c>
      <c r="T46" s="94">
        <f t="shared" si="20"/>
        <v>0</v>
      </c>
      <c r="U46" s="94">
        <f t="shared" si="20"/>
        <v>0</v>
      </c>
      <c r="V46" s="94">
        <f t="shared" si="20"/>
        <v>0</v>
      </c>
      <c r="W46" s="94">
        <f t="shared" si="20"/>
        <v>0</v>
      </c>
      <c r="X46" s="94">
        <f t="shared" si="20"/>
        <v>0</v>
      </c>
      <c r="Y46" s="94">
        <f t="shared" si="20"/>
        <v>0</v>
      </c>
      <c r="Z46" s="94">
        <f t="shared" si="20"/>
        <v>0</v>
      </c>
      <c r="AA46" s="94">
        <f t="shared" si="20"/>
        <v>0</v>
      </c>
      <c r="AB46" s="94">
        <f t="shared" si="20"/>
        <v>0</v>
      </c>
      <c r="AC46" s="94">
        <f t="shared" si="20"/>
        <v>0</v>
      </c>
      <c r="AD46" s="94">
        <f t="shared" si="20"/>
        <v>0</v>
      </c>
      <c r="AE46" s="94">
        <f t="shared" si="20"/>
        <v>0</v>
      </c>
      <c r="AF46" s="94">
        <f t="shared" si="20"/>
        <v>0</v>
      </c>
      <c r="AG46" s="94">
        <f t="shared" si="20"/>
        <v>0</v>
      </c>
      <c r="AH46" s="94">
        <f t="shared" si="20"/>
        <v>0</v>
      </c>
      <c r="AI46" s="94">
        <f t="shared" si="20"/>
        <v>0</v>
      </c>
      <c r="AJ46" s="94">
        <f t="shared" si="21"/>
        <v>0</v>
      </c>
      <c r="AK46" s="94">
        <f t="shared" si="21"/>
        <v>0</v>
      </c>
      <c r="AL46" s="94">
        <f t="shared" si="21"/>
        <v>0</v>
      </c>
      <c r="AM46" s="94">
        <f t="shared" si="21"/>
        <v>3.3823221444827354</v>
      </c>
      <c r="AN46" s="94">
        <f t="shared" si="21"/>
        <v>3.3385854175597842</v>
      </c>
      <c r="AO46" s="94">
        <f t="shared" si="21"/>
        <v>3.297126372108913</v>
      </c>
      <c r="AP46" s="94">
        <f t="shared" si="21"/>
        <v>3.2577565079711661</v>
      </c>
      <c r="AQ46" s="94">
        <f t="shared" si="21"/>
        <v>3.2203083461933346</v>
      </c>
      <c r="AR46" s="94">
        <f t="shared" si="21"/>
        <v>3.7049026748879896</v>
      </c>
      <c r="AS46" s="94">
        <f t="shared" si="21"/>
        <v>3.652017081431552</v>
      </c>
      <c r="AT46" s="94">
        <f t="shared" si="21"/>
        <v>3.6020415823041105</v>
      </c>
      <c r="AU46" s="94">
        <f t="shared" si="21"/>
        <v>3.554722165974141</v>
      </c>
      <c r="AV46" s="94">
        <f t="shared" si="21"/>
        <v>3.6792873611379662</v>
      </c>
    </row>
    <row r="47" spans="1:48">
      <c r="A47" s="194" t="s">
        <v>16</v>
      </c>
      <c r="B47" s="274"/>
      <c r="C47" s="274"/>
      <c r="E47" s="94"/>
      <c r="F47" s="94"/>
      <c r="G47" s="94"/>
      <c r="H47" s="94"/>
      <c r="I47" s="17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4"/>
      <c r="AV47" s="94"/>
    </row>
    <row r="48" spans="1:48">
      <c r="A48" s="194" t="s">
        <v>16</v>
      </c>
      <c r="B48" s="279" t="s">
        <v>237</v>
      </c>
      <c r="C48" s="274"/>
      <c r="E48" s="94"/>
      <c r="F48" s="94"/>
      <c r="G48" s="94"/>
      <c r="H48" s="94"/>
      <c r="I48" s="17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4"/>
      <c r="AV48" s="94"/>
    </row>
    <row r="49" spans="1:48">
      <c r="A49" s="194" t="s">
        <v>16</v>
      </c>
      <c r="B49" s="279" t="str">
        <f>B43</f>
        <v>A</v>
      </c>
      <c r="C49" s="274"/>
      <c r="E49" s="94"/>
      <c r="F49" s="94"/>
      <c r="G49" s="94"/>
      <c r="H49" s="94"/>
      <c r="I49" s="174" t="str">
        <f>B43</f>
        <v>A</v>
      </c>
      <c r="J49" s="94">
        <f>J36</f>
        <v>0</v>
      </c>
      <c r="K49" s="94">
        <f t="shared" ref="K49:AV52" si="22">J49+K43</f>
        <v>0</v>
      </c>
      <c r="L49" s="94">
        <f t="shared" si="22"/>
        <v>0</v>
      </c>
      <c r="M49" s="94">
        <f t="shared" si="22"/>
        <v>0</v>
      </c>
      <c r="N49" s="94">
        <f t="shared" si="22"/>
        <v>0</v>
      </c>
      <c r="O49" s="94">
        <f t="shared" si="22"/>
        <v>0</v>
      </c>
      <c r="P49" s="94">
        <f t="shared" si="22"/>
        <v>0</v>
      </c>
      <c r="Q49" s="94">
        <f t="shared" si="22"/>
        <v>0</v>
      </c>
      <c r="R49" s="94">
        <f t="shared" si="22"/>
        <v>0</v>
      </c>
      <c r="S49" s="94">
        <f t="shared" si="22"/>
        <v>0</v>
      </c>
      <c r="T49" s="94">
        <f t="shared" si="22"/>
        <v>0</v>
      </c>
      <c r="U49" s="94">
        <f t="shared" si="22"/>
        <v>0</v>
      </c>
      <c r="V49" s="94">
        <f t="shared" si="22"/>
        <v>0</v>
      </c>
      <c r="W49" s="94">
        <f t="shared" si="22"/>
        <v>0</v>
      </c>
      <c r="X49" s="94">
        <f t="shared" si="22"/>
        <v>0</v>
      </c>
      <c r="Y49" s="94">
        <f t="shared" si="22"/>
        <v>0</v>
      </c>
      <c r="Z49" s="94">
        <f t="shared" si="22"/>
        <v>0</v>
      </c>
      <c r="AA49" s="94">
        <f t="shared" si="22"/>
        <v>0</v>
      </c>
      <c r="AB49" s="94">
        <f t="shared" si="22"/>
        <v>0</v>
      </c>
      <c r="AC49" s="94">
        <f t="shared" si="22"/>
        <v>0</v>
      </c>
      <c r="AD49" s="94">
        <f t="shared" si="22"/>
        <v>0</v>
      </c>
      <c r="AE49" s="94">
        <f t="shared" si="22"/>
        <v>0</v>
      </c>
      <c r="AF49" s="94">
        <f t="shared" si="22"/>
        <v>0</v>
      </c>
      <c r="AG49" s="94">
        <f t="shared" si="22"/>
        <v>0</v>
      </c>
      <c r="AH49" s="94">
        <f t="shared" si="22"/>
        <v>0</v>
      </c>
      <c r="AI49" s="94">
        <f t="shared" si="22"/>
        <v>0</v>
      </c>
      <c r="AJ49" s="94">
        <f t="shared" si="22"/>
        <v>0</v>
      </c>
      <c r="AK49" s="94">
        <f t="shared" si="22"/>
        <v>0</v>
      </c>
      <c r="AL49" s="94">
        <f t="shared" si="22"/>
        <v>0</v>
      </c>
      <c r="AM49" s="94">
        <f t="shared" si="22"/>
        <v>0</v>
      </c>
      <c r="AN49" s="94">
        <f t="shared" si="22"/>
        <v>0</v>
      </c>
      <c r="AO49" s="94">
        <f t="shared" si="22"/>
        <v>0</v>
      </c>
      <c r="AP49" s="94">
        <f t="shared" si="22"/>
        <v>0</v>
      </c>
      <c r="AQ49" s="94">
        <f t="shared" si="22"/>
        <v>0</v>
      </c>
      <c r="AR49" s="94">
        <f t="shared" si="22"/>
        <v>0</v>
      </c>
      <c r="AS49" s="94">
        <f t="shared" si="22"/>
        <v>0</v>
      </c>
      <c r="AT49" s="94">
        <f t="shared" si="22"/>
        <v>0</v>
      </c>
      <c r="AU49" s="94">
        <f t="shared" si="22"/>
        <v>0</v>
      </c>
      <c r="AV49" s="94">
        <f t="shared" si="22"/>
        <v>0</v>
      </c>
    </row>
    <row r="50" spans="1:48">
      <c r="A50" s="194" t="s">
        <v>16</v>
      </c>
      <c r="B50" s="279" t="str">
        <f>B44</f>
        <v>B</v>
      </c>
      <c r="C50" s="274"/>
      <c r="E50" s="94"/>
      <c r="F50" s="94"/>
      <c r="G50" s="94"/>
      <c r="H50" s="94"/>
      <c r="I50" s="174" t="str">
        <f>B44</f>
        <v>B</v>
      </c>
      <c r="J50" s="94">
        <v>0</v>
      </c>
      <c r="K50" s="94">
        <f t="shared" si="22"/>
        <v>0</v>
      </c>
      <c r="L50" s="94">
        <f t="shared" si="22"/>
        <v>0</v>
      </c>
      <c r="M50" s="94">
        <f t="shared" si="22"/>
        <v>0</v>
      </c>
      <c r="N50" s="94">
        <f t="shared" si="22"/>
        <v>0</v>
      </c>
      <c r="O50" s="94">
        <f t="shared" si="22"/>
        <v>0</v>
      </c>
      <c r="P50" s="94">
        <f t="shared" si="22"/>
        <v>1.8300629745317494</v>
      </c>
      <c r="Q50" s="94">
        <f t="shared" si="22"/>
        <v>3.7845352455565084</v>
      </c>
      <c r="R50" s="94">
        <f t="shared" si="22"/>
        <v>4.8972658577883088</v>
      </c>
      <c r="S50" s="94">
        <f t="shared" si="22"/>
        <v>7.1739801937789451</v>
      </c>
      <c r="T50" s="94">
        <f t="shared" si="22"/>
        <v>9.4217756264642922</v>
      </c>
      <c r="U50" s="94">
        <f t="shared" si="22"/>
        <v>11.651609930900069</v>
      </c>
      <c r="V50" s="94">
        <f t="shared" si="22"/>
        <v>13.847239407369514</v>
      </c>
      <c r="W50" s="94">
        <f t="shared" si="22"/>
        <v>16.07272794248329</v>
      </c>
      <c r="X50" s="94">
        <f t="shared" si="22"/>
        <v>18.477419382150376</v>
      </c>
      <c r="Y50" s="94">
        <f t="shared" si="22"/>
        <v>20.853434005163518</v>
      </c>
      <c r="Z50" s="94">
        <f t="shared" si="22"/>
        <v>23.272207435330227</v>
      </c>
      <c r="AA50" s="94">
        <f t="shared" si="22"/>
        <v>25.7178529485784</v>
      </c>
      <c r="AB50" s="94">
        <f t="shared" si="22"/>
        <v>28.186694825727532</v>
      </c>
      <c r="AC50" s="94">
        <f t="shared" si="22"/>
        <v>28.186694825727532</v>
      </c>
      <c r="AD50" s="94">
        <f t="shared" si="22"/>
        <v>28.186694825727532</v>
      </c>
      <c r="AE50" s="94">
        <f t="shared" si="22"/>
        <v>28.186694825727532</v>
      </c>
      <c r="AF50" s="94">
        <f t="shared" si="22"/>
        <v>28.186694825727532</v>
      </c>
      <c r="AG50" s="94">
        <f t="shared" si="22"/>
        <v>28.186694825727532</v>
      </c>
      <c r="AH50" s="94">
        <f t="shared" si="22"/>
        <v>28.186694825727532</v>
      </c>
      <c r="AI50" s="94">
        <f t="shared" si="22"/>
        <v>28.186694825727532</v>
      </c>
      <c r="AJ50" s="94">
        <f t="shared" si="22"/>
        <v>28.186694825727532</v>
      </c>
      <c r="AK50" s="94">
        <f t="shared" si="22"/>
        <v>28.186694825727532</v>
      </c>
      <c r="AL50" s="94">
        <f t="shared" si="22"/>
        <v>28.186694825727532</v>
      </c>
      <c r="AM50" s="94">
        <f t="shared" si="22"/>
        <v>28.186694825727532</v>
      </c>
      <c r="AN50" s="94">
        <f t="shared" si="22"/>
        <v>28.186694825727532</v>
      </c>
      <c r="AO50" s="94">
        <f t="shared" si="22"/>
        <v>28.186694825727532</v>
      </c>
      <c r="AP50" s="94">
        <f t="shared" si="22"/>
        <v>28.186694825727532</v>
      </c>
      <c r="AQ50" s="94">
        <f t="shared" si="22"/>
        <v>28.186694825727532</v>
      </c>
      <c r="AR50" s="94">
        <f t="shared" si="22"/>
        <v>28.186694825727532</v>
      </c>
      <c r="AS50" s="94">
        <f t="shared" si="22"/>
        <v>28.186694825727532</v>
      </c>
      <c r="AT50" s="94">
        <f t="shared" si="22"/>
        <v>28.186694825727532</v>
      </c>
      <c r="AU50" s="94">
        <f t="shared" si="22"/>
        <v>28.186694825727532</v>
      </c>
      <c r="AV50" s="94">
        <f t="shared" si="22"/>
        <v>28.186694825727532</v>
      </c>
    </row>
    <row r="51" spans="1:48">
      <c r="A51" s="194" t="s">
        <v>16</v>
      </c>
      <c r="B51" s="279" t="str">
        <f>B45</f>
        <v>C</v>
      </c>
      <c r="C51" s="274"/>
      <c r="E51" s="94"/>
      <c r="F51" s="94"/>
      <c r="G51" s="94"/>
      <c r="H51" s="94"/>
      <c r="I51" s="174" t="str">
        <f>B45</f>
        <v>C</v>
      </c>
      <c r="J51" s="94">
        <v>0</v>
      </c>
      <c r="K51" s="94">
        <f t="shared" si="22"/>
        <v>0</v>
      </c>
      <c r="L51" s="94">
        <f t="shared" si="22"/>
        <v>0</v>
      </c>
      <c r="M51" s="94">
        <f t="shared" si="22"/>
        <v>0</v>
      </c>
      <c r="N51" s="94">
        <f t="shared" si="22"/>
        <v>0</v>
      </c>
      <c r="O51" s="94">
        <f t="shared" si="22"/>
        <v>0</v>
      </c>
      <c r="P51" s="94">
        <f t="shared" si="22"/>
        <v>0</v>
      </c>
      <c r="Q51" s="94">
        <f t="shared" si="22"/>
        <v>0</v>
      </c>
      <c r="R51" s="94">
        <f t="shared" si="22"/>
        <v>0</v>
      </c>
      <c r="S51" s="94">
        <f t="shared" si="22"/>
        <v>0</v>
      </c>
      <c r="T51" s="94">
        <f t="shared" si="22"/>
        <v>0</v>
      </c>
      <c r="U51" s="94">
        <f t="shared" si="22"/>
        <v>0</v>
      </c>
      <c r="V51" s="94">
        <f t="shared" si="22"/>
        <v>0</v>
      </c>
      <c r="W51" s="94">
        <f t="shared" si="22"/>
        <v>0</v>
      </c>
      <c r="X51" s="94">
        <f t="shared" si="22"/>
        <v>0</v>
      </c>
      <c r="Y51" s="94">
        <f t="shared" si="22"/>
        <v>0</v>
      </c>
      <c r="Z51" s="94">
        <f t="shared" si="22"/>
        <v>0</v>
      </c>
      <c r="AA51" s="94">
        <f t="shared" si="22"/>
        <v>0</v>
      </c>
      <c r="AB51" s="94">
        <f t="shared" si="22"/>
        <v>0</v>
      </c>
      <c r="AC51" s="94">
        <f t="shared" si="22"/>
        <v>2.6705955667718371</v>
      </c>
      <c r="AD51" s="94">
        <f t="shared" si="22"/>
        <v>5.294373207953587</v>
      </c>
      <c r="AE51" s="94">
        <f t="shared" si="22"/>
        <v>8.0361634469374899</v>
      </c>
      <c r="AF51" s="94">
        <f t="shared" si="22"/>
        <v>10.869252086750908</v>
      </c>
      <c r="AG51" s="94">
        <f t="shared" si="22"/>
        <v>13.78382234368144</v>
      </c>
      <c r="AH51" s="94">
        <f t="shared" si="22"/>
        <v>16.751984166996497</v>
      </c>
      <c r="AI51" s="94">
        <f t="shared" si="22"/>
        <v>19.764263898329677</v>
      </c>
      <c r="AJ51" s="94">
        <f t="shared" si="22"/>
        <v>22.77828977703685</v>
      </c>
      <c r="AK51" s="94">
        <f t="shared" si="22"/>
        <v>25.838657946208269</v>
      </c>
      <c r="AL51" s="94">
        <f t="shared" si="22"/>
        <v>28.984564843629027</v>
      </c>
      <c r="AM51" s="94">
        <f t="shared" si="22"/>
        <v>28.984564843629027</v>
      </c>
      <c r="AN51" s="94">
        <f t="shared" si="22"/>
        <v>28.984564843629027</v>
      </c>
      <c r="AO51" s="94">
        <f t="shared" si="22"/>
        <v>28.984564843629027</v>
      </c>
      <c r="AP51" s="94">
        <f t="shared" si="22"/>
        <v>28.984564843629027</v>
      </c>
      <c r="AQ51" s="94">
        <f t="shared" si="22"/>
        <v>28.984564843629027</v>
      </c>
      <c r="AR51" s="94">
        <f t="shared" si="22"/>
        <v>28.984564843629027</v>
      </c>
      <c r="AS51" s="94">
        <f t="shared" si="22"/>
        <v>28.984564843629027</v>
      </c>
      <c r="AT51" s="94">
        <f t="shared" si="22"/>
        <v>28.984564843629027</v>
      </c>
      <c r="AU51" s="94">
        <f t="shared" si="22"/>
        <v>28.984564843629027</v>
      </c>
      <c r="AV51" s="94">
        <f t="shared" si="22"/>
        <v>28.984564843629027</v>
      </c>
    </row>
    <row r="52" spans="1:48">
      <c r="A52" s="194" t="s">
        <v>16</v>
      </c>
      <c r="B52" s="279" t="str">
        <f>B46</f>
        <v>D</v>
      </c>
      <c r="C52" s="274"/>
      <c r="E52" s="94"/>
      <c r="F52" s="94"/>
      <c r="G52" s="94"/>
      <c r="H52" s="94"/>
      <c r="I52" s="174" t="str">
        <f>B46</f>
        <v>D</v>
      </c>
      <c r="J52" s="94">
        <v>0</v>
      </c>
      <c r="K52" s="94">
        <f t="shared" si="22"/>
        <v>0</v>
      </c>
      <c r="L52" s="94">
        <f t="shared" si="22"/>
        <v>0</v>
      </c>
      <c r="M52" s="94">
        <f t="shared" si="22"/>
        <v>0</v>
      </c>
      <c r="N52" s="94">
        <f t="shared" si="22"/>
        <v>0</v>
      </c>
      <c r="O52" s="94">
        <f t="shared" si="22"/>
        <v>0</v>
      </c>
      <c r="P52" s="94">
        <f t="shared" si="22"/>
        <v>0</v>
      </c>
      <c r="Q52" s="94">
        <f t="shared" si="22"/>
        <v>0</v>
      </c>
      <c r="R52" s="94">
        <f t="shared" si="22"/>
        <v>0</v>
      </c>
      <c r="S52" s="94">
        <f t="shared" si="22"/>
        <v>0</v>
      </c>
      <c r="T52" s="94">
        <f t="shared" si="22"/>
        <v>0</v>
      </c>
      <c r="U52" s="94">
        <f t="shared" si="22"/>
        <v>0</v>
      </c>
      <c r="V52" s="94">
        <f t="shared" si="22"/>
        <v>0</v>
      </c>
      <c r="W52" s="94">
        <f t="shared" si="22"/>
        <v>0</v>
      </c>
      <c r="X52" s="94">
        <f t="shared" si="22"/>
        <v>0</v>
      </c>
      <c r="Y52" s="94">
        <f t="shared" si="22"/>
        <v>0</v>
      </c>
      <c r="Z52" s="94">
        <f t="shared" si="22"/>
        <v>0</v>
      </c>
      <c r="AA52" s="94">
        <f t="shared" si="22"/>
        <v>0</v>
      </c>
      <c r="AB52" s="94">
        <f t="shared" si="22"/>
        <v>0</v>
      </c>
      <c r="AC52" s="94">
        <f t="shared" si="22"/>
        <v>0</v>
      </c>
      <c r="AD52" s="94">
        <f t="shared" si="22"/>
        <v>0</v>
      </c>
      <c r="AE52" s="94">
        <f t="shared" si="22"/>
        <v>0</v>
      </c>
      <c r="AF52" s="94">
        <f t="shared" si="22"/>
        <v>0</v>
      </c>
      <c r="AG52" s="94">
        <f t="shared" si="22"/>
        <v>0</v>
      </c>
      <c r="AH52" s="94">
        <f t="shared" si="22"/>
        <v>0</v>
      </c>
      <c r="AI52" s="94">
        <f t="shared" si="22"/>
        <v>0</v>
      </c>
      <c r="AJ52" s="94">
        <f t="shared" si="22"/>
        <v>0</v>
      </c>
      <c r="AK52" s="94">
        <f t="shared" si="22"/>
        <v>0</v>
      </c>
      <c r="AL52" s="94">
        <f t="shared" si="22"/>
        <v>0</v>
      </c>
      <c r="AM52" s="94">
        <f t="shared" si="22"/>
        <v>3.3823221444827354</v>
      </c>
      <c r="AN52" s="94">
        <f t="shared" si="22"/>
        <v>6.7209075620425196</v>
      </c>
      <c r="AO52" s="94">
        <f t="shared" si="22"/>
        <v>10.018033934151433</v>
      </c>
      <c r="AP52" s="94">
        <f t="shared" si="22"/>
        <v>13.275790442122599</v>
      </c>
      <c r="AQ52" s="94">
        <f t="shared" si="22"/>
        <v>16.496098788315933</v>
      </c>
      <c r="AR52" s="94">
        <f t="shared" si="22"/>
        <v>20.201001463203923</v>
      </c>
      <c r="AS52" s="94">
        <f t="shared" si="22"/>
        <v>23.853018544635475</v>
      </c>
      <c r="AT52" s="94">
        <f t="shared" si="22"/>
        <v>27.455060126939586</v>
      </c>
      <c r="AU52" s="94">
        <f t="shared" si="22"/>
        <v>31.009782292913727</v>
      </c>
      <c r="AV52" s="94">
        <f t="shared" si="22"/>
        <v>34.689069654051693</v>
      </c>
    </row>
    <row r="53" spans="1:48">
      <c r="A53" s="194" t="s">
        <v>16</v>
      </c>
      <c r="B53" s="274" t="s">
        <v>238</v>
      </c>
      <c r="C53" s="274"/>
      <c r="E53" s="94"/>
      <c r="F53" s="94"/>
      <c r="G53" s="94"/>
      <c r="H53" s="94"/>
      <c r="I53" s="174"/>
      <c r="J53" s="94">
        <f t="shared" ref="J53:AV53" si="23">SUM(J49:J52)</f>
        <v>0</v>
      </c>
      <c r="K53" s="94">
        <f t="shared" si="23"/>
        <v>0</v>
      </c>
      <c r="L53" s="94">
        <f t="shared" si="23"/>
        <v>0</v>
      </c>
      <c r="M53" s="94">
        <f t="shared" si="23"/>
        <v>0</v>
      </c>
      <c r="N53" s="94">
        <f t="shared" si="23"/>
        <v>0</v>
      </c>
      <c r="O53" s="94">
        <f t="shared" si="23"/>
        <v>0</v>
      </c>
      <c r="P53" s="94">
        <f t="shared" si="23"/>
        <v>1.8300629745317494</v>
      </c>
      <c r="Q53" s="94">
        <f t="shared" si="23"/>
        <v>3.7845352455565084</v>
      </c>
      <c r="R53" s="94">
        <f t="shared" si="23"/>
        <v>4.8972658577883088</v>
      </c>
      <c r="S53" s="94">
        <f t="shared" si="23"/>
        <v>7.1739801937789451</v>
      </c>
      <c r="T53" s="94">
        <f t="shared" si="23"/>
        <v>9.4217756264642922</v>
      </c>
      <c r="U53" s="94">
        <f t="shared" si="23"/>
        <v>11.651609930900069</v>
      </c>
      <c r="V53" s="94">
        <f t="shared" si="23"/>
        <v>13.847239407369514</v>
      </c>
      <c r="W53" s="94">
        <f t="shared" si="23"/>
        <v>16.07272794248329</v>
      </c>
      <c r="X53" s="94">
        <f t="shared" si="23"/>
        <v>18.477419382150376</v>
      </c>
      <c r="Y53" s="94">
        <f t="shared" si="23"/>
        <v>20.853434005163518</v>
      </c>
      <c r="Z53" s="94">
        <f t="shared" si="23"/>
        <v>23.272207435330227</v>
      </c>
      <c r="AA53" s="94">
        <f t="shared" si="23"/>
        <v>25.7178529485784</v>
      </c>
      <c r="AB53" s="94">
        <f t="shared" si="23"/>
        <v>28.186694825727532</v>
      </c>
      <c r="AC53" s="94">
        <f t="shared" si="23"/>
        <v>30.857290392499369</v>
      </c>
      <c r="AD53" s="94">
        <f t="shared" si="23"/>
        <v>33.481068033681119</v>
      </c>
      <c r="AE53" s="94">
        <f t="shared" si="23"/>
        <v>36.222858272665022</v>
      </c>
      <c r="AF53" s="94">
        <f t="shared" si="23"/>
        <v>39.05594691247844</v>
      </c>
      <c r="AG53" s="94">
        <f t="shared" si="23"/>
        <v>41.970517169408971</v>
      </c>
      <c r="AH53" s="94">
        <f t="shared" si="23"/>
        <v>44.938678992724029</v>
      </c>
      <c r="AI53" s="94">
        <f t="shared" si="23"/>
        <v>47.950958724057209</v>
      </c>
      <c r="AJ53" s="94">
        <f t="shared" si="23"/>
        <v>50.964984602764382</v>
      </c>
      <c r="AK53" s="94">
        <f t="shared" si="23"/>
        <v>54.0253527719358</v>
      </c>
      <c r="AL53" s="94">
        <f t="shared" si="23"/>
        <v>57.171259669356559</v>
      </c>
      <c r="AM53" s="94">
        <f t="shared" si="23"/>
        <v>60.553581813839294</v>
      </c>
      <c r="AN53" s="94">
        <f t="shared" si="23"/>
        <v>63.892167231399078</v>
      </c>
      <c r="AO53" s="94">
        <f t="shared" si="23"/>
        <v>67.189293603507991</v>
      </c>
      <c r="AP53" s="94">
        <f t="shared" si="23"/>
        <v>70.447050111479157</v>
      </c>
      <c r="AQ53" s="94">
        <f t="shared" si="23"/>
        <v>73.667358457672492</v>
      </c>
      <c r="AR53" s="94">
        <f t="shared" si="23"/>
        <v>77.372261132560482</v>
      </c>
      <c r="AS53" s="94">
        <f t="shared" si="23"/>
        <v>81.024278213992034</v>
      </c>
      <c r="AT53" s="94">
        <f t="shared" si="23"/>
        <v>84.626319796296144</v>
      </c>
      <c r="AU53" s="94">
        <f t="shared" si="23"/>
        <v>88.181041962270285</v>
      </c>
      <c r="AV53" s="94">
        <f t="shared" si="23"/>
        <v>91.860329323408251</v>
      </c>
    </row>
    <row r="54" spans="1:48">
      <c r="A54" s="194" t="s">
        <v>16</v>
      </c>
      <c r="B54" s="274"/>
      <c r="I54" s="160"/>
      <c r="J54" s="94"/>
      <c r="K54" s="92"/>
      <c r="AV54" s="94"/>
    </row>
    <row r="55" spans="1:48" ht="15.75" thickBot="1">
      <c r="A55" s="194" t="s">
        <v>16</v>
      </c>
      <c r="B55" s="90" t="s">
        <v>14</v>
      </c>
      <c r="C55" s="90" t="s">
        <v>498</v>
      </c>
      <c r="D55" s="90" t="s">
        <v>496</v>
      </c>
      <c r="E55" s="90">
        <v>2017</v>
      </c>
      <c r="F55" s="90" t="s">
        <v>497</v>
      </c>
      <c r="G55" s="92">
        <v>2017</v>
      </c>
      <c r="I55" s="160"/>
      <c r="K55" s="92"/>
    </row>
    <row r="56" spans="1:48">
      <c r="A56" s="194" t="s">
        <v>16</v>
      </c>
      <c r="B56" s="94" t="s">
        <v>72</v>
      </c>
      <c r="C56" s="94" t="s">
        <v>112</v>
      </c>
      <c r="D56" s="107">
        <f t="shared" ref="D56:E64" si="24">F56*1000</f>
        <v>139664.39435388436</v>
      </c>
      <c r="E56" s="107">
        <f t="shared" si="24"/>
        <v>120283.34032399778</v>
      </c>
      <c r="F56" s="24">
        <f>'[6]TS BYDem'!$J10</f>
        <v>139.66439435388435</v>
      </c>
      <c r="G56" s="92">
        <f>'[6]TS BYDem'!$O10</f>
        <v>120.28334032399778</v>
      </c>
      <c r="J56" s="91"/>
      <c r="K56" s="186" t="s">
        <v>513</v>
      </c>
      <c r="L56" s="96"/>
      <c r="M56" s="96" t="s">
        <v>443</v>
      </c>
      <c r="N56" s="96"/>
      <c r="O56" s="96"/>
    </row>
    <row r="57" spans="1:48">
      <c r="A57" s="194" t="s">
        <v>16</v>
      </c>
      <c r="B57" s="94" t="s">
        <v>262</v>
      </c>
      <c r="C57" s="94" t="s">
        <v>113</v>
      </c>
      <c r="D57" s="107">
        <f t="shared" si="24"/>
        <v>7851.7549075018987</v>
      </c>
      <c r="E57" s="107">
        <f t="shared" si="24"/>
        <v>11470.981711368382</v>
      </c>
      <c r="F57" s="24">
        <f>'[6]TS BYDem'!$J11</f>
        <v>7.8517549075018991</v>
      </c>
      <c r="G57" s="92">
        <f>'[6]TS BYDem'!$O11</f>
        <v>11.470981711368381</v>
      </c>
      <c r="J57" s="91"/>
      <c r="K57" s="186" t="s">
        <v>517</v>
      </c>
      <c r="L57" s="96">
        <f>DriversGams!$B$163</f>
        <v>-1</v>
      </c>
      <c r="M57" s="96"/>
      <c r="N57" s="96"/>
      <c r="O57" s="96"/>
      <c r="R57" s="92" t="s">
        <v>635</v>
      </c>
    </row>
    <row r="58" spans="1:48">
      <c r="A58" s="194" t="s">
        <v>16</v>
      </c>
      <c r="B58" s="94" t="s">
        <v>263</v>
      </c>
      <c r="C58" s="94" t="s">
        <v>107</v>
      </c>
      <c r="D58" s="107">
        <f t="shared" si="24"/>
        <v>9894.4997565297635</v>
      </c>
      <c r="E58" s="107">
        <f t="shared" si="24"/>
        <v>8579.7067698540795</v>
      </c>
      <c r="F58" s="24">
        <f>'[6]TS BYDem'!$J12</f>
        <v>9.894499756529763</v>
      </c>
      <c r="G58" s="92">
        <f>'[6]TS BYDem'!$O12</f>
        <v>8.579706769854079</v>
      </c>
      <c r="J58" s="91"/>
      <c r="K58" s="186" t="s">
        <v>514</v>
      </c>
      <c r="L58" s="96"/>
      <c r="M58" s="96"/>
      <c r="N58" s="96"/>
      <c r="O58" s="96"/>
    </row>
    <row r="59" spans="1:48">
      <c r="A59" s="194" t="s">
        <v>16</v>
      </c>
      <c r="B59" s="94" t="s">
        <v>73</v>
      </c>
      <c r="C59" s="94" t="s">
        <v>111</v>
      </c>
      <c r="D59" s="107">
        <f t="shared" si="24"/>
        <v>121540.2719056889</v>
      </c>
      <c r="E59" s="107">
        <f t="shared" si="24"/>
        <v>104674.27977141128</v>
      </c>
      <c r="F59" s="24">
        <f>'[6]TS BYDem'!$J13</f>
        <v>121.5402719056889</v>
      </c>
      <c r="G59" s="92">
        <f>'[6]TS BYDem'!$O13</f>
        <v>104.67427977141128</v>
      </c>
      <c r="J59" s="91"/>
      <c r="K59" s="96">
        <v>-1</v>
      </c>
      <c r="L59" s="186" t="s">
        <v>515</v>
      </c>
      <c r="M59" s="96"/>
      <c r="N59" s="96"/>
      <c r="O59" s="96"/>
      <c r="AC59" s="92" t="s">
        <v>636</v>
      </c>
    </row>
    <row r="60" spans="1:48">
      <c r="A60" s="194" t="s">
        <v>16</v>
      </c>
      <c r="B60" s="94" t="s">
        <v>264</v>
      </c>
      <c r="C60" s="94" t="s">
        <v>124</v>
      </c>
      <c r="D60" s="107">
        <f t="shared" si="24"/>
        <v>29566.39037374705</v>
      </c>
      <c r="E60" s="107">
        <f t="shared" si="24"/>
        <v>25463.499211305458</v>
      </c>
      <c r="F60" s="24">
        <f>'[6]TS BYDem'!$J14</f>
        <v>29.566390373747051</v>
      </c>
      <c r="G60" s="92">
        <f>'[6]TS BYDem'!$O14</f>
        <v>25.463499211305457</v>
      </c>
      <c r="J60" s="91"/>
      <c r="K60" s="96">
        <v>1</v>
      </c>
      <c r="L60" s="96" t="s">
        <v>637</v>
      </c>
      <c r="M60" s="187">
        <v>-0.37</v>
      </c>
      <c r="N60" s="187">
        <v>-0.5</v>
      </c>
      <c r="O60" s="187">
        <v>-0.2</v>
      </c>
      <c r="Q60" s="92" t="s">
        <v>638</v>
      </c>
      <c r="AA60" s="94" t="s">
        <v>639</v>
      </c>
      <c r="AB60" s="94">
        <f>AB30/(AB30+AB31)</f>
        <v>0.77449608280841165</v>
      </c>
      <c r="AC60" s="94" t="s">
        <v>640</v>
      </c>
      <c r="AD60" s="94"/>
      <c r="AE60" s="94"/>
      <c r="AF60" s="94"/>
      <c r="AG60" s="94">
        <f>(AB30*0.8+AB31*0.46)/(AB30+AB31)</f>
        <v>0.72332866815485997</v>
      </c>
    </row>
    <row r="61" spans="1:48">
      <c r="A61" s="194" t="s">
        <v>16</v>
      </c>
      <c r="B61" s="94" t="s">
        <v>265</v>
      </c>
      <c r="C61" s="94" t="s">
        <v>266</v>
      </c>
      <c r="D61" s="107">
        <f t="shared" si="24"/>
        <v>9683.1090230750324</v>
      </c>
      <c r="E61" s="107">
        <f t="shared" si="24"/>
        <v>13273.861719969342</v>
      </c>
      <c r="F61" s="24">
        <f>'[6]TS BYDem'!$J15</f>
        <v>9.6831090230750316</v>
      </c>
      <c r="G61" s="92">
        <f>'[6]TS BYDem'!$O15</f>
        <v>13.273861719969341</v>
      </c>
      <c r="J61" s="91"/>
      <c r="K61" s="96">
        <v>2</v>
      </c>
      <c r="L61" s="96" t="s">
        <v>641</v>
      </c>
      <c r="M61" s="187">
        <v>-0.25</v>
      </c>
      <c r="N61" s="187">
        <v>-0.25</v>
      </c>
      <c r="O61" s="187">
        <v>-0.2</v>
      </c>
      <c r="Q61" s="92" t="s">
        <v>642</v>
      </c>
    </row>
    <row r="62" spans="1:48">
      <c r="A62" s="194" t="s">
        <v>16</v>
      </c>
      <c r="B62" s="94" t="s">
        <v>269</v>
      </c>
      <c r="C62" s="94" t="s">
        <v>270</v>
      </c>
      <c r="D62" s="107">
        <f t="shared" si="24"/>
        <v>10300.552873773209</v>
      </c>
      <c r="E62" s="107">
        <f t="shared" si="24"/>
        <v>8871.1579824850141</v>
      </c>
      <c r="F62" s="24">
        <f>'[6]TS BYDem'!$J16</f>
        <v>10.30055287377321</v>
      </c>
      <c r="G62" s="92">
        <f>'[6]TS BYDem'!$O16</f>
        <v>8.8711579824850144</v>
      </c>
      <c r="J62" s="91"/>
      <c r="K62" s="96">
        <v>3</v>
      </c>
      <c r="L62" s="186" t="s">
        <v>516</v>
      </c>
      <c r="M62" s="187">
        <v>-0.37</v>
      </c>
      <c r="N62" s="187">
        <v>-0.5</v>
      </c>
      <c r="O62" s="187">
        <v>-0.2</v>
      </c>
    </row>
    <row r="63" spans="1:48">
      <c r="A63" s="194" t="s">
        <v>16</v>
      </c>
      <c r="B63" s="94" t="s">
        <v>268</v>
      </c>
      <c r="C63" s="94" t="s">
        <v>221</v>
      </c>
      <c r="D63" s="107">
        <f t="shared" si="24"/>
        <v>3559.3512487513526</v>
      </c>
      <c r="E63" s="107">
        <f t="shared" si="24"/>
        <v>3065.4245097100388</v>
      </c>
      <c r="F63" s="24">
        <f>'[6]TS BYDem'!$J17</f>
        <v>3.5593512487513528</v>
      </c>
      <c r="G63" s="92">
        <f>'[6]TS BYDem'!$O17</f>
        <v>3.0654245097100388</v>
      </c>
      <c r="J63" s="91"/>
      <c r="K63" s="96">
        <v>4</v>
      </c>
      <c r="L63" s="186" t="s">
        <v>643</v>
      </c>
      <c r="M63" s="187">
        <v>-0.25</v>
      </c>
      <c r="N63" s="96"/>
      <c r="O63" s="96"/>
    </row>
    <row r="64" spans="1:48">
      <c r="A64" s="194" t="s">
        <v>16</v>
      </c>
      <c r="B64" s="94" t="s">
        <v>0</v>
      </c>
      <c r="C64" s="94" t="s">
        <v>119</v>
      </c>
      <c r="D64" s="107">
        <f t="shared" si="24"/>
        <v>18760.184357078931</v>
      </c>
      <c r="E64" s="107">
        <f t="shared" si="24"/>
        <v>16999.241745794043</v>
      </c>
      <c r="F64" s="24">
        <f>'[6]TS BYDem'!$J18</f>
        <v>18.760184357078931</v>
      </c>
      <c r="G64" s="92">
        <f>'[6]TS BYDem'!$O18</f>
        <v>16.999241745794041</v>
      </c>
      <c r="J64" s="91"/>
      <c r="K64" s="186">
        <v>4</v>
      </c>
      <c r="L64" s="186" t="s">
        <v>644</v>
      </c>
      <c r="M64" s="96"/>
      <c r="N64" s="187">
        <v>-0.25</v>
      </c>
      <c r="O64" s="187">
        <v>-0.2</v>
      </c>
    </row>
    <row r="65" spans="1:48">
      <c r="A65" s="194" t="s">
        <v>16</v>
      </c>
      <c r="B65" s="94"/>
      <c r="C65" s="94"/>
      <c r="D65" s="94"/>
      <c r="J65" s="91"/>
      <c r="K65" s="280">
        <v>3</v>
      </c>
      <c r="L65" s="96" t="s">
        <v>637</v>
      </c>
      <c r="M65" s="187">
        <v>-0.37</v>
      </c>
      <c r="N65" s="187">
        <v>-0.5</v>
      </c>
      <c r="O65" s="187">
        <v>-0.2</v>
      </c>
    </row>
    <row r="66" spans="1:48">
      <c r="A66" s="194" t="s">
        <v>16</v>
      </c>
      <c r="B66" s="94"/>
      <c r="F66" s="231"/>
      <c r="I66" s="160"/>
      <c r="K66" s="280">
        <v>2</v>
      </c>
      <c r="L66" s="96" t="s">
        <v>641</v>
      </c>
      <c r="M66" s="187">
        <v>-0.25</v>
      </c>
      <c r="N66" s="187">
        <v>-0.25</v>
      </c>
      <c r="O66" s="187">
        <v>-0.2</v>
      </c>
    </row>
    <row r="67" spans="1:48" ht="15.75" thickBot="1">
      <c r="A67" s="194" t="s">
        <v>16</v>
      </c>
      <c r="B67" s="157" t="s">
        <v>12</v>
      </c>
      <c r="C67" s="158"/>
      <c r="D67" s="90"/>
      <c r="E67" s="102">
        <v>2012</v>
      </c>
      <c r="F67" s="232">
        <v>2017</v>
      </c>
      <c r="G67" s="102">
        <f>G22</f>
        <v>2020</v>
      </c>
      <c r="H67" s="102">
        <f>H22</f>
        <v>2030</v>
      </c>
      <c r="I67" s="181">
        <f>I22</f>
        <v>2050</v>
      </c>
      <c r="J67" s="102">
        <f t="shared" ref="J67:AV67" si="25">J4</f>
        <v>2012</v>
      </c>
      <c r="K67" s="102">
        <f t="shared" si="25"/>
        <v>2013</v>
      </c>
      <c r="L67" s="102">
        <f t="shared" si="25"/>
        <v>2014</v>
      </c>
      <c r="M67" s="102">
        <f t="shared" si="25"/>
        <v>2015</v>
      </c>
      <c r="N67" s="102">
        <f t="shared" si="25"/>
        <v>2016</v>
      </c>
      <c r="O67" s="102">
        <f t="shared" si="25"/>
        <v>2017</v>
      </c>
      <c r="P67" s="102">
        <f t="shared" si="25"/>
        <v>2018</v>
      </c>
      <c r="Q67" s="102">
        <f t="shared" si="25"/>
        <v>2019</v>
      </c>
      <c r="R67" s="102">
        <f t="shared" si="25"/>
        <v>2020</v>
      </c>
      <c r="S67" s="102">
        <f t="shared" si="25"/>
        <v>2021</v>
      </c>
      <c r="T67" s="102">
        <f t="shared" si="25"/>
        <v>2022</v>
      </c>
      <c r="U67" s="102">
        <f t="shared" si="25"/>
        <v>2023</v>
      </c>
      <c r="V67" s="102">
        <f t="shared" si="25"/>
        <v>2024</v>
      </c>
      <c r="W67" s="102">
        <f t="shared" si="25"/>
        <v>2025</v>
      </c>
      <c r="X67" s="102">
        <f t="shared" si="25"/>
        <v>2026</v>
      </c>
      <c r="Y67" s="102">
        <f t="shared" si="25"/>
        <v>2027</v>
      </c>
      <c r="Z67" s="102">
        <f t="shared" si="25"/>
        <v>2028</v>
      </c>
      <c r="AA67" s="102">
        <f t="shared" si="25"/>
        <v>2029</v>
      </c>
      <c r="AB67" s="102">
        <f t="shared" si="25"/>
        <v>2030</v>
      </c>
      <c r="AC67" s="102">
        <f t="shared" si="25"/>
        <v>2031</v>
      </c>
      <c r="AD67" s="102">
        <f t="shared" si="25"/>
        <v>2032</v>
      </c>
      <c r="AE67" s="102">
        <f t="shared" si="25"/>
        <v>2033</v>
      </c>
      <c r="AF67" s="102">
        <f t="shared" si="25"/>
        <v>2034</v>
      </c>
      <c r="AG67" s="102">
        <f t="shared" si="25"/>
        <v>2035</v>
      </c>
      <c r="AH67" s="102">
        <f t="shared" si="25"/>
        <v>2036</v>
      </c>
      <c r="AI67" s="102">
        <f t="shared" si="25"/>
        <v>2037</v>
      </c>
      <c r="AJ67" s="102">
        <f t="shared" si="25"/>
        <v>2038</v>
      </c>
      <c r="AK67" s="102">
        <f t="shared" si="25"/>
        <v>2039</v>
      </c>
      <c r="AL67" s="102">
        <f t="shared" si="25"/>
        <v>2040</v>
      </c>
      <c r="AM67" s="102">
        <f t="shared" si="25"/>
        <v>2041</v>
      </c>
      <c r="AN67" s="102">
        <f t="shared" si="25"/>
        <v>2042</v>
      </c>
      <c r="AO67" s="102">
        <f t="shared" si="25"/>
        <v>2043</v>
      </c>
      <c r="AP67" s="102">
        <f t="shared" si="25"/>
        <v>2044</v>
      </c>
      <c r="AQ67" s="102">
        <f t="shared" si="25"/>
        <v>2045</v>
      </c>
      <c r="AR67" s="102">
        <f t="shared" si="25"/>
        <v>2046</v>
      </c>
      <c r="AS67" s="102">
        <f t="shared" si="25"/>
        <v>2047</v>
      </c>
      <c r="AT67" s="102">
        <f t="shared" si="25"/>
        <v>2048</v>
      </c>
      <c r="AU67" s="102">
        <f t="shared" si="25"/>
        <v>2049</v>
      </c>
      <c r="AV67" s="102">
        <f t="shared" si="25"/>
        <v>2050</v>
      </c>
    </row>
    <row r="68" spans="1:48">
      <c r="A68" s="194" t="s">
        <v>16</v>
      </c>
      <c r="I68" s="160"/>
      <c r="K68" s="92"/>
    </row>
    <row r="69" spans="1:48" ht="15.75" thickBot="1">
      <c r="A69" s="194" t="s">
        <v>16</v>
      </c>
      <c r="B69" s="108" t="s">
        <v>74</v>
      </c>
      <c r="C69" s="90"/>
      <c r="D69" s="90"/>
      <c r="H69" s="208">
        <f>VLOOKUP($L$57,$K$59:$O$66,3)</f>
        <v>0</v>
      </c>
      <c r="I69" s="160"/>
      <c r="K69" s="92"/>
    </row>
    <row r="70" spans="1:48">
      <c r="A70" s="194" t="s">
        <v>16</v>
      </c>
      <c r="B70" s="274" t="s">
        <v>239</v>
      </c>
      <c r="C70" s="92" t="str">
        <f t="shared" ref="C70:C78" si="26">"Commercial"&amp;" - "&amp;B56</f>
        <v>Commercial - Cooling</v>
      </c>
      <c r="D70" s="92" t="s">
        <v>75</v>
      </c>
      <c r="E70" s="101">
        <f>$D56/J$23</f>
        <v>1051.567060091292</v>
      </c>
      <c r="F70" s="109">
        <f>E56/$O$23</f>
        <v>864.77958996918915</v>
      </c>
      <c r="G70" s="109">
        <f t="shared" ref="G70:I78" si="27">F70</f>
        <v>864.77958996918915</v>
      </c>
      <c r="H70" s="109">
        <f>G70*(1+$H$69)</f>
        <v>864.77958996918915</v>
      </c>
      <c r="I70" s="159">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4" t="s">
        <v>16</v>
      </c>
      <c r="B71" s="274" t="s">
        <v>240</v>
      </c>
      <c r="C71" s="92" t="str">
        <f t="shared" si="26"/>
        <v>Commercial - Space Heating</v>
      </c>
      <c r="D71" s="92" t="s">
        <v>75</v>
      </c>
      <c r="E71" s="101">
        <f t="shared" ref="E71:E75" si="29">$D57/J$23</f>
        <v>59.117764859369188</v>
      </c>
      <c r="F71" s="109">
        <f t="shared" ref="F71:F78" si="30">E57/$O$23</f>
        <v>82.470862832548889</v>
      </c>
      <c r="G71" s="109">
        <f t="shared" si="27"/>
        <v>82.470862832548889</v>
      </c>
      <c r="H71" s="109">
        <f t="shared" ref="H71:H78" si="31">G71*(1+$H$69)</f>
        <v>82.470862832548889</v>
      </c>
      <c r="I71" s="159">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4" t="s">
        <v>16</v>
      </c>
      <c r="B72" s="274" t="s">
        <v>241</v>
      </c>
      <c r="C72" s="92" t="str">
        <f t="shared" si="26"/>
        <v>Commercial - Cooking</v>
      </c>
      <c r="D72" s="92" t="s">
        <v>75</v>
      </c>
      <c r="E72" s="101">
        <f t="shared" si="29"/>
        <v>74.498085701673531</v>
      </c>
      <c r="F72" s="109">
        <f t="shared" si="30"/>
        <v>61.683981193944355</v>
      </c>
      <c r="G72" s="109">
        <f t="shared" si="27"/>
        <v>61.683981193944355</v>
      </c>
      <c r="H72" s="109">
        <f t="shared" si="31"/>
        <v>61.683981193944355</v>
      </c>
      <c r="I72" s="159">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4" t="s">
        <v>16</v>
      </c>
      <c r="B73" s="274" t="s">
        <v>242</v>
      </c>
      <c r="C73" s="92" t="str">
        <f t="shared" si="26"/>
        <v>Commercial - Lighting</v>
      </c>
      <c r="D73" s="92" t="s">
        <v>75</v>
      </c>
      <c r="E73" s="101">
        <f t="shared" si="29"/>
        <v>915.10615144128838</v>
      </c>
      <c r="F73" s="109">
        <f t="shared" si="30"/>
        <v>752.55792279474565</v>
      </c>
      <c r="G73" s="109">
        <f t="shared" si="27"/>
        <v>752.55792279474565</v>
      </c>
      <c r="H73" s="109">
        <f t="shared" si="31"/>
        <v>752.55792279474565</v>
      </c>
      <c r="I73" s="159">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4" t="s">
        <v>16</v>
      </c>
      <c r="B74" s="274" t="s">
        <v>243</v>
      </c>
      <c r="C74" s="92" t="str">
        <f t="shared" si="26"/>
        <v>Commercial - Refrigeration</v>
      </c>
      <c r="D74" s="92" t="s">
        <v>75</v>
      </c>
      <c r="E74" s="101">
        <f t="shared" si="29"/>
        <v>222.61251585750318</v>
      </c>
      <c r="F74" s="109">
        <f t="shared" si="30"/>
        <v>183.07035993362933</v>
      </c>
      <c r="G74" s="109">
        <f t="shared" si="27"/>
        <v>183.07035993362933</v>
      </c>
      <c r="H74" s="109">
        <f t="shared" si="31"/>
        <v>183.07035993362933</v>
      </c>
      <c r="I74" s="159">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4" t="s">
        <v>16</v>
      </c>
      <c r="B75" s="274" t="s">
        <v>244</v>
      </c>
      <c r="C75" s="92" t="str">
        <f t="shared" si="26"/>
        <v>Commercial - Water Heating</v>
      </c>
      <c r="D75" s="92" t="s">
        <v>75</v>
      </c>
      <c r="E75" s="101">
        <f t="shared" si="29"/>
        <v>72.906473658117989</v>
      </c>
      <c r="F75" s="109">
        <f t="shared" si="30"/>
        <v>95.432706346388613</v>
      </c>
      <c r="G75" s="109">
        <f t="shared" si="27"/>
        <v>95.432706346388613</v>
      </c>
      <c r="H75" s="109">
        <f t="shared" si="31"/>
        <v>95.432706346388613</v>
      </c>
      <c r="I75" s="159">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4" t="s">
        <v>16</v>
      </c>
      <c r="B76" s="274" t="s">
        <v>245</v>
      </c>
      <c r="C76" s="112" t="str">
        <f t="shared" si="26"/>
        <v>Commercial - Public lights</v>
      </c>
      <c r="D76" s="112" t="s">
        <v>75</v>
      </c>
      <c r="E76" s="176">
        <v>0</v>
      </c>
      <c r="F76" s="109">
        <v>0</v>
      </c>
      <c r="G76" s="177">
        <f t="shared" si="27"/>
        <v>0</v>
      </c>
      <c r="H76" s="109">
        <f t="shared" si="31"/>
        <v>0</v>
      </c>
      <c r="I76" s="178">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4" t="s">
        <v>16</v>
      </c>
      <c r="B77" s="274" t="s">
        <v>246</v>
      </c>
      <c r="C77" s="112" t="str">
        <f t="shared" si="26"/>
        <v>Commercial - Public Water</v>
      </c>
      <c r="D77" s="112" t="s">
        <v>75</v>
      </c>
      <c r="E77" s="176">
        <v>0</v>
      </c>
      <c r="F77" s="109">
        <v>0</v>
      </c>
      <c r="G77" s="177">
        <f t="shared" si="27"/>
        <v>0</v>
      </c>
      <c r="H77" s="109">
        <f t="shared" si="31"/>
        <v>0</v>
      </c>
      <c r="I77" s="178">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4" t="s">
        <v>16</v>
      </c>
      <c r="B78" s="274" t="s">
        <v>247</v>
      </c>
      <c r="C78" s="92" t="str">
        <f t="shared" si="26"/>
        <v>Commercial - Other</v>
      </c>
      <c r="D78" s="92" t="s">
        <v>75</v>
      </c>
      <c r="E78" s="101">
        <f>$D64/J$23</f>
        <v>141.24997285391134</v>
      </c>
      <c r="F78" s="109">
        <f t="shared" si="30"/>
        <v>122.21640392690337</v>
      </c>
      <c r="G78" s="109">
        <f t="shared" si="27"/>
        <v>122.21640392690337</v>
      </c>
      <c r="H78" s="109">
        <f t="shared" si="31"/>
        <v>122.21640392690337</v>
      </c>
      <c r="I78" s="159">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4" t="s">
        <v>16</v>
      </c>
      <c r="B79" s="274"/>
      <c r="I79" s="179"/>
      <c r="K79" s="194"/>
      <c r="L79" s="194"/>
      <c r="M79" s="194"/>
      <c r="N79" s="194"/>
      <c r="O79" s="194"/>
      <c r="P79" s="194"/>
      <c r="Q79" s="194"/>
      <c r="R79" s="194"/>
      <c r="S79" s="194"/>
      <c r="T79" s="194"/>
      <c r="U79" s="194"/>
      <c r="V79" s="194"/>
      <c r="W79" s="194"/>
      <c r="X79" s="194"/>
      <c r="Y79" s="194"/>
      <c r="Z79" s="194"/>
      <c r="AA79" s="194"/>
      <c r="AB79" s="194"/>
      <c r="AC79" s="194"/>
      <c r="AD79" s="194"/>
      <c r="AE79" s="194"/>
      <c r="AF79" s="194"/>
      <c r="AG79" s="194"/>
      <c r="AH79" s="194"/>
      <c r="AI79" s="194"/>
      <c r="AJ79" s="194"/>
      <c r="AK79" s="194"/>
      <c r="AL79" s="194"/>
      <c r="AM79" s="194"/>
      <c r="AN79" s="194"/>
      <c r="AO79" s="194"/>
      <c r="AP79" s="194"/>
      <c r="AQ79" s="194"/>
      <c r="AR79" s="194"/>
      <c r="AS79" s="194"/>
      <c r="AT79" s="194"/>
      <c r="AU79" s="194"/>
      <c r="AV79" s="194"/>
    </row>
    <row r="80" spans="1:48" ht="15.75" thickBot="1">
      <c r="A80" s="194" t="s">
        <v>16</v>
      </c>
      <c r="B80" s="108" t="s">
        <v>77</v>
      </c>
      <c r="C80" s="89"/>
      <c r="D80" s="90"/>
      <c r="H80" s="150"/>
      <c r="I80" s="160"/>
      <c r="K80" s="92"/>
    </row>
    <row r="81" spans="1:48">
      <c r="A81" s="194" t="s">
        <v>16</v>
      </c>
      <c r="B81" s="274" t="s">
        <v>248</v>
      </c>
      <c r="C81" s="92" t="str">
        <f t="shared" ref="C81:C89" si="33">C70</f>
        <v>Commercial - Cooling</v>
      </c>
      <c r="D81" s="92" t="s">
        <v>75</v>
      </c>
      <c r="E81" s="101">
        <f>E70</f>
        <v>1051.567060091292</v>
      </c>
      <c r="F81" s="109">
        <f>F70</f>
        <v>864.77958996918915</v>
      </c>
      <c r="G81" s="109">
        <f t="shared" ref="G81:G89" si="34">F81</f>
        <v>864.77958996918915</v>
      </c>
      <c r="H81" s="109">
        <f>G81*(1+$H$69)</f>
        <v>864.77958996918915</v>
      </c>
      <c r="I81" s="159">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4" t="s">
        <v>16</v>
      </c>
      <c r="B82" s="274" t="s">
        <v>249</v>
      </c>
      <c r="C82" s="92" t="str">
        <f t="shared" si="33"/>
        <v>Commercial - Space Heating</v>
      </c>
      <c r="D82" s="92" t="s">
        <v>75</v>
      </c>
      <c r="E82" s="101">
        <f t="shared" ref="E82:F89" si="39">E71</f>
        <v>59.117764859369188</v>
      </c>
      <c r="F82" s="109">
        <f t="shared" si="39"/>
        <v>82.470862832548889</v>
      </c>
      <c r="G82" s="109">
        <f t="shared" si="34"/>
        <v>82.470862832548889</v>
      </c>
      <c r="H82" s="109">
        <f t="shared" ref="H82:H89" si="40">G82*(1+$H$69)</f>
        <v>82.470862832548889</v>
      </c>
      <c r="I82" s="159">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4" t="s">
        <v>16</v>
      </c>
      <c r="B83" s="274" t="s">
        <v>250</v>
      </c>
      <c r="C83" s="92" t="str">
        <f t="shared" si="33"/>
        <v>Commercial - Cooking</v>
      </c>
      <c r="D83" s="92" t="s">
        <v>75</v>
      </c>
      <c r="E83" s="101">
        <f t="shared" si="39"/>
        <v>74.498085701673531</v>
      </c>
      <c r="F83" s="109">
        <f t="shared" si="39"/>
        <v>61.683981193944355</v>
      </c>
      <c r="G83" s="109">
        <f t="shared" si="34"/>
        <v>61.683981193944355</v>
      </c>
      <c r="H83" s="109">
        <f t="shared" si="40"/>
        <v>61.683981193944355</v>
      </c>
      <c r="I83" s="159">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4" t="s">
        <v>16</v>
      </c>
      <c r="B84" s="274" t="s">
        <v>251</v>
      </c>
      <c r="C84" s="92" t="str">
        <f t="shared" si="33"/>
        <v>Commercial - Lighting</v>
      </c>
      <c r="D84" s="92" t="s">
        <v>75</v>
      </c>
      <c r="E84" s="101">
        <f t="shared" si="39"/>
        <v>915.10615144128838</v>
      </c>
      <c r="F84" s="109">
        <f t="shared" si="39"/>
        <v>752.55792279474565</v>
      </c>
      <c r="G84" s="109">
        <f t="shared" si="34"/>
        <v>752.55792279474565</v>
      </c>
      <c r="H84" s="109">
        <f t="shared" si="40"/>
        <v>752.55792279474565</v>
      </c>
      <c r="I84" s="159">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4" t="s">
        <v>16</v>
      </c>
      <c r="B85" s="274" t="s">
        <v>252</v>
      </c>
      <c r="C85" s="92" t="str">
        <f t="shared" si="33"/>
        <v>Commercial - Refrigeration</v>
      </c>
      <c r="D85" s="92" t="s">
        <v>75</v>
      </c>
      <c r="E85" s="101">
        <f t="shared" si="39"/>
        <v>222.61251585750318</v>
      </c>
      <c r="F85" s="109">
        <f t="shared" si="39"/>
        <v>183.07035993362933</v>
      </c>
      <c r="G85" s="109">
        <f t="shared" si="34"/>
        <v>183.07035993362933</v>
      </c>
      <c r="H85" s="109">
        <f t="shared" si="40"/>
        <v>183.07035993362933</v>
      </c>
      <c r="I85" s="159">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4" t="s">
        <v>16</v>
      </c>
      <c r="B86" s="274" t="s">
        <v>253</v>
      </c>
      <c r="C86" s="92" t="str">
        <f t="shared" si="33"/>
        <v>Commercial - Water Heating</v>
      </c>
      <c r="D86" s="92" t="s">
        <v>75</v>
      </c>
      <c r="E86" s="101">
        <f t="shared" si="39"/>
        <v>72.906473658117989</v>
      </c>
      <c r="F86" s="109">
        <f t="shared" si="39"/>
        <v>95.432706346388613</v>
      </c>
      <c r="G86" s="109">
        <f t="shared" si="34"/>
        <v>95.432706346388613</v>
      </c>
      <c r="H86" s="109">
        <f t="shared" si="40"/>
        <v>95.432706346388613</v>
      </c>
      <c r="I86" s="159">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4" t="s">
        <v>16</v>
      </c>
      <c r="B87" s="274" t="s">
        <v>254</v>
      </c>
      <c r="C87" s="112" t="str">
        <f t="shared" si="33"/>
        <v>Commercial - Public lights</v>
      </c>
      <c r="D87" s="112" t="s">
        <v>75</v>
      </c>
      <c r="E87" s="176">
        <f t="shared" si="39"/>
        <v>0</v>
      </c>
      <c r="F87" s="109">
        <f t="shared" si="39"/>
        <v>0</v>
      </c>
      <c r="G87" s="177">
        <f t="shared" si="34"/>
        <v>0</v>
      </c>
      <c r="H87" s="109">
        <f t="shared" si="40"/>
        <v>0</v>
      </c>
      <c r="I87" s="178">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4" t="s">
        <v>16</v>
      </c>
      <c r="B88" s="274" t="s">
        <v>255</v>
      </c>
      <c r="C88" s="112" t="str">
        <f t="shared" si="33"/>
        <v>Commercial - Public Water</v>
      </c>
      <c r="D88" s="112" t="s">
        <v>75</v>
      </c>
      <c r="E88" s="176">
        <f t="shared" si="39"/>
        <v>0</v>
      </c>
      <c r="F88" s="109">
        <f t="shared" si="39"/>
        <v>0</v>
      </c>
      <c r="G88" s="177">
        <f t="shared" si="34"/>
        <v>0</v>
      </c>
      <c r="H88" s="109">
        <f t="shared" si="40"/>
        <v>0</v>
      </c>
      <c r="I88" s="178">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4" t="s">
        <v>16</v>
      </c>
      <c r="B89" s="274" t="s">
        <v>256</v>
      </c>
      <c r="C89" s="92" t="str">
        <f t="shared" si="33"/>
        <v>Commercial - Other</v>
      </c>
      <c r="D89" s="92" t="s">
        <v>75</v>
      </c>
      <c r="E89" s="101">
        <f t="shared" si="39"/>
        <v>141.24997285391134</v>
      </c>
      <c r="F89" s="109">
        <f t="shared" si="39"/>
        <v>122.21640392690337</v>
      </c>
      <c r="G89" s="109">
        <f t="shared" si="34"/>
        <v>122.21640392690337</v>
      </c>
      <c r="H89" s="109">
        <f t="shared" si="40"/>
        <v>122.21640392690337</v>
      </c>
      <c r="I89" s="159">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4" t="s">
        <v>16</v>
      </c>
      <c r="B90" s="274"/>
      <c r="I90" s="160"/>
      <c r="K90" s="9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4" t="s">
        <v>16</v>
      </c>
      <c r="B91" s="108" t="s">
        <v>485</v>
      </c>
      <c r="C91" s="89"/>
      <c r="D91" s="90"/>
      <c r="H91" s="184">
        <f>VLOOKUP($L$57,$K$59:$O$66,4)</f>
        <v>0</v>
      </c>
      <c r="I91" s="185">
        <f>VLOOKUP($L$57,$K$59:$O$66,5)</f>
        <v>0</v>
      </c>
      <c r="K91" s="9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4" t="s">
        <v>16</v>
      </c>
      <c r="B92" s="274" t="str">
        <f>B70</f>
        <v>CEC</v>
      </c>
      <c r="C92" s="92" t="str">
        <f t="shared" ref="C92:C100" si="42">C81</f>
        <v>Commercial - Cooling</v>
      </c>
      <c r="D92" s="92" t="s">
        <v>75</v>
      </c>
      <c r="E92" s="101">
        <f>E81</f>
        <v>1051.567060091292</v>
      </c>
      <c r="F92" s="109">
        <f>F81</f>
        <v>864.77958996918915</v>
      </c>
      <c r="G92" s="109">
        <f t="shared" ref="G92:G100" si="43">F92</f>
        <v>864.77958996918915</v>
      </c>
      <c r="H92" s="109">
        <f t="shared" ref="H92:H97" si="44">G92*(1+$H$91)</f>
        <v>864.77958996918915</v>
      </c>
      <c r="I92" s="159">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194" t="s">
        <v>16</v>
      </c>
      <c r="B93" s="274" t="str">
        <f t="shared" ref="B93:B100" si="48">B71</f>
        <v>CEH</v>
      </c>
      <c r="C93" s="92" t="str">
        <f t="shared" si="42"/>
        <v>Commercial - Space Heating</v>
      </c>
      <c r="D93" s="92" t="s">
        <v>75</v>
      </c>
      <c r="E93" s="101">
        <f t="shared" ref="E93:F100" si="49">E82</f>
        <v>59.117764859369188</v>
      </c>
      <c r="F93" s="109">
        <f t="shared" si="49"/>
        <v>82.470862832548889</v>
      </c>
      <c r="G93" s="109">
        <f t="shared" si="43"/>
        <v>82.470862832548889</v>
      </c>
      <c r="H93" s="109">
        <f t="shared" si="44"/>
        <v>82.470862832548889</v>
      </c>
      <c r="I93" s="159">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194" t="s">
        <v>16</v>
      </c>
      <c r="B94" s="274" t="str">
        <f t="shared" si="48"/>
        <v>CEK</v>
      </c>
      <c r="C94" s="92" t="str">
        <f t="shared" si="42"/>
        <v>Commercial - Cooking</v>
      </c>
      <c r="D94" s="92" t="s">
        <v>75</v>
      </c>
      <c r="E94" s="101">
        <f t="shared" si="49"/>
        <v>74.498085701673531</v>
      </c>
      <c r="F94" s="109">
        <f t="shared" si="49"/>
        <v>61.683981193944355</v>
      </c>
      <c r="G94" s="109">
        <f t="shared" si="43"/>
        <v>61.683981193944355</v>
      </c>
      <c r="H94" s="109">
        <f t="shared" si="44"/>
        <v>61.683981193944355</v>
      </c>
      <c r="I94" s="159">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194" t="s">
        <v>16</v>
      </c>
      <c r="B95" s="274" t="str">
        <f t="shared" si="48"/>
        <v>CEL</v>
      </c>
      <c r="C95" s="92" t="str">
        <f t="shared" si="42"/>
        <v>Commercial - Lighting</v>
      </c>
      <c r="D95" s="92" t="s">
        <v>75</v>
      </c>
      <c r="E95" s="101">
        <f t="shared" si="49"/>
        <v>915.10615144128838</v>
      </c>
      <c r="F95" s="109">
        <f t="shared" si="49"/>
        <v>752.55792279474565</v>
      </c>
      <c r="G95" s="109">
        <f t="shared" si="43"/>
        <v>752.55792279474565</v>
      </c>
      <c r="H95" s="109">
        <f t="shared" si="44"/>
        <v>752.55792279474565</v>
      </c>
      <c r="I95" s="159">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194" t="s">
        <v>16</v>
      </c>
      <c r="B96" s="274" t="str">
        <f t="shared" si="48"/>
        <v>CER</v>
      </c>
      <c r="C96" s="92" t="str">
        <f t="shared" si="42"/>
        <v>Commercial - Refrigeration</v>
      </c>
      <c r="D96" s="92" t="s">
        <v>75</v>
      </c>
      <c r="E96" s="101">
        <f t="shared" si="49"/>
        <v>222.61251585750318</v>
      </c>
      <c r="F96" s="109">
        <f t="shared" si="49"/>
        <v>183.07035993362933</v>
      </c>
      <c r="G96" s="109">
        <f t="shared" si="43"/>
        <v>183.07035993362933</v>
      </c>
      <c r="H96" s="109">
        <f t="shared" si="44"/>
        <v>183.07035993362933</v>
      </c>
      <c r="I96" s="159">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194" t="s">
        <v>16</v>
      </c>
      <c r="B97" s="274" t="str">
        <f t="shared" si="48"/>
        <v>CEW</v>
      </c>
      <c r="C97" s="92" t="str">
        <f t="shared" si="42"/>
        <v>Commercial - Water Heating</v>
      </c>
      <c r="D97" s="92" t="s">
        <v>75</v>
      </c>
      <c r="E97" s="101">
        <f t="shared" si="49"/>
        <v>72.906473658117989</v>
      </c>
      <c r="F97" s="109">
        <f t="shared" si="49"/>
        <v>95.432706346388613</v>
      </c>
      <c r="G97" s="109">
        <f t="shared" si="43"/>
        <v>95.432706346388613</v>
      </c>
      <c r="H97" s="109">
        <f t="shared" si="44"/>
        <v>95.432706346388613</v>
      </c>
      <c r="I97" s="159">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194" t="s">
        <v>16</v>
      </c>
      <c r="B98" s="274" t="str">
        <f t="shared" si="48"/>
        <v>CEG</v>
      </c>
      <c r="C98" s="112" t="str">
        <f t="shared" si="42"/>
        <v>Commercial - Public lights</v>
      </c>
      <c r="D98" s="112" t="s">
        <v>75</v>
      </c>
      <c r="E98" s="182">
        <f>D62/$J$34</f>
        <v>387.77678995775307</v>
      </c>
      <c r="F98" s="182">
        <f>E62/$O$34</f>
        <v>318.89687890197069</v>
      </c>
      <c r="G98" s="177">
        <f t="shared" si="43"/>
        <v>318.89687890197069</v>
      </c>
      <c r="H98" s="177">
        <f>G98*(1+$I$91)</f>
        <v>318.89687890197069</v>
      </c>
      <c r="I98" s="178">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194" t="s">
        <v>16</v>
      </c>
      <c r="B99" s="274" t="str">
        <f t="shared" si="48"/>
        <v>CET</v>
      </c>
      <c r="C99" s="112" t="str">
        <f t="shared" si="42"/>
        <v>Commercial - Public Water</v>
      </c>
      <c r="D99" s="112" t="s">
        <v>75</v>
      </c>
      <c r="E99" s="182">
        <f>D63/$J$34</f>
        <v>133.99608918927126</v>
      </c>
      <c r="F99" s="182">
        <f>E63/$O$34</f>
        <v>110.19466800007318</v>
      </c>
      <c r="G99" s="177">
        <f t="shared" si="43"/>
        <v>110.19466800007318</v>
      </c>
      <c r="H99" s="177">
        <f>G99*(1+$I$91)</f>
        <v>110.19466800007318</v>
      </c>
      <c r="I99" s="178">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194" t="s">
        <v>16</v>
      </c>
      <c r="B100" s="274" t="str">
        <f t="shared" si="48"/>
        <v>CEO</v>
      </c>
      <c r="C100" s="92" t="str">
        <f t="shared" si="42"/>
        <v>Commercial - Other</v>
      </c>
      <c r="D100" s="92" t="s">
        <v>75</v>
      </c>
      <c r="E100" s="101">
        <f t="shared" si="49"/>
        <v>141.24997285391134</v>
      </c>
      <c r="F100" s="109">
        <f t="shared" si="49"/>
        <v>122.21640392690337</v>
      </c>
      <c r="G100" s="109">
        <f t="shared" si="43"/>
        <v>122.21640392690337</v>
      </c>
      <c r="H100" s="109">
        <f>G100*(1+$H$91)</f>
        <v>122.21640392690337</v>
      </c>
      <c r="I100" s="159">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194" t="s">
        <v>16</v>
      </c>
      <c r="B101" s="274"/>
      <c r="I101" s="160"/>
      <c r="K101" s="9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4" t="s">
        <v>16</v>
      </c>
      <c r="E102" s="101"/>
      <c r="F102" s="101"/>
      <c r="G102" s="101"/>
      <c r="H102" s="101"/>
      <c r="I102" s="180"/>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row>
    <row r="103" spans="1:50" ht="18.75">
      <c r="A103" s="194" t="s">
        <v>16</v>
      </c>
      <c r="B103" s="170" t="s">
        <v>76</v>
      </c>
      <c r="I103" s="160"/>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row>
    <row r="104" spans="1:50" ht="15.75" thickBot="1">
      <c r="A104" s="194" t="s">
        <v>16</v>
      </c>
      <c r="B104" s="89"/>
      <c r="C104" s="89" t="s">
        <v>257</v>
      </c>
      <c r="D104" s="89"/>
      <c r="E104" s="89"/>
      <c r="F104" s="102"/>
      <c r="G104" s="102"/>
      <c r="H104" s="102"/>
      <c r="I104" s="181"/>
      <c r="J104" s="102">
        <f t="shared" ref="J104:AV104" si="52">J67</f>
        <v>2012</v>
      </c>
      <c r="K104" s="102">
        <f t="shared" si="52"/>
        <v>2013</v>
      </c>
      <c r="L104" s="102">
        <f t="shared" si="52"/>
        <v>2014</v>
      </c>
      <c r="M104" s="102">
        <f t="shared" si="52"/>
        <v>2015</v>
      </c>
      <c r="N104" s="102">
        <f t="shared" si="52"/>
        <v>2016</v>
      </c>
      <c r="O104" s="102">
        <f t="shared" si="52"/>
        <v>2017</v>
      </c>
      <c r="P104" s="102">
        <f t="shared" si="52"/>
        <v>2018</v>
      </c>
      <c r="Q104" s="102">
        <f t="shared" si="52"/>
        <v>2019</v>
      </c>
      <c r="R104" s="102">
        <f t="shared" si="52"/>
        <v>2020</v>
      </c>
      <c r="S104" s="102">
        <f t="shared" si="52"/>
        <v>2021</v>
      </c>
      <c r="T104" s="102">
        <f t="shared" si="52"/>
        <v>2022</v>
      </c>
      <c r="U104" s="102">
        <f t="shared" si="52"/>
        <v>2023</v>
      </c>
      <c r="V104" s="102">
        <f t="shared" si="52"/>
        <v>2024</v>
      </c>
      <c r="W104" s="102">
        <f t="shared" si="52"/>
        <v>2025</v>
      </c>
      <c r="X104" s="102">
        <f t="shared" si="52"/>
        <v>2026</v>
      </c>
      <c r="Y104" s="102">
        <f t="shared" si="52"/>
        <v>2027</v>
      </c>
      <c r="Z104" s="102">
        <f t="shared" si="52"/>
        <v>2028</v>
      </c>
      <c r="AA104" s="102">
        <f t="shared" si="52"/>
        <v>2029</v>
      </c>
      <c r="AB104" s="102">
        <f t="shared" si="52"/>
        <v>2030</v>
      </c>
      <c r="AC104" s="102">
        <f t="shared" si="52"/>
        <v>2031</v>
      </c>
      <c r="AD104" s="102">
        <f t="shared" si="52"/>
        <v>2032</v>
      </c>
      <c r="AE104" s="102">
        <f t="shared" si="52"/>
        <v>2033</v>
      </c>
      <c r="AF104" s="102">
        <f t="shared" si="52"/>
        <v>2034</v>
      </c>
      <c r="AG104" s="102">
        <f t="shared" si="52"/>
        <v>2035</v>
      </c>
      <c r="AH104" s="102">
        <f t="shared" si="52"/>
        <v>2036</v>
      </c>
      <c r="AI104" s="102">
        <f t="shared" si="52"/>
        <v>2037</v>
      </c>
      <c r="AJ104" s="102">
        <f t="shared" si="52"/>
        <v>2038</v>
      </c>
      <c r="AK104" s="102">
        <f t="shared" si="52"/>
        <v>2039</v>
      </c>
      <c r="AL104" s="102">
        <f t="shared" si="52"/>
        <v>2040</v>
      </c>
      <c r="AM104" s="102">
        <f t="shared" si="52"/>
        <v>2041</v>
      </c>
      <c r="AN104" s="102">
        <f t="shared" si="52"/>
        <v>2042</v>
      </c>
      <c r="AO104" s="102">
        <f t="shared" si="52"/>
        <v>2043</v>
      </c>
      <c r="AP104" s="102">
        <f t="shared" si="52"/>
        <v>2044</v>
      </c>
      <c r="AQ104" s="102">
        <f t="shared" si="52"/>
        <v>2045</v>
      </c>
      <c r="AR104" s="102">
        <f t="shared" si="52"/>
        <v>2046</v>
      </c>
      <c r="AS104" s="102">
        <f t="shared" si="52"/>
        <v>2047</v>
      </c>
      <c r="AT104" s="102">
        <f t="shared" si="52"/>
        <v>2048</v>
      </c>
      <c r="AU104" s="102">
        <f t="shared" si="52"/>
        <v>2049</v>
      </c>
      <c r="AV104" s="102">
        <f t="shared" si="52"/>
        <v>2050</v>
      </c>
    </row>
    <row r="105" spans="1:50">
      <c r="A105" s="194" t="s">
        <v>16</v>
      </c>
      <c r="B105" s="274" t="s">
        <v>248</v>
      </c>
      <c r="C105" s="92" t="str">
        <f t="shared" ref="C105:C113" si="53">C70</f>
        <v>Commercial - Cooling</v>
      </c>
      <c r="I105" s="160"/>
      <c r="J105" s="92">
        <v>1</v>
      </c>
      <c r="K105" s="92">
        <v>1</v>
      </c>
      <c r="L105" s="92">
        <v>1</v>
      </c>
      <c r="M105" s="92">
        <v>1</v>
      </c>
      <c r="N105" s="92">
        <v>1</v>
      </c>
      <c r="O105" s="92">
        <v>1</v>
      </c>
      <c r="P105" s="92">
        <v>1</v>
      </c>
      <c r="Q105" s="92">
        <v>1</v>
      </c>
      <c r="R105" s="92">
        <v>1</v>
      </c>
      <c r="S105" s="92">
        <v>1</v>
      </c>
      <c r="T105" s="92">
        <v>1</v>
      </c>
      <c r="U105" s="92">
        <v>1</v>
      </c>
      <c r="V105" s="92">
        <v>1</v>
      </c>
      <c r="W105" s="92">
        <v>1</v>
      </c>
      <c r="X105" s="92">
        <v>1</v>
      </c>
      <c r="Y105" s="92">
        <v>1</v>
      </c>
      <c r="Z105" s="92">
        <v>1</v>
      </c>
      <c r="AA105" s="92">
        <v>1</v>
      </c>
      <c r="AB105" s="92">
        <v>1</v>
      </c>
      <c r="AC105" s="92">
        <v>1</v>
      </c>
      <c r="AD105" s="92">
        <v>1</v>
      </c>
      <c r="AE105" s="92">
        <v>1</v>
      </c>
      <c r="AF105" s="92">
        <v>1</v>
      </c>
      <c r="AG105" s="92">
        <v>1</v>
      </c>
      <c r="AH105" s="92">
        <v>1</v>
      </c>
      <c r="AI105" s="92">
        <v>1</v>
      </c>
      <c r="AJ105" s="92">
        <v>1</v>
      </c>
      <c r="AK105" s="92">
        <v>1</v>
      </c>
      <c r="AL105" s="92">
        <v>1</v>
      </c>
      <c r="AM105" s="92">
        <v>1</v>
      </c>
      <c r="AN105" s="92">
        <v>1</v>
      </c>
      <c r="AO105" s="92">
        <v>1</v>
      </c>
      <c r="AP105" s="92">
        <v>1</v>
      </c>
      <c r="AQ105" s="92">
        <v>1</v>
      </c>
      <c r="AR105" s="92">
        <v>1</v>
      </c>
      <c r="AS105" s="92">
        <v>1</v>
      </c>
      <c r="AT105" s="92">
        <v>1</v>
      </c>
      <c r="AU105" s="92">
        <v>1</v>
      </c>
      <c r="AV105" s="92">
        <v>1</v>
      </c>
    </row>
    <row r="106" spans="1:50">
      <c r="A106" s="194" t="s">
        <v>16</v>
      </c>
      <c r="B106" s="274" t="s">
        <v>249</v>
      </c>
      <c r="C106" s="92" t="str">
        <f t="shared" si="53"/>
        <v>Commercial - Space Heating</v>
      </c>
      <c r="I106" s="160"/>
      <c r="J106" s="92">
        <v>1</v>
      </c>
      <c r="K106" s="92">
        <v>1</v>
      </c>
      <c r="L106" s="92">
        <v>1</v>
      </c>
      <c r="M106" s="92">
        <v>1</v>
      </c>
      <c r="N106" s="92">
        <v>1</v>
      </c>
      <c r="O106" s="92">
        <v>1</v>
      </c>
      <c r="P106" s="92">
        <v>1</v>
      </c>
      <c r="Q106" s="92">
        <v>1</v>
      </c>
      <c r="R106" s="92">
        <v>1</v>
      </c>
      <c r="S106" s="92">
        <v>1</v>
      </c>
      <c r="T106" s="92">
        <v>1</v>
      </c>
      <c r="U106" s="92">
        <v>1</v>
      </c>
      <c r="V106" s="92">
        <v>1</v>
      </c>
      <c r="W106" s="92">
        <v>1</v>
      </c>
      <c r="X106" s="92">
        <v>1</v>
      </c>
      <c r="Y106" s="92">
        <v>1</v>
      </c>
      <c r="Z106" s="92">
        <v>1</v>
      </c>
      <c r="AA106" s="92">
        <v>1</v>
      </c>
      <c r="AB106" s="92">
        <v>1</v>
      </c>
      <c r="AC106" s="92">
        <v>1</v>
      </c>
      <c r="AD106" s="92">
        <v>1</v>
      </c>
      <c r="AE106" s="92">
        <v>1</v>
      </c>
      <c r="AF106" s="92">
        <v>1</v>
      </c>
      <c r="AG106" s="92">
        <v>1</v>
      </c>
      <c r="AH106" s="92">
        <v>1</v>
      </c>
      <c r="AI106" s="92">
        <v>1</v>
      </c>
      <c r="AJ106" s="92">
        <v>1</v>
      </c>
      <c r="AK106" s="92">
        <v>1</v>
      </c>
      <c r="AL106" s="92">
        <v>1</v>
      </c>
      <c r="AM106" s="92">
        <v>1</v>
      </c>
      <c r="AN106" s="92">
        <v>1</v>
      </c>
      <c r="AO106" s="92">
        <v>1</v>
      </c>
      <c r="AP106" s="92">
        <v>1</v>
      </c>
      <c r="AQ106" s="92">
        <v>1</v>
      </c>
      <c r="AR106" s="92">
        <v>1</v>
      </c>
      <c r="AS106" s="92">
        <v>1</v>
      </c>
      <c r="AT106" s="92">
        <v>1</v>
      </c>
      <c r="AU106" s="92">
        <v>1</v>
      </c>
      <c r="AV106" s="92">
        <v>1</v>
      </c>
      <c r="AX106" s="150">
        <v>0.01</v>
      </c>
    </row>
    <row r="107" spans="1:50">
      <c r="A107" s="194" t="s">
        <v>16</v>
      </c>
      <c r="B107" s="274" t="s">
        <v>250</v>
      </c>
      <c r="C107" s="92" t="str">
        <f t="shared" si="53"/>
        <v>Commercial - Cooking</v>
      </c>
      <c r="I107" s="160"/>
      <c r="J107" s="92">
        <v>1</v>
      </c>
      <c r="K107" s="92">
        <v>1</v>
      </c>
      <c r="L107" s="92">
        <v>1</v>
      </c>
      <c r="M107" s="92">
        <v>1</v>
      </c>
      <c r="N107" s="92">
        <v>1</v>
      </c>
      <c r="O107" s="92">
        <v>1</v>
      </c>
      <c r="P107" s="92">
        <v>1</v>
      </c>
      <c r="Q107" s="92">
        <v>1</v>
      </c>
      <c r="R107" s="92">
        <v>1</v>
      </c>
      <c r="S107" s="92">
        <v>1</v>
      </c>
      <c r="T107" s="92">
        <v>1</v>
      </c>
      <c r="U107" s="92">
        <v>1</v>
      </c>
      <c r="V107" s="92">
        <v>1</v>
      </c>
      <c r="W107" s="92">
        <v>1</v>
      </c>
      <c r="X107" s="92">
        <v>1</v>
      </c>
      <c r="Y107" s="92">
        <v>1</v>
      </c>
      <c r="Z107" s="92">
        <v>1</v>
      </c>
      <c r="AA107" s="92">
        <v>1</v>
      </c>
      <c r="AB107" s="92">
        <v>1</v>
      </c>
      <c r="AC107" s="92">
        <v>1</v>
      </c>
      <c r="AD107" s="92">
        <v>1</v>
      </c>
      <c r="AE107" s="92">
        <v>1</v>
      </c>
      <c r="AF107" s="92">
        <v>1</v>
      </c>
      <c r="AG107" s="92">
        <v>1</v>
      </c>
      <c r="AH107" s="92">
        <v>1</v>
      </c>
      <c r="AI107" s="92">
        <v>1</v>
      </c>
      <c r="AJ107" s="92">
        <v>1</v>
      </c>
      <c r="AK107" s="92">
        <v>1</v>
      </c>
      <c r="AL107" s="92">
        <v>1</v>
      </c>
      <c r="AM107" s="92">
        <v>1</v>
      </c>
      <c r="AN107" s="92">
        <v>1</v>
      </c>
      <c r="AO107" s="92">
        <v>1</v>
      </c>
      <c r="AP107" s="92">
        <v>1</v>
      </c>
      <c r="AQ107" s="92">
        <v>1</v>
      </c>
      <c r="AR107" s="92">
        <v>1</v>
      </c>
      <c r="AS107" s="92">
        <v>1</v>
      </c>
      <c r="AT107" s="92">
        <v>1</v>
      </c>
      <c r="AU107" s="92">
        <v>1</v>
      </c>
      <c r="AV107" s="92">
        <v>1</v>
      </c>
      <c r="AX107" s="149" t="s">
        <v>477</v>
      </c>
    </row>
    <row r="108" spans="1:50">
      <c r="A108" s="194" t="s">
        <v>16</v>
      </c>
      <c r="B108" s="274" t="s">
        <v>251</v>
      </c>
      <c r="C108" s="92" t="str">
        <f t="shared" si="53"/>
        <v>Commercial - Lighting</v>
      </c>
      <c r="I108" s="160"/>
      <c r="J108" s="92">
        <v>1</v>
      </c>
      <c r="K108" s="92">
        <v>1</v>
      </c>
      <c r="L108" s="92">
        <v>1</v>
      </c>
      <c r="M108" s="92">
        <v>1</v>
      </c>
      <c r="N108" s="92">
        <v>1</v>
      </c>
      <c r="O108" s="92">
        <v>1</v>
      </c>
      <c r="P108" s="92">
        <v>1</v>
      </c>
      <c r="Q108" s="92">
        <v>1</v>
      </c>
      <c r="R108" s="92">
        <v>1</v>
      </c>
      <c r="S108" s="92">
        <v>1</v>
      </c>
      <c r="T108" s="92">
        <v>1</v>
      </c>
      <c r="U108" s="92">
        <v>1</v>
      </c>
      <c r="V108" s="92">
        <v>1</v>
      </c>
      <c r="W108" s="92">
        <v>1</v>
      </c>
      <c r="X108" s="92">
        <v>1</v>
      </c>
      <c r="Y108" s="92">
        <v>1</v>
      </c>
      <c r="Z108" s="92">
        <v>1</v>
      </c>
      <c r="AA108" s="92">
        <v>1</v>
      </c>
      <c r="AB108" s="92">
        <v>1</v>
      </c>
      <c r="AC108" s="92">
        <v>1</v>
      </c>
      <c r="AD108" s="92">
        <v>1</v>
      </c>
      <c r="AE108" s="92">
        <v>1</v>
      </c>
      <c r="AF108" s="92">
        <v>1</v>
      </c>
      <c r="AG108" s="92">
        <v>1</v>
      </c>
      <c r="AH108" s="92">
        <v>1</v>
      </c>
      <c r="AI108" s="92">
        <v>1</v>
      </c>
      <c r="AJ108" s="92">
        <v>1</v>
      </c>
      <c r="AK108" s="92">
        <v>1</v>
      </c>
      <c r="AL108" s="92">
        <v>1</v>
      </c>
      <c r="AM108" s="92">
        <v>1</v>
      </c>
      <c r="AN108" s="92">
        <v>1</v>
      </c>
      <c r="AO108" s="92">
        <v>1</v>
      </c>
      <c r="AP108" s="92">
        <v>1</v>
      </c>
      <c r="AQ108" s="92">
        <v>1</v>
      </c>
      <c r="AR108" s="92">
        <v>1</v>
      </c>
      <c r="AS108" s="92">
        <v>1</v>
      </c>
      <c r="AT108" s="92">
        <v>1</v>
      </c>
      <c r="AU108" s="92">
        <v>1</v>
      </c>
      <c r="AV108" s="92">
        <v>1</v>
      </c>
      <c r="AX108" s="149" t="s">
        <v>478</v>
      </c>
    </row>
    <row r="109" spans="1:50">
      <c r="A109" s="194" t="s">
        <v>16</v>
      </c>
      <c r="B109" s="274" t="s">
        <v>252</v>
      </c>
      <c r="C109" s="92" t="str">
        <f t="shared" si="53"/>
        <v>Commercial - Refrigeration</v>
      </c>
      <c r="I109" s="160"/>
      <c r="J109" s="92">
        <v>1</v>
      </c>
      <c r="K109" s="92">
        <v>1</v>
      </c>
      <c r="L109" s="92">
        <v>1</v>
      </c>
      <c r="M109" s="92">
        <v>1</v>
      </c>
      <c r="N109" s="92">
        <v>1</v>
      </c>
      <c r="O109" s="92">
        <v>1</v>
      </c>
      <c r="P109" s="92">
        <v>1</v>
      </c>
      <c r="Q109" s="92">
        <v>1</v>
      </c>
      <c r="R109" s="92">
        <v>1</v>
      </c>
      <c r="S109" s="92">
        <v>1</v>
      </c>
      <c r="T109" s="92">
        <v>1</v>
      </c>
      <c r="U109" s="92">
        <v>1</v>
      </c>
      <c r="V109" s="92">
        <v>1</v>
      </c>
      <c r="W109" s="92">
        <v>1</v>
      </c>
      <c r="X109" s="92">
        <v>1</v>
      </c>
      <c r="Y109" s="92">
        <v>1</v>
      </c>
      <c r="Z109" s="92">
        <v>1</v>
      </c>
      <c r="AA109" s="92">
        <v>1</v>
      </c>
      <c r="AB109" s="92">
        <v>1</v>
      </c>
      <c r="AC109" s="92">
        <v>1</v>
      </c>
      <c r="AD109" s="92">
        <v>1</v>
      </c>
      <c r="AE109" s="92">
        <v>1</v>
      </c>
      <c r="AF109" s="92">
        <v>1</v>
      </c>
      <c r="AG109" s="92">
        <v>1</v>
      </c>
      <c r="AH109" s="92">
        <v>1</v>
      </c>
      <c r="AI109" s="92">
        <v>1</v>
      </c>
      <c r="AJ109" s="92">
        <v>1</v>
      </c>
      <c r="AK109" s="92">
        <v>1</v>
      </c>
      <c r="AL109" s="92">
        <v>1</v>
      </c>
      <c r="AM109" s="92">
        <v>1</v>
      </c>
      <c r="AN109" s="92">
        <v>1</v>
      </c>
      <c r="AO109" s="92">
        <v>1</v>
      </c>
      <c r="AP109" s="92">
        <v>1</v>
      </c>
      <c r="AQ109" s="92">
        <v>1</v>
      </c>
      <c r="AR109" s="92">
        <v>1</v>
      </c>
      <c r="AS109" s="92">
        <v>1</v>
      </c>
      <c r="AT109" s="92">
        <v>1</v>
      </c>
      <c r="AU109" s="92">
        <v>1</v>
      </c>
      <c r="AV109" s="92">
        <v>1</v>
      </c>
    </row>
    <row r="110" spans="1:50">
      <c r="A110" s="194" t="s">
        <v>16</v>
      </c>
      <c r="B110" s="274" t="s">
        <v>253</v>
      </c>
      <c r="C110" s="92" t="str">
        <f t="shared" si="53"/>
        <v>Commercial - Water Heating</v>
      </c>
      <c r="I110" s="160"/>
      <c r="J110" s="92">
        <v>1</v>
      </c>
      <c r="K110" s="92">
        <v>1</v>
      </c>
      <c r="L110" s="92">
        <v>1</v>
      </c>
      <c r="M110" s="92">
        <v>1</v>
      </c>
      <c r="N110" s="92">
        <v>1</v>
      </c>
      <c r="O110" s="92">
        <v>1</v>
      </c>
      <c r="P110" s="92">
        <v>1</v>
      </c>
      <c r="Q110" s="92">
        <v>1</v>
      </c>
      <c r="R110" s="92">
        <v>1</v>
      </c>
      <c r="S110" s="92">
        <v>1</v>
      </c>
      <c r="T110" s="92">
        <v>1</v>
      </c>
      <c r="U110" s="92">
        <v>1</v>
      </c>
      <c r="V110" s="92">
        <v>1</v>
      </c>
      <c r="W110" s="92">
        <v>1</v>
      </c>
      <c r="X110" s="92">
        <v>1</v>
      </c>
      <c r="Y110" s="92">
        <v>1</v>
      </c>
      <c r="Z110" s="92">
        <v>1</v>
      </c>
      <c r="AA110" s="92">
        <v>1</v>
      </c>
      <c r="AB110" s="92">
        <v>1</v>
      </c>
      <c r="AC110" s="92">
        <v>1</v>
      </c>
      <c r="AD110" s="92">
        <v>1</v>
      </c>
      <c r="AE110" s="92">
        <v>1</v>
      </c>
      <c r="AF110" s="92">
        <v>1</v>
      </c>
      <c r="AG110" s="92">
        <v>1</v>
      </c>
      <c r="AH110" s="92">
        <v>1</v>
      </c>
      <c r="AI110" s="92">
        <v>1</v>
      </c>
      <c r="AJ110" s="92">
        <v>1</v>
      </c>
      <c r="AK110" s="92">
        <v>1</v>
      </c>
      <c r="AL110" s="92">
        <v>1</v>
      </c>
      <c r="AM110" s="92">
        <v>1</v>
      </c>
      <c r="AN110" s="92">
        <v>1</v>
      </c>
      <c r="AO110" s="92">
        <v>1</v>
      </c>
      <c r="AP110" s="92">
        <v>1</v>
      </c>
      <c r="AQ110" s="92">
        <v>1</v>
      </c>
      <c r="AR110" s="92">
        <v>1</v>
      </c>
      <c r="AS110" s="92">
        <v>1</v>
      </c>
      <c r="AT110" s="92">
        <v>1</v>
      </c>
      <c r="AU110" s="92">
        <v>1</v>
      </c>
      <c r="AV110" s="92">
        <v>1</v>
      </c>
    </row>
    <row r="111" spans="1:50">
      <c r="A111" s="194" t="s">
        <v>16</v>
      </c>
      <c r="B111" s="274" t="s">
        <v>254</v>
      </c>
      <c r="C111" s="92" t="str">
        <f t="shared" si="53"/>
        <v>Commercial - Public lights</v>
      </c>
      <c r="I111" s="160"/>
      <c r="J111" s="92">
        <v>1</v>
      </c>
      <c r="K111" s="92">
        <v>1</v>
      </c>
      <c r="L111" s="92">
        <v>1</v>
      </c>
      <c r="M111" s="92">
        <v>1</v>
      </c>
      <c r="N111" s="92">
        <v>1</v>
      </c>
      <c r="O111" s="92">
        <v>1</v>
      </c>
      <c r="P111" s="92">
        <v>1</v>
      </c>
      <c r="Q111" s="92">
        <v>1</v>
      </c>
      <c r="R111" s="92">
        <v>1</v>
      </c>
      <c r="S111" s="92">
        <v>1</v>
      </c>
      <c r="T111" s="92">
        <v>1</v>
      </c>
      <c r="U111" s="92">
        <v>1</v>
      </c>
      <c r="V111" s="92">
        <v>1</v>
      </c>
      <c r="W111" s="92">
        <v>1</v>
      </c>
      <c r="X111" s="92">
        <v>1</v>
      </c>
      <c r="Y111" s="92">
        <v>1</v>
      </c>
      <c r="Z111" s="92">
        <v>1</v>
      </c>
      <c r="AA111" s="92">
        <v>1</v>
      </c>
      <c r="AB111" s="92">
        <v>1</v>
      </c>
      <c r="AC111" s="92">
        <v>1</v>
      </c>
      <c r="AD111" s="92">
        <v>1</v>
      </c>
      <c r="AE111" s="92">
        <v>1</v>
      </c>
      <c r="AF111" s="92">
        <v>1</v>
      </c>
      <c r="AG111" s="92">
        <v>1</v>
      </c>
      <c r="AH111" s="92">
        <v>1</v>
      </c>
      <c r="AI111" s="92">
        <v>1</v>
      </c>
      <c r="AJ111" s="92">
        <v>1</v>
      </c>
      <c r="AK111" s="92">
        <v>1</v>
      </c>
      <c r="AL111" s="92">
        <v>1</v>
      </c>
      <c r="AM111" s="92">
        <v>1</v>
      </c>
      <c r="AN111" s="92">
        <v>1</v>
      </c>
      <c r="AO111" s="92">
        <v>1</v>
      </c>
      <c r="AP111" s="92">
        <v>1</v>
      </c>
      <c r="AQ111" s="92">
        <v>1</v>
      </c>
      <c r="AR111" s="92">
        <v>1</v>
      </c>
      <c r="AS111" s="92">
        <v>1</v>
      </c>
      <c r="AT111" s="92">
        <v>1</v>
      </c>
      <c r="AU111" s="92">
        <v>1</v>
      </c>
      <c r="AV111" s="92">
        <v>1</v>
      </c>
    </row>
    <row r="112" spans="1:50">
      <c r="A112" s="194" t="s">
        <v>16</v>
      </c>
      <c r="B112" s="274" t="s">
        <v>255</v>
      </c>
      <c r="C112" s="92" t="str">
        <f t="shared" si="53"/>
        <v>Commercial - Public Water</v>
      </c>
      <c r="I112" s="160"/>
      <c r="J112" s="92">
        <v>1</v>
      </c>
      <c r="K112" s="92">
        <v>1</v>
      </c>
      <c r="L112" s="92">
        <v>1</v>
      </c>
      <c r="M112" s="92">
        <v>1</v>
      </c>
      <c r="N112" s="92">
        <v>1</v>
      </c>
      <c r="O112" s="92">
        <v>1</v>
      </c>
      <c r="P112" s="92">
        <v>1</v>
      </c>
      <c r="Q112" s="92">
        <v>1</v>
      </c>
      <c r="R112" s="92">
        <v>1</v>
      </c>
      <c r="S112" s="92">
        <v>1</v>
      </c>
      <c r="T112" s="92">
        <v>1</v>
      </c>
      <c r="U112" s="92">
        <v>1</v>
      </c>
      <c r="V112" s="92">
        <v>1</v>
      </c>
      <c r="W112" s="92">
        <v>1</v>
      </c>
      <c r="X112" s="92">
        <v>1</v>
      </c>
      <c r="Y112" s="92">
        <v>1</v>
      </c>
      <c r="Z112" s="92">
        <v>1</v>
      </c>
      <c r="AA112" s="92">
        <v>1</v>
      </c>
      <c r="AB112" s="92">
        <v>1</v>
      </c>
      <c r="AC112" s="92">
        <v>1</v>
      </c>
      <c r="AD112" s="92">
        <v>1</v>
      </c>
      <c r="AE112" s="92">
        <v>1</v>
      </c>
      <c r="AF112" s="92">
        <v>1</v>
      </c>
      <c r="AG112" s="92">
        <v>1</v>
      </c>
      <c r="AH112" s="92">
        <v>1</v>
      </c>
      <c r="AI112" s="92">
        <v>1</v>
      </c>
      <c r="AJ112" s="92">
        <v>1</v>
      </c>
      <c r="AK112" s="92">
        <v>1</v>
      </c>
      <c r="AL112" s="92">
        <v>1</v>
      </c>
      <c r="AM112" s="92">
        <v>1</v>
      </c>
      <c r="AN112" s="92">
        <v>1</v>
      </c>
      <c r="AO112" s="92">
        <v>1</v>
      </c>
      <c r="AP112" s="92">
        <v>1</v>
      </c>
      <c r="AQ112" s="92">
        <v>1</v>
      </c>
      <c r="AR112" s="92">
        <v>1</v>
      </c>
      <c r="AS112" s="92">
        <v>1</v>
      </c>
      <c r="AT112" s="92">
        <v>1</v>
      </c>
      <c r="AU112" s="92">
        <v>1</v>
      </c>
      <c r="AV112" s="92">
        <v>1</v>
      </c>
    </row>
    <row r="113" spans="1:48">
      <c r="A113" s="194" t="s">
        <v>16</v>
      </c>
      <c r="B113" s="274" t="s">
        <v>256</v>
      </c>
      <c r="C113" s="92" t="str">
        <f t="shared" si="53"/>
        <v>Commercial - Other</v>
      </c>
      <c r="I113" s="160"/>
      <c r="J113" s="92">
        <v>1</v>
      </c>
      <c r="K113" s="92">
        <v>1</v>
      </c>
      <c r="L113" s="92">
        <v>1</v>
      </c>
      <c r="M113" s="92">
        <v>1</v>
      </c>
      <c r="N113" s="92">
        <v>1</v>
      </c>
      <c r="O113" s="92">
        <v>1</v>
      </c>
      <c r="P113" s="92">
        <v>1</v>
      </c>
      <c r="Q113" s="92">
        <v>1</v>
      </c>
      <c r="R113" s="92">
        <v>1</v>
      </c>
      <c r="S113" s="92">
        <v>1</v>
      </c>
      <c r="T113" s="92">
        <v>1</v>
      </c>
      <c r="U113" s="92">
        <v>1</v>
      </c>
      <c r="V113" s="92">
        <v>1</v>
      </c>
      <c r="W113" s="92">
        <v>1</v>
      </c>
      <c r="X113" s="92">
        <v>1</v>
      </c>
      <c r="Y113" s="92">
        <v>1</v>
      </c>
      <c r="Z113" s="92">
        <v>1</v>
      </c>
      <c r="AA113" s="92">
        <v>1</v>
      </c>
      <c r="AB113" s="92">
        <v>1</v>
      </c>
      <c r="AC113" s="92">
        <v>1</v>
      </c>
      <c r="AD113" s="92">
        <v>1</v>
      </c>
      <c r="AE113" s="92">
        <v>1</v>
      </c>
      <c r="AF113" s="92">
        <v>1</v>
      </c>
      <c r="AG113" s="92">
        <v>1</v>
      </c>
      <c r="AH113" s="92">
        <v>1</v>
      </c>
      <c r="AI113" s="92">
        <v>1</v>
      </c>
      <c r="AJ113" s="92">
        <v>1</v>
      </c>
      <c r="AK113" s="92">
        <v>1</v>
      </c>
      <c r="AL113" s="92">
        <v>1</v>
      </c>
      <c r="AM113" s="92">
        <v>1</v>
      </c>
      <c r="AN113" s="92">
        <v>1</v>
      </c>
      <c r="AO113" s="92">
        <v>1</v>
      </c>
      <c r="AP113" s="92">
        <v>1</v>
      </c>
      <c r="AQ113" s="92">
        <v>1</v>
      </c>
      <c r="AR113" s="92">
        <v>1</v>
      </c>
      <c r="AS113" s="92">
        <v>1</v>
      </c>
      <c r="AT113" s="92">
        <v>1</v>
      </c>
      <c r="AU113" s="92">
        <v>1</v>
      </c>
      <c r="AV113" s="92">
        <v>1</v>
      </c>
    </row>
    <row r="114" spans="1:48">
      <c r="A114" s="194" t="s">
        <v>16</v>
      </c>
      <c r="B114" s="274"/>
      <c r="I114" s="160"/>
      <c r="K114" s="92"/>
    </row>
    <row r="115" spans="1:48" ht="15.75" thickBot="1">
      <c r="A115" s="194" t="s">
        <v>16</v>
      </c>
      <c r="B115" s="274"/>
      <c r="C115" s="89" t="s">
        <v>258</v>
      </c>
      <c r="I115" s="160"/>
      <c r="K115" s="92"/>
    </row>
    <row r="116" spans="1:48">
      <c r="A116" s="194" t="s">
        <v>16</v>
      </c>
      <c r="B116" s="274" t="str">
        <f>B105</f>
        <v>CNC</v>
      </c>
      <c r="C116" s="274" t="str">
        <f>C105</f>
        <v>Commercial - Cooling</v>
      </c>
      <c r="E116" s="98">
        <v>0</v>
      </c>
      <c r="I116" s="160"/>
      <c r="J116" s="162">
        <f t="shared" ref="J116:Y124" si="54">(1-$E116)</f>
        <v>1</v>
      </c>
      <c r="K116" s="113">
        <f t="shared" si="54"/>
        <v>1</v>
      </c>
      <c r="L116" s="113">
        <f t="shared" si="54"/>
        <v>1</v>
      </c>
      <c r="M116" s="113">
        <f t="shared" si="54"/>
        <v>1</v>
      </c>
      <c r="N116" s="113">
        <f t="shared" si="54"/>
        <v>1</v>
      </c>
      <c r="O116" s="113">
        <f t="shared" si="54"/>
        <v>1</v>
      </c>
      <c r="P116" s="113">
        <f t="shared" si="54"/>
        <v>1</v>
      </c>
      <c r="Q116" s="113">
        <f t="shared" si="54"/>
        <v>1</v>
      </c>
      <c r="R116" s="113">
        <f t="shared" si="54"/>
        <v>1</v>
      </c>
      <c r="S116" s="113">
        <f t="shared" si="54"/>
        <v>1</v>
      </c>
      <c r="T116" s="113">
        <f t="shared" si="54"/>
        <v>1</v>
      </c>
      <c r="U116" s="113">
        <f t="shared" si="54"/>
        <v>1</v>
      </c>
      <c r="V116" s="113">
        <f t="shared" si="54"/>
        <v>1</v>
      </c>
      <c r="W116" s="113">
        <f t="shared" si="54"/>
        <v>1</v>
      </c>
      <c r="X116" s="113">
        <f t="shared" si="54"/>
        <v>1</v>
      </c>
      <c r="Y116" s="113">
        <f t="shared" si="54"/>
        <v>1</v>
      </c>
      <c r="Z116" s="113">
        <f t="shared" ref="Z116:AV124" si="55">(1-$E116)</f>
        <v>1</v>
      </c>
      <c r="AA116" s="113">
        <f t="shared" si="55"/>
        <v>1</v>
      </c>
      <c r="AB116" s="113">
        <f t="shared" si="55"/>
        <v>1</v>
      </c>
      <c r="AC116" s="113">
        <f t="shared" si="55"/>
        <v>1</v>
      </c>
      <c r="AD116" s="113">
        <f t="shared" si="55"/>
        <v>1</v>
      </c>
      <c r="AE116" s="113">
        <f t="shared" si="55"/>
        <v>1</v>
      </c>
      <c r="AF116" s="113">
        <f t="shared" si="55"/>
        <v>1</v>
      </c>
      <c r="AG116" s="113">
        <f t="shared" si="55"/>
        <v>1</v>
      </c>
      <c r="AH116" s="113">
        <f t="shared" si="55"/>
        <v>1</v>
      </c>
      <c r="AI116" s="113">
        <f t="shared" si="55"/>
        <v>1</v>
      </c>
      <c r="AJ116" s="113">
        <f t="shared" si="55"/>
        <v>1</v>
      </c>
      <c r="AK116" s="113">
        <f t="shared" si="55"/>
        <v>1</v>
      </c>
      <c r="AL116" s="113">
        <f t="shared" si="55"/>
        <v>1</v>
      </c>
      <c r="AM116" s="113">
        <f t="shared" si="55"/>
        <v>1</v>
      </c>
      <c r="AN116" s="113">
        <f t="shared" si="55"/>
        <v>1</v>
      </c>
      <c r="AO116" s="113">
        <f t="shared" si="55"/>
        <v>1</v>
      </c>
      <c r="AP116" s="113">
        <f t="shared" si="55"/>
        <v>1</v>
      </c>
      <c r="AQ116" s="113">
        <f t="shared" si="55"/>
        <v>1</v>
      </c>
      <c r="AR116" s="113">
        <f t="shared" si="55"/>
        <v>1</v>
      </c>
      <c r="AS116" s="113">
        <f t="shared" si="55"/>
        <v>1</v>
      </c>
      <c r="AT116" s="113">
        <f t="shared" si="55"/>
        <v>1</v>
      </c>
      <c r="AU116" s="113">
        <f t="shared" si="55"/>
        <v>1</v>
      </c>
      <c r="AV116" s="113">
        <f t="shared" si="55"/>
        <v>1</v>
      </c>
    </row>
    <row r="117" spans="1:48">
      <c r="A117" s="194" t="s">
        <v>16</v>
      </c>
      <c r="B117" s="274" t="str">
        <f t="shared" ref="B117:C124" si="56">B106</f>
        <v>CNH</v>
      </c>
      <c r="C117" s="274" t="str">
        <f t="shared" si="56"/>
        <v>Commercial - Space Heating</v>
      </c>
      <c r="E117" s="98">
        <v>0</v>
      </c>
      <c r="I117" s="160"/>
      <c r="J117" s="162">
        <f t="shared" si="54"/>
        <v>1</v>
      </c>
      <c r="K117" s="113">
        <f t="shared" si="54"/>
        <v>1</v>
      </c>
      <c r="L117" s="113">
        <f t="shared" si="54"/>
        <v>1</v>
      </c>
      <c r="M117" s="113">
        <f t="shared" si="54"/>
        <v>1</v>
      </c>
      <c r="N117" s="113">
        <f t="shared" si="54"/>
        <v>1</v>
      </c>
      <c r="O117" s="113">
        <f t="shared" si="54"/>
        <v>1</v>
      </c>
      <c r="P117" s="113">
        <f t="shared" si="54"/>
        <v>1</v>
      </c>
      <c r="Q117" s="113">
        <f t="shared" si="54"/>
        <v>1</v>
      </c>
      <c r="R117" s="113">
        <f t="shared" si="54"/>
        <v>1</v>
      </c>
      <c r="S117" s="113">
        <f t="shared" si="54"/>
        <v>1</v>
      </c>
      <c r="T117" s="113">
        <f t="shared" si="54"/>
        <v>1</v>
      </c>
      <c r="U117" s="113">
        <f t="shared" si="54"/>
        <v>1</v>
      </c>
      <c r="V117" s="113">
        <f t="shared" si="54"/>
        <v>1</v>
      </c>
      <c r="W117" s="113">
        <f t="shared" si="54"/>
        <v>1</v>
      </c>
      <c r="X117" s="113">
        <f t="shared" si="54"/>
        <v>1</v>
      </c>
      <c r="Y117" s="113">
        <f t="shared" si="54"/>
        <v>1</v>
      </c>
      <c r="Z117" s="113">
        <f t="shared" si="55"/>
        <v>1</v>
      </c>
      <c r="AA117" s="113">
        <f t="shared" si="55"/>
        <v>1</v>
      </c>
      <c r="AB117" s="113">
        <f t="shared" si="55"/>
        <v>1</v>
      </c>
      <c r="AC117" s="113">
        <f t="shared" si="55"/>
        <v>1</v>
      </c>
      <c r="AD117" s="113">
        <f t="shared" si="55"/>
        <v>1</v>
      </c>
      <c r="AE117" s="113">
        <f t="shared" si="55"/>
        <v>1</v>
      </c>
      <c r="AF117" s="113">
        <f t="shared" si="55"/>
        <v>1</v>
      </c>
      <c r="AG117" s="113">
        <f t="shared" si="55"/>
        <v>1</v>
      </c>
      <c r="AH117" s="113">
        <f t="shared" si="55"/>
        <v>1</v>
      </c>
      <c r="AI117" s="113">
        <f t="shared" si="55"/>
        <v>1</v>
      </c>
      <c r="AJ117" s="113">
        <f t="shared" si="55"/>
        <v>1</v>
      </c>
      <c r="AK117" s="113">
        <f t="shared" si="55"/>
        <v>1</v>
      </c>
      <c r="AL117" s="113">
        <f t="shared" si="55"/>
        <v>1</v>
      </c>
      <c r="AM117" s="113">
        <f t="shared" si="55"/>
        <v>1</v>
      </c>
      <c r="AN117" s="113">
        <f t="shared" si="55"/>
        <v>1</v>
      </c>
      <c r="AO117" s="113">
        <f t="shared" si="55"/>
        <v>1</v>
      </c>
      <c r="AP117" s="113">
        <f t="shared" si="55"/>
        <v>1</v>
      </c>
      <c r="AQ117" s="113">
        <f t="shared" si="55"/>
        <v>1</v>
      </c>
      <c r="AR117" s="113">
        <f t="shared" si="55"/>
        <v>1</v>
      </c>
      <c r="AS117" s="113">
        <f t="shared" si="55"/>
        <v>1</v>
      </c>
      <c r="AT117" s="113">
        <f t="shared" si="55"/>
        <v>1</v>
      </c>
      <c r="AU117" s="113">
        <f t="shared" si="55"/>
        <v>1</v>
      </c>
      <c r="AV117" s="113">
        <f t="shared" si="55"/>
        <v>1</v>
      </c>
    </row>
    <row r="118" spans="1:48">
      <c r="A118" s="194" t="s">
        <v>16</v>
      </c>
      <c r="B118" s="274" t="str">
        <f t="shared" si="56"/>
        <v>CNK</v>
      </c>
      <c r="C118" s="274" t="str">
        <f t="shared" si="56"/>
        <v>Commercial - Cooking</v>
      </c>
      <c r="E118" s="98">
        <v>0</v>
      </c>
      <c r="I118" s="160"/>
      <c r="J118" s="162">
        <f t="shared" si="54"/>
        <v>1</v>
      </c>
      <c r="K118" s="113">
        <f t="shared" si="54"/>
        <v>1</v>
      </c>
      <c r="L118" s="113">
        <f t="shared" si="54"/>
        <v>1</v>
      </c>
      <c r="M118" s="113">
        <f>(1-$E118)</f>
        <v>1</v>
      </c>
      <c r="N118" s="113">
        <f t="shared" si="54"/>
        <v>1</v>
      </c>
      <c r="O118" s="113">
        <f t="shared" si="54"/>
        <v>1</v>
      </c>
      <c r="P118" s="113">
        <f t="shared" si="54"/>
        <v>1</v>
      </c>
      <c r="Q118" s="113">
        <f t="shared" si="54"/>
        <v>1</v>
      </c>
      <c r="R118" s="113">
        <f t="shared" si="54"/>
        <v>1</v>
      </c>
      <c r="S118" s="113">
        <f t="shared" si="54"/>
        <v>1</v>
      </c>
      <c r="T118" s="113">
        <f t="shared" si="54"/>
        <v>1</v>
      </c>
      <c r="U118" s="113">
        <f t="shared" si="54"/>
        <v>1</v>
      </c>
      <c r="V118" s="113">
        <f t="shared" si="54"/>
        <v>1</v>
      </c>
      <c r="W118" s="113">
        <f t="shared" si="54"/>
        <v>1</v>
      </c>
      <c r="X118" s="113">
        <f t="shared" si="54"/>
        <v>1</v>
      </c>
      <c r="Y118" s="113">
        <f t="shared" si="54"/>
        <v>1</v>
      </c>
      <c r="Z118" s="113">
        <f t="shared" si="55"/>
        <v>1</v>
      </c>
      <c r="AA118" s="113">
        <f t="shared" si="55"/>
        <v>1</v>
      </c>
      <c r="AB118" s="113">
        <f t="shared" si="55"/>
        <v>1</v>
      </c>
      <c r="AC118" s="113">
        <f t="shared" si="55"/>
        <v>1</v>
      </c>
      <c r="AD118" s="113">
        <f t="shared" si="55"/>
        <v>1</v>
      </c>
      <c r="AE118" s="113">
        <f t="shared" si="55"/>
        <v>1</v>
      </c>
      <c r="AF118" s="113">
        <f t="shared" si="55"/>
        <v>1</v>
      </c>
      <c r="AG118" s="113">
        <f t="shared" si="55"/>
        <v>1</v>
      </c>
      <c r="AH118" s="113">
        <f t="shared" si="55"/>
        <v>1</v>
      </c>
      <c r="AI118" s="113">
        <f t="shared" si="55"/>
        <v>1</v>
      </c>
      <c r="AJ118" s="113">
        <f t="shared" si="55"/>
        <v>1</v>
      </c>
      <c r="AK118" s="113">
        <f t="shared" si="55"/>
        <v>1</v>
      </c>
      <c r="AL118" s="113">
        <f t="shared" si="55"/>
        <v>1</v>
      </c>
      <c r="AM118" s="113">
        <f t="shared" si="55"/>
        <v>1</v>
      </c>
      <c r="AN118" s="113">
        <f t="shared" si="55"/>
        <v>1</v>
      </c>
      <c r="AO118" s="113">
        <f t="shared" si="55"/>
        <v>1</v>
      </c>
      <c r="AP118" s="113">
        <f t="shared" si="55"/>
        <v>1</v>
      </c>
      <c r="AQ118" s="113">
        <f t="shared" si="55"/>
        <v>1</v>
      </c>
      <c r="AR118" s="113">
        <f t="shared" si="55"/>
        <v>1</v>
      </c>
      <c r="AS118" s="113">
        <f t="shared" si="55"/>
        <v>1</v>
      </c>
      <c r="AT118" s="113">
        <f t="shared" si="55"/>
        <v>1</v>
      </c>
      <c r="AU118" s="113">
        <f t="shared" si="55"/>
        <v>1</v>
      </c>
      <c r="AV118" s="113">
        <f t="shared" si="55"/>
        <v>1</v>
      </c>
    </row>
    <row r="119" spans="1:48">
      <c r="A119" s="194" t="s">
        <v>16</v>
      </c>
      <c r="B119" s="274" t="str">
        <f t="shared" si="56"/>
        <v>CNL</v>
      </c>
      <c r="C119" s="274" t="str">
        <f t="shared" si="56"/>
        <v>Commercial - Lighting</v>
      </c>
      <c r="E119" s="98">
        <v>0</v>
      </c>
      <c r="I119" s="160"/>
      <c r="J119" s="162">
        <f t="shared" si="54"/>
        <v>1</v>
      </c>
      <c r="K119" s="113">
        <f t="shared" si="54"/>
        <v>1</v>
      </c>
      <c r="L119" s="113">
        <f t="shared" si="54"/>
        <v>1</v>
      </c>
      <c r="M119" s="113">
        <f t="shared" si="54"/>
        <v>1</v>
      </c>
      <c r="N119" s="113">
        <f t="shared" si="54"/>
        <v>1</v>
      </c>
      <c r="O119" s="113">
        <f t="shared" si="54"/>
        <v>1</v>
      </c>
      <c r="P119" s="113">
        <f t="shared" si="54"/>
        <v>1</v>
      </c>
      <c r="Q119" s="113">
        <f t="shared" si="54"/>
        <v>1</v>
      </c>
      <c r="R119" s="113">
        <f t="shared" si="54"/>
        <v>1</v>
      </c>
      <c r="S119" s="113">
        <f t="shared" si="54"/>
        <v>1</v>
      </c>
      <c r="T119" s="113">
        <f t="shared" si="54"/>
        <v>1</v>
      </c>
      <c r="U119" s="113">
        <f t="shared" si="54"/>
        <v>1</v>
      </c>
      <c r="V119" s="113">
        <f t="shared" si="54"/>
        <v>1</v>
      </c>
      <c r="W119" s="113">
        <f t="shared" si="54"/>
        <v>1</v>
      </c>
      <c r="X119" s="113">
        <f t="shared" si="54"/>
        <v>1</v>
      </c>
      <c r="Y119" s="113">
        <f t="shared" si="54"/>
        <v>1</v>
      </c>
      <c r="Z119" s="113">
        <f t="shared" si="55"/>
        <v>1</v>
      </c>
      <c r="AA119" s="113">
        <f t="shared" si="55"/>
        <v>1</v>
      </c>
      <c r="AB119" s="113">
        <f t="shared" si="55"/>
        <v>1</v>
      </c>
      <c r="AC119" s="113">
        <f t="shared" si="55"/>
        <v>1</v>
      </c>
      <c r="AD119" s="113">
        <f t="shared" si="55"/>
        <v>1</v>
      </c>
      <c r="AE119" s="113">
        <f t="shared" si="55"/>
        <v>1</v>
      </c>
      <c r="AF119" s="113">
        <f t="shared" si="55"/>
        <v>1</v>
      </c>
      <c r="AG119" s="113">
        <f t="shared" si="55"/>
        <v>1</v>
      </c>
      <c r="AH119" s="113">
        <f t="shared" si="55"/>
        <v>1</v>
      </c>
      <c r="AI119" s="113">
        <f t="shared" si="55"/>
        <v>1</v>
      </c>
      <c r="AJ119" s="113">
        <f t="shared" si="55"/>
        <v>1</v>
      </c>
      <c r="AK119" s="113">
        <f t="shared" si="55"/>
        <v>1</v>
      </c>
      <c r="AL119" s="113">
        <f t="shared" si="55"/>
        <v>1</v>
      </c>
      <c r="AM119" s="113">
        <f t="shared" si="55"/>
        <v>1</v>
      </c>
      <c r="AN119" s="113">
        <f t="shared" si="55"/>
        <v>1</v>
      </c>
      <c r="AO119" s="113">
        <f t="shared" si="55"/>
        <v>1</v>
      </c>
      <c r="AP119" s="113">
        <f t="shared" si="55"/>
        <v>1</v>
      </c>
      <c r="AQ119" s="113">
        <f t="shared" si="55"/>
        <v>1</v>
      </c>
      <c r="AR119" s="113">
        <f t="shared" si="55"/>
        <v>1</v>
      </c>
      <c r="AS119" s="113">
        <f t="shared" si="55"/>
        <v>1</v>
      </c>
      <c r="AT119" s="113">
        <f t="shared" si="55"/>
        <v>1</v>
      </c>
      <c r="AU119" s="113">
        <f t="shared" si="55"/>
        <v>1</v>
      </c>
      <c r="AV119" s="113">
        <f t="shared" si="55"/>
        <v>1</v>
      </c>
    </row>
    <row r="120" spans="1:48">
      <c r="A120" s="194" t="s">
        <v>16</v>
      </c>
      <c r="B120" s="274" t="str">
        <f t="shared" si="56"/>
        <v>CNR</v>
      </c>
      <c r="C120" s="274" t="str">
        <f t="shared" si="56"/>
        <v>Commercial - Refrigeration</v>
      </c>
      <c r="E120" s="98">
        <v>0</v>
      </c>
      <c r="I120" s="160"/>
      <c r="J120" s="162">
        <f t="shared" si="54"/>
        <v>1</v>
      </c>
      <c r="K120" s="113">
        <f t="shared" si="54"/>
        <v>1</v>
      </c>
      <c r="L120" s="113">
        <f t="shared" si="54"/>
        <v>1</v>
      </c>
      <c r="M120" s="113">
        <f t="shared" si="54"/>
        <v>1</v>
      </c>
      <c r="N120" s="113">
        <f t="shared" si="54"/>
        <v>1</v>
      </c>
      <c r="O120" s="113">
        <f t="shared" si="54"/>
        <v>1</v>
      </c>
      <c r="P120" s="113">
        <f t="shared" si="54"/>
        <v>1</v>
      </c>
      <c r="Q120" s="113">
        <f t="shared" si="54"/>
        <v>1</v>
      </c>
      <c r="R120" s="113">
        <f t="shared" si="54"/>
        <v>1</v>
      </c>
      <c r="S120" s="113">
        <f t="shared" si="54"/>
        <v>1</v>
      </c>
      <c r="T120" s="113">
        <f t="shared" si="54"/>
        <v>1</v>
      </c>
      <c r="U120" s="113">
        <f t="shared" si="54"/>
        <v>1</v>
      </c>
      <c r="V120" s="113">
        <f t="shared" si="54"/>
        <v>1</v>
      </c>
      <c r="W120" s="113">
        <f t="shared" si="54"/>
        <v>1</v>
      </c>
      <c r="X120" s="113">
        <f t="shared" si="54"/>
        <v>1</v>
      </c>
      <c r="Y120" s="113">
        <f t="shared" si="54"/>
        <v>1</v>
      </c>
      <c r="Z120" s="113">
        <f t="shared" si="55"/>
        <v>1</v>
      </c>
      <c r="AA120" s="113">
        <f t="shared" si="55"/>
        <v>1</v>
      </c>
      <c r="AB120" s="113">
        <f t="shared" si="55"/>
        <v>1</v>
      </c>
      <c r="AC120" s="113">
        <f t="shared" si="55"/>
        <v>1</v>
      </c>
      <c r="AD120" s="113">
        <f t="shared" si="55"/>
        <v>1</v>
      </c>
      <c r="AE120" s="113">
        <f t="shared" si="55"/>
        <v>1</v>
      </c>
      <c r="AF120" s="113">
        <f t="shared" si="55"/>
        <v>1</v>
      </c>
      <c r="AG120" s="113">
        <f t="shared" si="55"/>
        <v>1</v>
      </c>
      <c r="AH120" s="113">
        <f t="shared" si="55"/>
        <v>1</v>
      </c>
      <c r="AI120" s="113">
        <f t="shared" si="55"/>
        <v>1</v>
      </c>
      <c r="AJ120" s="113">
        <f t="shared" si="55"/>
        <v>1</v>
      </c>
      <c r="AK120" s="113">
        <f t="shared" si="55"/>
        <v>1</v>
      </c>
      <c r="AL120" s="113">
        <f t="shared" si="55"/>
        <v>1</v>
      </c>
      <c r="AM120" s="113">
        <f t="shared" si="55"/>
        <v>1</v>
      </c>
      <c r="AN120" s="113">
        <f t="shared" si="55"/>
        <v>1</v>
      </c>
      <c r="AO120" s="113">
        <f t="shared" si="55"/>
        <v>1</v>
      </c>
      <c r="AP120" s="113">
        <f t="shared" si="55"/>
        <v>1</v>
      </c>
      <c r="AQ120" s="113">
        <f t="shared" si="55"/>
        <v>1</v>
      </c>
      <c r="AR120" s="113">
        <f t="shared" si="55"/>
        <v>1</v>
      </c>
      <c r="AS120" s="113">
        <f t="shared" si="55"/>
        <v>1</v>
      </c>
      <c r="AT120" s="113">
        <f t="shared" si="55"/>
        <v>1</v>
      </c>
      <c r="AU120" s="113">
        <f t="shared" si="55"/>
        <v>1</v>
      </c>
      <c r="AV120" s="113">
        <f t="shared" si="55"/>
        <v>1</v>
      </c>
    </row>
    <row r="121" spans="1:48">
      <c r="A121" s="194" t="s">
        <v>16</v>
      </c>
      <c r="B121" s="274" t="str">
        <f t="shared" si="56"/>
        <v>CNW</v>
      </c>
      <c r="C121" s="274" t="str">
        <f t="shared" si="56"/>
        <v>Commercial - Water Heating</v>
      </c>
      <c r="E121" s="98">
        <v>0</v>
      </c>
      <c r="I121" s="160"/>
      <c r="J121" s="162">
        <f t="shared" si="54"/>
        <v>1</v>
      </c>
      <c r="K121" s="113">
        <f t="shared" si="54"/>
        <v>1</v>
      </c>
      <c r="L121" s="113">
        <f t="shared" si="54"/>
        <v>1</v>
      </c>
      <c r="M121" s="113">
        <f t="shared" si="54"/>
        <v>1</v>
      </c>
      <c r="N121" s="113">
        <f t="shared" si="54"/>
        <v>1</v>
      </c>
      <c r="O121" s="113">
        <f t="shared" si="54"/>
        <v>1</v>
      </c>
      <c r="P121" s="113">
        <f t="shared" si="54"/>
        <v>1</v>
      </c>
      <c r="Q121" s="113">
        <f t="shared" si="54"/>
        <v>1</v>
      </c>
      <c r="R121" s="113">
        <f t="shared" si="54"/>
        <v>1</v>
      </c>
      <c r="S121" s="113">
        <f t="shared" si="54"/>
        <v>1</v>
      </c>
      <c r="T121" s="113">
        <f t="shared" si="54"/>
        <v>1</v>
      </c>
      <c r="U121" s="113">
        <f t="shared" si="54"/>
        <v>1</v>
      </c>
      <c r="V121" s="113">
        <f t="shared" si="54"/>
        <v>1</v>
      </c>
      <c r="W121" s="113">
        <f t="shared" si="54"/>
        <v>1</v>
      </c>
      <c r="X121" s="113">
        <f t="shared" si="54"/>
        <v>1</v>
      </c>
      <c r="Y121" s="113">
        <f t="shared" si="54"/>
        <v>1</v>
      </c>
      <c r="Z121" s="113">
        <f t="shared" si="55"/>
        <v>1</v>
      </c>
      <c r="AA121" s="113">
        <f t="shared" si="55"/>
        <v>1</v>
      </c>
      <c r="AB121" s="113">
        <f t="shared" si="55"/>
        <v>1</v>
      </c>
      <c r="AC121" s="113">
        <f t="shared" si="55"/>
        <v>1</v>
      </c>
      <c r="AD121" s="113">
        <f t="shared" si="55"/>
        <v>1</v>
      </c>
      <c r="AE121" s="113">
        <f t="shared" si="55"/>
        <v>1</v>
      </c>
      <c r="AF121" s="113">
        <f t="shared" si="55"/>
        <v>1</v>
      </c>
      <c r="AG121" s="113">
        <f t="shared" si="55"/>
        <v>1</v>
      </c>
      <c r="AH121" s="113">
        <f t="shared" si="55"/>
        <v>1</v>
      </c>
      <c r="AI121" s="113">
        <f t="shared" si="55"/>
        <v>1</v>
      </c>
      <c r="AJ121" s="113">
        <f t="shared" si="55"/>
        <v>1</v>
      </c>
      <c r="AK121" s="113">
        <f t="shared" si="55"/>
        <v>1</v>
      </c>
      <c r="AL121" s="113">
        <f t="shared" si="55"/>
        <v>1</v>
      </c>
      <c r="AM121" s="113">
        <f t="shared" si="55"/>
        <v>1</v>
      </c>
      <c r="AN121" s="113">
        <f t="shared" si="55"/>
        <v>1</v>
      </c>
      <c r="AO121" s="113">
        <f t="shared" si="55"/>
        <v>1</v>
      </c>
      <c r="AP121" s="113">
        <f t="shared" si="55"/>
        <v>1</v>
      </c>
      <c r="AQ121" s="113">
        <f t="shared" si="55"/>
        <v>1</v>
      </c>
      <c r="AR121" s="113">
        <f t="shared" si="55"/>
        <v>1</v>
      </c>
      <c r="AS121" s="113">
        <f t="shared" si="55"/>
        <v>1</v>
      </c>
      <c r="AT121" s="113">
        <f t="shared" si="55"/>
        <v>1</v>
      </c>
      <c r="AU121" s="113">
        <f t="shared" si="55"/>
        <v>1</v>
      </c>
      <c r="AV121" s="113">
        <f t="shared" si="55"/>
        <v>1</v>
      </c>
    </row>
    <row r="122" spans="1:48">
      <c r="A122" s="194" t="s">
        <v>16</v>
      </c>
      <c r="B122" s="274" t="str">
        <f t="shared" si="56"/>
        <v>CNG</v>
      </c>
      <c r="C122" s="274" t="str">
        <f t="shared" si="56"/>
        <v>Commercial - Public lights</v>
      </c>
      <c r="E122" s="98">
        <v>0</v>
      </c>
      <c r="I122" s="160"/>
      <c r="J122" s="162">
        <f t="shared" si="54"/>
        <v>1</v>
      </c>
      <c r="K122" s="113">
        <f t="shared" si="54"/>
        <v>1</v>
      </c>
      <c r="L122" s="113">
        <f t="shared" si="54"/>
        <v>1</v>
      </c>
      <c r="M122" s="113">
        <f t="shared" si="54"/>
        <v>1</v>
      </c>
      <c r="N122" s="113">
        <f t="shared" si="54"/>
        <v>1</v>
      </c>
      <c r="O122" s="113">
        <f t="shared" si="54"/>
        <v>1</v>
      </c>
      <c r="P122" s="113">
        <f t="shared" si="54"/>
        <v>1</v>
      </c>
      <c r="Q122" s="113">
        <f t="shared" si="54"/>
        <v>1</v>
      </c>
      <c r="R122" s="113">
        <f t="shared" si="54"/>
        <v>1</v>
      </c>
      <c r="S122" s="113">
        <f t="shared" si="54"/>
        <v>1</v>
      </c>
      <c r="T122" s="113">
        <f t="shared" si="54"/>
        <v>1</v>
      </c>
      <c r="U122" s="113">
        <f t="shared" si="54"/>
        <v>1</v>
      </c>
      <c r="V122" s="113">
        <f t="shared" si="54"/>
        <v>1</v>
      </c>
      <c r="W122" s="113">
        <f t="shared" si="54"/>
        <v>1</v>
      </c>
      <c r="X122" s="113">
        <f t="shared" si="54"/>
        <v>1</v>
      </c>
      <c r="Y122" s="113">
        <f t="shared" si="54"/>
        <v>1</v>
      </c>
      <c r="Z122" s="113">
        <f t="shared" si="55"/>
        <v>1</v>
      </c>
      <c r="AA122" s="113">
        <f t="shared" si="55"/>
        <v>1</v>
      </c>
      <c r="AB122" s="113">
        <f t="shared" si="55"/>
        <v>1</v>
      </c>
      <c r="AC122" s="113">
        <f t="shared" si="55"/>
        <v>1</v>
      </c>
      <c r="AD122" s="113">
        <f t="shared" si="55"/>
        <v>1</v>
      </c>
      <c r="AE122" s="113">
        <f t="shared" si="55"/>
        <v>1</v>
      </c>
      <c r="AF122" s="113">
        <f t="shared" si="55"/>
        <v>1</v>
      </c>
      <c r="AG122" s="113">
        <f t="shared" si="55"/>
        <v>1</v>
      </c>
      <c r="AH122" s="113">
        <f t="shared" si="55"/>
        <v>1</v>
      </c>
      <c r="AI122" s="113">
        <f t="shared" si="55"/>
        <v>1</v>
      </c>
      <c r="AJ122" s="113">
        <f t="shared" si="55"/>
        <v>1</v>
      </c>
      <c r="AK122" s="113">
        <f t="shared" si="55"/>
        <v>1</v>
      </c>
      <c r="AL122" s="113">
        <f t="shared" si="55"/>
        <v>1</v>
      </c>
      <c r="AM122" s="113">
        <f t="shared" si="55"/>
        <v>1</v>
      </c>
      <c r="AN122" s="113">
        <f t="shared" si="55"/>
        <v>1</v>
      </c>
      <c r="AO122" s="113">
        <f t="shared" si="55"/>
        <v>1</v>
      </c>
      <c r="AP122" s="113">
        <f t="shared" si="55"/>
        <v>1</v>
      </c>
      <c r="AQ122" s="113">
        <f t="shared" si="55"/>
        <v>1</v>
      </c>
      <c r="AR122" s="113">
        <f t="shared" si="55"/>
        <v>1</v>
      </c>
      <c r="AS122" s="113">
        <f t="shared" si="55"/>
        <v>1</v>
      </c>
      <c r="AT122" s="113">
        <f t="shared" si="55"/>
        <v>1</v>
      </c>
      <c r="AU122" s="113">
        <f t="shared" si="55"/>
        <v>1</v>
      </c>
      <c r="AV122" s="113">
        <f t="shared" si="55"/>
        <v>1</v>
      </c>
    </row>
    <row r="123" spans="1:48">
      <c r="A123" s="194" t="s">
        <v>16</v>
      </c>
      <c r="B123" s="274" t="str">
        <f t="shared" si="56"/>
        <v>CNT</v>
      </c>
      <c r="C123" s="274" t="str">
        <f t="shared" si="56"/>
        <v>Commercial - Public Water</v>
      </c>
      <c r="E123" s="98">
        <v>0</v>
      </c>
      <c r="I123" s="160"/>
      <c r="J123" s="162">
        <f t="shared" si="54"/>
        <v>1</v>
      </c>
      <c r="K123" s="113">
        <f t="shared" si="54"/>
        <v>1</v>
      </c>
      <c r="L123" s="113">
        <f t="shared" si="54"/>
        <v>1</v>
      </c>
      <c r="M123" s="113">
        <f t="shared" si="54"/>
        <v>1</v>
      </c>
      <c r="N123" s="113">
        <f t="shared" si="54"/>
        <v>1</v>
      </c>
      <c r="O123" s="113">
        <f t="shared" si="54"/>
        <v>1</v>
      </c>
      <c r="P123" s="113">
        <f t="shared" si="54"/>
        <v>1</v>
      </c>
      <c r="Q123" s="113">
        <f t="shared" si="54"/>
        <v>1</v>
      </c>
      <c r="R123" s="113">
        <f t="shared" si="54"/>
        <v>1</v>
      </c>
      <c r="S123" s="113">
        <f t="shared" si="54"/>
        <v>1</v>
      </c>
      <c r="T123" s="113">
        <f t="shared" si="54"/>
        <v>1</v>
      </c>
      <c r="U123" s="113">
        <f t="shared" si="54"/>
        <v>1</v>
      </c>
      <c r="V123" s="113">
        <f t="shared" si="54"/>
        <v>1</v>
      </c>
      <c r="W123" s="113">
        <f t="shared" si="54"/>
        <v>1</v>
      </c>
      <c r="X123" s="113">
        <f t="shared" si="54"/>
        <v>1</v>
      </c>
      <c r="Y123" s="113">
        <f t="shared" si="54"/>
        <v>1</v>
      </c>
      <c r="Z123" s="113">
        <f t="shared" si="55"/>
        <v>1</v>
      </c>
      <c r="AA123" s="113">
        <f t="shared" si="55"/>
        <v>1</v>
      </c>
      <c r="AB123" s="113">
        <f t="shared" si="55"/>
        <v>1</v>
      </c>
      <c r="AC123" s="113">
        <f t="shared" si="55"/>
        <v>1</v>
      </c>
      <c r="AD123" s="113">
        <f t="shared" si="55"/>
        <v>1</v>
      </c>
      <c r="AE123" s="113">
        <f t="shared" si="55"/>
        <v>1</v>
      </c>
      <c r="AF123" s="113">
        <f t="shared" si="55"/>
        <v>1</v>
      </c>
      <c r="AG123" s="113">
        <f t="shared" si="55"/>
        <v>1</v>
      </c>
      <c r="AH123" s="113">
        <f t="shared" si="55"/>
        <v>1</v>
      </c>
      <c r="AI123" s="113">
        <f t="shared" si="55"/>
        <v>1</v>
      </c>
      <c r="AJ123" s="113">
        <f t="shared" si="55"/>
        <v>1</v>
      </c>
      <c r="AK123" s="113">
        <f t="shared" si="55"/>
        <v>1</v>
      </c>
      <c r="AL123" s="113">
        <f t="shared" si="55"/>
        <v>1</v>
      </c>
      <c r="AM123" s="113">
        <f t="shared" si="55"/>
        <v>1</v>
      </c>
      <c r="AN123" s="113">
        <f t="shared" si="55"/>
        <v>1</v>
      </c>
      <c r="AO123" s="113">
        <f t="shared" si="55"/>
        <v>1</v>
      </c>
      <c r="AP123" s="113">
        <f t="shared" si="55"/>
        <v>1</v>
      </c>
      <c r="AQ123" s="113">
        <f t="shared" si="55"/>
        <v>1</v>
      </c>
      <c r="AR123" s="113">
        <f t="shared" si="55"/>
        <v>1</v>
      </c>
      <c r="AS123" s="113">
        <f t="shared" si="55"/>
        <v>1</v>
      </c>
      <c r="AT123" s="113">
        <f t="shared" si="55"/>
        <v>1</v>
      </c>
      <c r="AU123" s="113">
        <f t="shared" si="55"/>
        <v>1</v>
      </c>
      <c r="AV123" s="113">
        <f t="shared" si="55"/>
        <v>1</v>
      </c>
    </row>
    <row r="124" spans="1:48">
      <c r="A124" s="194" t="s">
        <v>16</v>
      </c>
      <c r="B124" s="274" t="str">
        <f t="shared" si="56"/>
        <v>CNO</v>
      </c>
      <c r="C124" s="274" t="str">
        <f t="shared" si="56"/>
        <v>Commercial - Other</v>
      </c>
      <c r="E124" s="98">
        <v>0</v>
      </c>
      <c r="I124" s="160"/>
      <c r="J124" s="162">
        <f t="shared" si="54"/>
        <v>1</v>
      </c>
      <c r="K124" s="113">
        <f t="shared" si="54"/>
        <v>1</v>
      </c>
      <c r="L124" s="113">
        <f t="shared" si="54"/>
        <v>1</v>
      </c>
      <c r="M124" s="113">
        <f t="shared" si="54"/>
        <v>1</v>
      </c>
      <c r="N124" s="113">
        <f t="shared" si="54"/>
        <v>1</v>
      </c>
      <c r="O124" s="113">
        <f t="shared" si="54"/>
        <v>1</v>
      </c>
      <c r="P124" s="113">
        <f t="shared" si="54"/>
        <v>1</v>
      </c>
      <c r="Q124" s="113">
        <f t="shared" si="54"/>
        <v>1</v>
      </c>
      <c r="R124" s="113">
        <f t="shared" si="54"/>
        <v>1</v>
      </c>
      <c r="S124" s="113">
        <f t="shared" si="54"/>
        <v>1</v>
      </c>
      <c r="T124" s="113">
        <f t="shared" si="54"/>
        <v>1</v>
      </c>
      <c r="U124" s="113">
        <f t="shared" si="54"/>
        <v>1</v>
      </c>
      <c r="V124" s="113">
        <f t="shared" si="54"/>
        <v>1</v>
      </c>
      <c r="W124" s="113">
        <f t="shared" si="54"/>
        <v>1</v>
      </c>
      <c r="X124" s="113">
        <f t="shared" si="54"/>
        <v>1</v>
      </c>
      <c r="Y124" s="113">
        <f t="shared" si="54"/>
        <v>1</v>
      </c>
      <c r="Z124" s="113">
        <f t="shared" si="55"/>
        <v>1</v>
      </c>
      <c r="AA124" s="113">
        <f t="shared" si="55"/>
        <v>1</v>
      </c>
      <c r="AB124" s="113">
        <f t="shared" si="55"/>
        <v>1</v>
      </c>
      <c r="AC124" s="113">
        <f t="shared" si="55"/>
        <v>1</v>
      </c>
      <c r="AD124" s="113">
        <f t="shared" si="55"/>
        <v>1</v>
      </c>
      <c r="AE124" s="113">
        <f t="shared" si="55"/>
        <v>1</v>
      </c>
      <c r="AF124" s="113">
        <f t="shared" si="55"/>
        <v>1</v>
      </c>
      <c r="AG124" s="113">
        <f t="shared" si="55"/>
        <v>1</v>
      </c>
      <c r="AH124" s="113">
        <f t="shared" si="55"/>
        <v>1</v>
      </c>
      <c r="AI124" s="113">
        <f t="shared" si="55"/>
        <v>1</v>
      </c>
      <c r="AJ124" s="113">
        <f t="shared" si="55"/>
        <v>1</v>
      </c>
      <c r="AK124" s="113">
        <f t="shared" si="55"/>
        <v>1</v>
      </c>
      <c r="AL124" s="113">
        <f t="shared" si="55"/>
        <v>1</v>
      </c>
      <c r="AM124" s="113">
        <f t="shared" si="55"/>
        <v>1</v>
      </c>
      <c r="AN124" s="113">
        <f t="shared" si="55"/>
        <v>1</v>
      </c>
      <c r="AO124" s="113">
        <f t="shared" si="55"/>
        <v>1</v>
      </c>
      <c r="AP124" s="113">
        <f t="shared" si="55"/>
        <v>1</v>
      </c>
      <c r="AQ124" s="113">
        <f t="shared" si="55"/>
        <v>1</v>
      </c>
      <c r="AR124" s="113">
        <f t="shared" si="55"/>
        <v>1</v>
      </c>
      <c r="AS124" s="113">
        <f t="shared" si="55"/>
        <v>1</v>
      </c>
      <c r="AT124" s="113">
        <f t="shared" si="55"/>
        <v>1</v>
      </c>
      <c r="AU124" s="113">
        <f t="shared" si="55"/>
        <v>1</v>
      </c>
      <c r="AV124" s="113">
        <f t="shared" si="55"/>
        <v>1</v>
      </c>
    </row>
    <row r="125" spans="1:48">
      <c r="A125" s="194" t="s">
        <v>16</v>
      </c>
      <c r="B125" s="274"/>
      <c r="C125" s="274"/>
      <c r="I125" s="160"/>
      <c r="K125" s="92"/>
    </row>
    <row r="126" spans="1:48" ht="15.75" thickBot="1">
      <c r="A126" s="194" t="s">
        <v>16</v>
      </c>
      <c r="B126" s="274"/>
      <c r="C126" s="89" t="s">
        <v>259</v>
      </c>
      <c r="I126" s="160"/>
      <c r="K126" s="92"/>
    </row>
    <row r="127" spans="1:48">
      <c r="A127" s="194" t="s">
        <v>16</v>
      </c>
      <c r="B127" s="274" t="str">
        <f t="shared" ref="B127:C135" si="57">B116</f>
        <v>CNC</v>
      </c>
      <c r="C127" s="274" t="str">
        <f t="shared" si="57"/>
        <v>Commercial - Cooling</v>
      </c>
      <c r="E127" s="151">
        <f t="shared" ref="E127:E135" si="58">E116+$AX$106</f>
        <v>0.01</v>
      </c>
      <c r="I127" s="160"/>
      <c r="J127" s="163">
        <f t="shared" ref="J127:AV133" si="59">J116*(1-$E127)</f>
        <v>0.99</v>
      </c>
      <c r="K127" s="110">
        <f t="shared" si="59"/>
        <v>0.99</v>
      </c>
      <c r="L127" s="110">
        <f t="shared" si="59"/>
        <v>0.99</v>
      </c>
      <c r="M127" s="110">
        <f t="shared" si="59"/>
        <v>0.99</v>
      </c>
      <c r="N127" s="110">
        <f t="shared" si="59"/>
        <v>0.99</v>
      </c>
      <c r="O127" s="110">
        <f t="shared" si="59"/>
        <v>0.99</v>
      </c>
      <c r="P127" s="110">
        <f t="shared" si="59"/>
        <v>0.99</v>
      </c>
      <c r="Q127" s="110">
        <f t="shared" si="59"/>
        <v>0.99</v>
      </c>
      <c r="R127" s="110">
        <f t="shared" si="59"/>
        <v>0.99</v>
      </c>
      <c r="S127" s="110">
        <f t="shared" si="59"/>
        <v>0.99</v>
      </c>
      <c r="T127" s="110">
        <f t="shared" si="59"/>
        <v>0.99</v>
      </c>
      <c r="U127" s="110">
        <f t="shared" si="59"/>
        <v>0.99</v>
      </c>
      <c r="V127" s="110">
        <f t="shared" si="59"/>
        <v>0.99</v>
      </c>
      <c r="W127" s="110">
        <f t="shared" si="59"/>
        <v>0.99</v>
      </c>
      <c r="X127" s="110">
        <f t="shared" si="59"/>
        <v>0.99</v>
      </c>
      <c r="Y127" s="110">
        <f t="shared" si="59"/>
        <v>0.99</v>
      </c>
      <c r="Z127" s="110">
        <f t="shared" si="59"/>
        <v>0.99</v>
      </c>
      <c r="AA127" s="110">
        <f t="shared" si="59"/>
        <v>0.99</v>
      </c>
      <c r="AB127" s="110">
        <f t="shared" si="59"/>
        <v>0.99</v>
      </c>
      <c r="AC127" s="110">
        <f t="shared" si="59"/>
        <v>0.99</v>
      </c>
      <c r="AD127" s="110">
        <f t="shared" si="59"/>
        <v>0.99</v>
      </c>
      <c r="AE127" s="110">
        <f t="shared" si="59"/>
        <v>0.99</v>
      </c>
      <c r="AF127" s="110">
        <f t="shared" si="59"/>
        <v>0.99</v>
      </c>
      <c r="AG127" s="110">
        <f t="shared" si="59"/>
        <v>0.99</v>
      </c>
      <c r="AH127" s="110">
        <f t="shared" si="59"/>
        <v>0.99</v>
      </c>
      <c r="AI127" s="110">
        <f t="shared" si="59"/>
        <v>0.99</v>
      </c>
      <c r="AJ127" s="110">
        <f t="shared" si="59"/>
        <v>0.99</v>
      </c>
      <c r="AK127" s="110">
        <f t="shared" si="59"/>
        <v>0.99</v>
      </c>
      <c r="AL127" s="110">
        <f t="shared" si="59"/>
        <v>0.99</v>
      </c>
      <c r="AM127" s="110">
        <f t="shared" si="59"/>
        <v>0.99</v>
      </c>
      <c r="AN127" s="110">
        <f t="shared" si="59"/>
        <v>0.99</v>
      </c>
      <c r="AO127" s="110">
        <f t="shared" si="59"/>
        <v>0.99</v>
      </c>
      <c r="AP127" s="110">
        <f t="shared" si="59"/>
        <v>0.99</v>
      </c>
      <c r="AQ127" s="110">
        <f t="shared" si="59"/>
        <v>0.99</v>
      </c>
      <c r="AR127" s="110">
        <f t="shared" si="59"/>
        <v>0.99</v>
      </c>
      <c r="AS127" s="110">
        <f t="shared" si="59"/>
        <v>0.99</v>
      </c>
      <c r="AT127" s="110">
        <f t="shared" si="59"/>
        <v>0.99</v>
      </c>
      <c r="AU127" s="110">
        <f t="shared" si="59"/>
        <v>0.99</v>
      </c>
      <c r="AV127" s="110">
        <f t="shared" si="59"/>
        <v>0.99</v>
      </c>
    </row>
    <row r="128" spans="1:48">
      <c r="A128" s="194" t="s">
        <v>16</v>
      </c>
      <c r="B128" s="274" t="str">
        <f t="shared" si="57"/>
        <v>CNH</v>
      </c>
      <c r="C128" s="274" t="str">
        <f t="shared" si="57"/>
        <v>Commercial - Space Heating</v>
      </c>
      <c r="E128" s="151">
        <f t="shared" si="58"/>
        <v>0.01</v>
      </c>
      <c r="I128" s="160"/>
      <c r="J128" s="163">
        <f t="shared" si="59"/>
        <v>0.99</v>
      </c>
      <c r="K128" s="110">
        <f t="shared" si="59"/>
        <v>0.99</v>
      </c>
      <c r="L128" s="110">
        <f t="shared" si="59"/>
        <v>0.99</v>
      </c>
      <c r="M128" s="110">
        <f t="shared" si="59"/>
        <v>0.99</v>
      </c>
      <c r="N128" s="110">
        <f t="shared" si="59"/>
        <v>0.99</v>
      </c>
      <c r="O128" s="110">
        <f t="shared" si="59"/>
        <v>0.99</v>
      </c>
      <c r="P128" s="110">
        <f t="shared" si="59"/>
        <v>0.99</v>
      </c>
      <c r="Q128" s="110">
        <f t="shared" si="59"/>
        <v>0.99</v>
      </c>
      <c r="R128" s="110">
        <f t="shared" si="59"/>
        <v>0.99</v>
      </c>
      <c r="S128" s="110">
        <f t="shared" si="59"/>
        <v>0.99</v>
      </c>
      <c r="T128" s="110">
        <f t="shared" si="59"/>
        <v>0.99</v>
      </c>
      <c r="U128" s="110">
        <f t="shared" si="59"/>
        <v>0.99</v>
      </c>
      <c r="V128" s="110">
        <f t="shared" si="59"/>
        <v>0.99</v>
      </c>
      <c r="W128" s="110">
        <f t="shared" si="59"/>
        <v>0.99</v>
      </c>
      <c r="X128" s="110">
        <f t="shared" si="59"/>
        <v>0.99</v>
      </c>
      <c r="Y128" s="110">
        <f t="shared" si="59"/>
        <v>0.99</v>
      </c>
      <c r="Z128" s="110">
        <f t="shared" si="59"/>
        <v>0.99</v>
      </c>
      <c r="AA128" s="110">
        <f t="shared" si="59"/>
        <v>0.99</v>
      </c>
      <c r="AB128" s="110">
        <f t="shared" si="59"/>
        <v>0.99</v>
      </c>
      <c r="AC128" s="110">
        <f t="shared" si="59"/>
        <v>0.99</v>
      </c>
      <c r="AD128" s="110">
        <f t="shared" si="59"/>
        <v>0.99</v>
      </c>
      <c r="AE128" s="110">
        <f t="shared" si="59"/>
        <v>0.99</v>
      </c>
      <c r="AF128" s="110">
        <f t="shared" si="59"/>
        <v>0.99</v>
      </c>
      <c r="AG128" s="110">
        <f t="shared" si="59"/>
        <v>0.99</v>
      </c>
      <c r="AH128" s="110">
        <f t="shared" si="59"/>
        <v>0.99</v>
      </c>
      <c r="AI128" s="110">
        <f t="shared" si="59"/>
        <v>0.99</v>
      </c>
      <c r="AJ128" s="110">
        <f t="shared" si="59"/>
        <v>0.99</v>
      </c>
      <c r="AK128" s="110">
        <f t="shared" si="59"/>
        <v>0.99</v>
      </c>
      <c r="AL128" s="110">
        <f t="shared" si="59"/>
        <v>0.99</v>
      </c>
      <c r="AM128" s="110">
        <f t="shared" si="59"/>
        <v>0.99</v>
      </c>
      <c r="AN128" s="110">
        <f t="shared" si="59"/>
        <v>0.99</v>
      </c>
      <c r="AO128" s="110">
        <f t="shared" si="59"/>
        <v>0.99</v>
      </c>
      <c r="AP128" s="110">
        <f t="shared" si="59"/>
        <v>0.99</v>
      </c>
      <c r="AQ128" s="110">
        <f t="shared" si="59"/>
        <v>0.99</v>
      </c>
      <c r="AR128" s="110">
        <f t="shared" si="59"/>
        <v>0.99</v>
      </c>
      <c r="AS128" s="110">
        <f t="shared" si="59"/>
        <v>0.99</v>
      </c>
      <c r="AT128" s="110">
        <f t="shared" si="59"/>
        <v>0.99</v>
      </c>
      <c r="AU128" s="110">
        <f t="shared" si="59"/>
        <v>0.99</v>
      </c>
      <c r="AV128" s="110">
        <f t="shared" si="59"/>
        <v>0.99</v>
      </c>
    </row>
    <row r="129" spans="1:48">
      <c r="A129" s="194" t="s">
        <v>16</v>
      </c>
      <c r="B129" s="274" t="str">
        <f t="shared" si="57"/>
        <v>CNK</v>
      </c>
      <c r="C129" s="274" t="str">
        <f t="shared" si="57"/>
        <v>Commercial - Cooking</v>
      </c>
      <c r="E129" s="151">
        <f t="shared" si="58"/>
        <v>0.01</v>
      </c>
      <c r="I129" s="160"/>
      <c r="J129" s="163">
        <f t="shared" si="59"/>
        <v>0.99</v>
      </c>
      <c r="K129" s="110">
        <f t="shared" si="59"/>
        <v>0.99</v>
      </c>
      <c r="L129" s="110">
        <f t="shared" si="59"/>
        <v>0.99</v>
      </c>
      <c r="M129" s="110">
        <f t="shared" si="59"/>
        <v>0.99</v>
      </c>
      <c r="N129" s="110">
        <f t="shared" si="59"/>
        <v>0.99</v>
      </c>
      <c r="O129" s="110">
        <f t="shared" si="59"/>
        <v>0.99</v>
      </c>
      <c r="P129" s="110">
        <f t="shared" si="59"/>
        <v>0.99</v>
      </c>
      <c r="Q129" s="110">
        <f t="shared" si="59"/>
        <v>0.99</v>
      </c>
      <c r="R129" s="110">
        <f t="shared" si="59"/>
        <v>0.99</v>
      </c>
      <c r="S129" s="110">
        <f t="shared" si="59"/>
        <v>0.99</v>
      </c>
      <c r="T129" s="110">
        <f t="shared" si="59"/>
        <v>0.99</v>
      </c>
      <c r="U129" s="110">
        <f t="shared" si="59"/>
        <v>0.99</v>
      </c>
      <c r="V129" s="110">
        <f t="shared" si="59"/>
        <v>0.99</v>
      </c>
      <c r="W129" s="110">
        <f t="shared" si="59"/>
        <v>0.99</v>
      </c>
      <c r="X129" s="110">
        <f t="shared" si="59"/>
        <v>0.99</v>
      </c>
      <c r="Y129" s="110">
        <f t="shared" si="59"/>
        <v>0.99</v>
      </c>
      <c r="Z129" s="110">
        <f t="shared" si="59"/>
        <v>0.99</v>
      </c>
      <c r="AA129" s="110">
        <f t="shared" si="59"/>
        <v>0.99</v>
      </c>
      <c r="AB129" s="110">
        <f t="shared" si="59"/>
        <v>0.99</v>
      </c>
      <c r="AC129" s="110">
        <f t="shared" si="59"/>
        <v>0.99</v>
      </c>
      <c r="AD129" s="110">
        <f t="shared" si="59"/>
        <v>0.99</v>
      </c>
      <c r="AE129" s="110">
        <f t="shared" si="59"/>
        <v>0.99</v>
      </c>
      <c r="AF129" s="110">
        <f t="shared" si="59"/>
        <v>0.99</v>
      </c>
      <c r="AG129" s="110">
        <f t="shared" si="59"/>
        <v>0.99</v>
      </c>
      <c r="AH129" s="110">
        <f t="shared" si="59"/>
        <v>0.99</v>
      </c>
      <c r="AI129" s="110">
        <f t="shared" si="59"/>
        <v>0.99</v>
      </c>
      <c r="AJ129" s="110">
        <f t="shared" si="59"/>
        <v>0.99</v>
      </c>
      <c r="AK129" s="110">
        <f t="shared" si="59"/>
        <v>0.99</v>
      </c>
      <c r="AL129" s="110">
        <f t="shared" si="59"/>
        <v>0.99</v>
      </c>
      <c r="AM129" s="110">
        <f t="shared" si="59"/>
        <v>0.99</v>
      </c>
      <c r="AN129" s="110">
        <f t="shared" si="59"/>
        <v>0.99</v>
      </c>
      <c r="AO129" s="110">
        <f t="shared" si="59"/>
        <v>0.99</v>
      </c>
      <c r="AP129" s="110">
        <f t="shared" si="59"/>
        <v>0.99</v>
      </c>
      <c r="AQ129" s="110">
        <f t="shared" si="59"/>
        <v>0.99</v>
      </c>
      <c r="AR129" s="110">
        <f t="shared" si="59"/>
        <v>0.99</v>
      </c>
      <c r="AS129" s="110">
        <f t="shared" si="59"/>
        <v>0.99</v>
      </c>
      <c r="AT129" s="110">
        <f t="shared" si="59"/>
        <v>0.99</v>
      </c>
      <c r="AU129" s="110">
        <f t="shared" si="59"/>
        <v>0.99</v>
      </c>
      <c r="AV129" s="110">
        <f t="shared" si="59"/>
        <v>0.99</v>
      </c>
    </row>
    <row r="130" spans="1:48">
      <c r="A130" s="194" t="s">
        <v>16</v>
      </c>
      <c r="B130" s="274" t="str">
        <f t="shared" si="57"/>
        <v>CNL</v>
      </c>
      <c r="C130" s="274" t="str">
        <f t="shared" si="57"/>
        <v>Commercial - Lighting</v>
      </c>
      <c r="E130" s="151">
        <f t="shared" si="58"/>
        <v>0.01</v>
      </c>
      <c r="I130" s="160"/>
      <c r="J130" s="163">
        <f t="shared" si="59"/>
        <v>0.99</v>
      </c>
      <c r="K130" s="110">
        <f t="shared" si="59"/>
        <v>0.99</v>
      </c>
      <c r="L130" s="110">
        <f t="shared" si="59"/>
        <v>0.99</v>
      </c>
      <c r="M130" s="110">
        <f t="shared" si="59"/>
        <v>0.99</v>
      </c>
      <c r="N130" s="110">
        <f t="shared" si="59"/>
        <v>0.99</v>
      </c>
      <c r="O130" s="110">
        <f t="shared" si="59"/>
        <v>0.99</v>
      </c>
      <c r="P130" s="110">
        <f t="shared" si="59"/>
        <v>0.99</v>
      </c>
      <c r="Q130" s="110">
        <f t="shared" si="59"/>
        <v>0.99</v>
      </c>
      <c r="R130" s="110">
        <f t="shared" si="59"/>
        <v>0.99</v>
      </c>
      <c r="S130" s="110">
        <f t="shared" si="59"/>
        <v>0.99</v>
      </c>
      <c r="T130" s="110">
        <f t="shared" si="59"/>
        <v>0.99</v>
      </c>
      <c r="U130" s="110">
        <f t="shared" si="59"/>
        <v>0.99</v>
      </c>
      <c r="V130" s="110">
        <f t="shared" si="59"/>
        <v>0.99</v>
      </c>
      <c r="W130" s="110">
        <f t="shared" si="59"/>
        <v>0.99</v>
      </c>
      <c r="X130" s="110">
        <f t="shared" si="59"/>
        <v>0.99</v>
      </c>
      <c r="Y130" s="110">
        <f t="shared" si="59"/>
        <v>0.99</v>
      </c>
      <c r="Z130" s="110">
        <f t="shared" si="59"/>
        <v>0.99</v>
      </c>
      <c r="AA130" s="110">
        <f t="shared" si="59"/>
        <v>0.99</v>
      </c>
      <c r="AB130" s="110">
        <f t="shared" si="59"/>
        <v>0.99</v>
      </c>
      <c r="AC130" s="110">
        <f t="shared" si="59"/>
        <v>0.99</v>
      </c>
      <c r="AD130" s="110">
        <f t="shared" si="59"/>
        <v>0.99</v>
      </c>
      <c r="AE130" s="110">
        <f t="shared" si="59"/>
        <v>0.99</v>
      </c>
      <c r="AF130" s="110">
        <f t="shared" si="59"/>
        <v>0.99</v>
      </c>
      <c r="AG130" s="110">
        <f t="shared" si="59"/>
        <v>0.99</v>
      </c>
      <c r="AH130" s="110">
        <f t="shared" si="59"/>
        <v>0.99</v>
      </c>
      <c r="AI130" s="110">
        <f t="shared" si="59"/>
        <v>0.99</v>
      </c>
      <c r="AJ130" s="110">
        <f t="shared" si="59"/>
        <v>0.99</v>
      </c>
      <c r="AK130" s="110">
        <f t="shared" si="59"/>
        <v>0.99</v>
      </c>
      <c r="AL130" s="110">
        <f t="shared" si="59"/>
        <v>0.99</v>
      </c>
      <c r="AM130" s="110">
        <f t="shared" si="59"/>
        <v>0.99</v>
      </c>
      <c r="AN130" s="110">
        <f t="shared" si="59"/>
        <v>0.99</v>
      </c>
      <c r="AO130" s="110">
        <f t="shared" si="59"/>
        <v>0.99</v>
      </c>
      <c r="AP130" s="110">
        <f t="shared" si="59"/>
        <v>0.99</v>
      </c>
      <c r="AQ130" s="110">
        <f t="shared" si="59"/>
        <v>0.99</v>
      </c>
      <c r="AR130" s="110">
        <f t="shared" si="59"/>
        <v>0.99</v>
      </c>
      <c r="AS130" s="110">
        <f t="shared" si="59"/>
        <v>0.99</v>
      </c>
      <c r="AT130" s="110">
        <f t="shared" si="59"/>
        <v>0.99</v>
      </c>
      <c r="AU130" s="110">
        <f t="shared" si="59"/>
        <v>0.99</v>
      </c>
      <c r="AV130" s="110">
        <f t="shared" si="59"/>
        <v>0.99</v>
      </c>
    </row>
    <row r="131" spans="1:48">
      <c r="A131" s="194" t="s">
        <v>16</v>
      </c>
      <c r="B131" s="274" t="str">
        <f t="shared" si="57"/>
        <v>CNR</v>
      </c>
      <c r="C131" s="274" t="str">
        <f t="shared" si="57"/>
        <v>Commercial - Refrigeration</v>
      </c>
      <c r="E131" s="151">
        <f t="shared" si="58"/>
        <v>0.01</v>
      </c>
      <c r="H131" s="274"/>
      <c r="I131" s="160"/>
      <c r="J131" s="163">
        <f t="shared" si="59"/>
        <v>0.99</v>
      </c>
      <c r="K131" s="110">
        <f t="shared" si="59"/>
        <v>0.99</v>
      </c>
      <c r="L131" s="110">
        <f t="shared" si="59"/>
        <v>0.99</v>
      </c>
      <c r="M131" s="110">
        <f t="shared" si="59"/>
        <v>0.99</v>
      </c>
      <c r="N131" s="110">
        <f>N120*(1-$E131)</f>
        <v>0.99</v>
      </c>
      <c r="O131" s="110">
        <f t="shared" si="59"/>
        <v>0.99</v>
      </c>
      <c r="P131" s="110">
        <f t="shared" si="59"/>
        <v>0.99</v>
      </c>
      <c r="Q131" s="110">
        <f t="shared" si="59"/>
        <v>0.99</v>
      </c>
      <c r="R131" s="110">
        <f t="shared" si="59"/>
        <v>0.99</v>
      </c>
      <c r="S131" s="110">
        <f t="shared" si="59"/>
        <v>0.99</v>
      </c>
      <c r="T131" s="110">
        <f t="shared" si="59"/>
        <v>0.99</v>
      </c>
      <c r="U131" s="110">
        <f t="shared" si="59"/>
        <v>0.99</v>
      </c>
      <c r="V131" s="110">
        <f t="shared" si="59"/>
        <v>0.99</v>
      </c>
      <c r="W131" s="110">
        <f t="shared" si="59"/>
        <v>0.99</v>
      </c>
      <c r="X131" s="110">
        <f t="shared" si="59"/>
        <v>0.99</v>
      </c>
      <c r="Y131" s="110">
        <f t="shared" si="59"/>
        <v>0.99</v>
      </c>
      <c r="Z131" s="110">
        <f t="shared" si="59"/>
        <v>0.99</v>
      </c>
      <c r="AA131" s="110">
        <f t="shared" si="59"/>
        <v>0.99</v>
      </c>
      <c r="AB131" s="110">
        <f t="shared" si="59"/>
        <v>0.99</v>
      </c>
      <c r="AC131" s="110">
        <f t="shared" si="59"/>
        <v>0.99</v>
      </c>
      <c r="AD131" s="110">
        <f t="shared" si="59"/>
        <v>0.99</v>
      </c>
      <c r="AE131" s="110">
        <f t="shared" si="59"/>
        <v>0.99</v>
      </c>
      <c r="AF131" s="110">
        <f t="shared" si="59"/>
        <v>0.99</v>
      </c>
      <c r="AG131" s="110">
        <f t="shared" si="59"/>
        <v>0.99</v>
      </c>
      <c r="AH131" s="110">
        <f t="shared" si="59"/>
        <v>0.99</v>
      </c>
      <c r="AI131" s="110">
        <f t="shared" si="59"/>
        <v>0.99</v>
      </c>
      <c r="AJ131" s="110">
        <f t="shared" si="59"/>
        <v>0.99</v>
      </c>
      <c r="AK131" s="110">
        <f t="shared" si="59"/>
        <v>0.99</v>
      </c>
      <c r="AL131" s="110">
        <f t="shared" si="59"/>
        <v>0.99</v>
      </c>
      <c r="AM131" s="110">
        <f t="shared" si="59"/>
        <v>0.99</v>
      </c>
      <c r="AN131" s="110">
        <f t="shared" si="59"/>
        <v>0.99</v>
      </c>
      <c r="AO131" s="110">
        <f t="shared" si="59"/>
        <v>0.99</v>
      </c>
      <c r="AP131" s="110">
        <f t="shared" si="59"/>
        <v>0.99</v>
      </c>
      <c r="AQ131" s="110">
        <f t="shared" si="59"/>
        <v>0.99</v>
      </c>
      <c r="AR131" s="110">
        <f t="shared" si="59"/>
        <v>0.99</v>
      </c>
      <c r="AS131" s="110">
        <f t="shared" si="59"/>
        <v>0.99</v>
      </c>
      <c r="AT131" s="110">
        <f t="shared" si="59"/>
        <v>0.99</v>
      </c>
      <c r="AU131" s="110">
        <f t="shared" si="59"/>
        <v>0.99</v>
      </c>
      <c r="AV131" s="110">
        <f t="shared" si="59"/>
        <v>0.99</v>
      </c>
    </row>
    <row r="132" spans="1:48">
      <c r="A132" s="194" t="s">
        <v>16</v>
      </c>
      <c r="B132" s="274" t="str">
        <f t="shared" si="57"/>
        <v>CNW</v>
      </c>
      <c r="C132" s="274" t="str">
        <f t="shared" si="57"/>
        <v>Commercial - Water Heating</v>
      </c>
      <c r="E132" s="151">
        <f t="shared" si="58"/>
        <v>0.01</v>
      </c>
      <c r="I132" s="160"/>
      <c r="J132" s="163">
        <f t="shared" si="59"/>
        <v>0.99</v>
      </c>
      <c r="K132" s="110">
        <f t="shared" si="59"/>
        <v>0.99</v>
      </c>
      <c r="L132" s="110">
        <f t="shared" si="59"/>
        <v>0.99</v>
      </c>
      <c r="M132" s="110">
        <f t="shared" si="59"/>
        <v>0.99</v>
      </c>
      <c r="N132" s="110">
        <f t="shared" si="59"/>
        <v>0.99</v>
      </c>
      <c r="O132" s="110">
        <f t="shared" si="59"/>
        <v>0.99</v>
      </c>
      <c r="P132" s="110">
        <f t="shared" si="59"/>
        <v>0.99</v>
      </c>
      <c r="Q132" s="110">
        <f t="shared" si="59"/>
        <v>0.99</v>
      </c>
      <c r="R132" s="110">
        <f t="shared" si="59"/>
        <v>0.99</v>
      </c>
      <c r="S132" s="110">
        <f t="shared" si="59"/>
        <v>0.99</v>
      </c>
      <c r="T132" s="110">
        <f t="shared" si="59"/>
        <v>0.99</v>
      </c>
      <c r="U132" s="110">
        <f t="shared" si="59"/>
        <v>0.99</v>
      </c>
      <c r="V132" s="110">
        <f t="shared" si="59"/>
        <v>0.99</v>
      </c>
      <c r="W132" s="110">
        <f t="shared" si="59"/>
        <v>0.99</v>
      </c>
      <c r="X132" s="110">
        <f t="shared" si="59"/>
        <v>0.99</v>
      </c>
      <c r="Y132" s="110">
        <f t="shared" si="59"/>
        <v>0.99</v>
      </c>
      <c r="Z132" s="110">
        <f t="shared" si="59"/>
        <v>0.99</v>
      </c>
      <c r="AA132" s="110">
        <f t="shared" si="59"/>
        <v>0.99</v>
      </c>
      <c r="AB132" s="110">
        <f t="shared" si="59"/>
        <v>0.99</v>
      </c>
      <c r="AC132" s="110">
        <f t="shared" si="59"/>
        <v>0.99</v>
      </c>
      <c r="AD132" s="110">
        <f t="shared" si="59"/>
        <v>0.99</v>
      </c>
      <c r="AE132" s="110">
        <f t="shared" si="59"/>
        <v>0.99</v>
      </c>
      <c r="AF132" s="110">
        <f t="shared" si="59"/>
        <v>0.99</v>
      </c>
      <c r="AG132" s="110">
        <f t="shared" si="59"/>
        <v>0.99</v>
      </c>
      <c r="AH132" s="110">
        <f t="shared" si="59"/>
        <v>0.99</v>
      </c>
      <c r="AI132" s="110">
        <f t="shared" si="59"/>
        <v>0.99</v>
      </c>
      <c r="AJ132" s="110">
        <f t="shared" si="59"/>
        <v>0.99</v>
      </c>
      <c r="AK132" s="110">
        <f t="shared" si="59"/>
        <v>0.99</v>
      </c>
      <c r="AL132" s="110">
        <f t="shared" si="59"/>
        <v>0.99</v>
      </c>
      <c r="AM132" s="110">
        <f t="shared" si="59"/>
        <v>0.99</v>
      </c>
      <c r="AN132" s="110">
        <f t="shared" si="59"/>
        <v>0.99</v>
      </c>
      <c r="AO132" s="110">
        <f t="shared" si="59"/>
        <v>0.99</v>
      </c>
      <c r="AP132" s="110">
        <f t="shared" si="59"/>
        <v>0.99</v>
      </c>
      <c r="AQ132" s="110">
        <f t="shared" si="59"/>
        <v>0.99</v>
      </c>
      <c r="AR132" s="110">
        <f t="shared" si="59"/>
        <v>0.99</v>
      </c>
      <c r="AS132" s="110">
        <f t="shared" si="59"/>
        <v>0.99</v>
      </c>
      <c r="AT132" s="110">
        <f t="shared" si="59"/>
        <v>0.99</v>
      </c>
      <c r="AU132" s="110">
        <f t="shared" si="59"/>
        <v>0.99</v>
      </c>
      <c r="AV132" s="110">
        <f t="shared" si="59"/>
        <v>0.99</v>
      </c>
    </row>
    <row r="133" spans="1:48">
      <c r="A133" s="194" t="s">
        <v>16</v>
      </c>
      <c r="B133" s="274" t="str">
        <f t="shared" si="57"/>
        <v>CNG</v>
      </c>
      <c r="C133" s="274" t="str">
        <f t="shared" si="57"/>
        <v>Commercial - Public lights</v>
      </c>
      <c r="E133" s="151">
        <f t="shared" si="58"/>
        <v>0.01</v>
      </c>
      <c r="I133" s="160"/>
      <c r="J133" s="163">
        <f t="shared" si="59"/>
        <v>0.99</v>
      </c>
      <c r="K133" s="110">
        <f t="shared" si="59"/>
        <v>0.99</v>
      </c>
      <c r="L133" s="110">
        <f t="shared" si="59"/>
        <v>0.99</v>
      </c>
      <c r="M133" s="110">
        <f t="shared" si="59"/>
        <v>0.99</v>
      </c>
      <c r="N133" s="110">
        <f t="shared" si="59"/>
        <v>0.99</v>
      </c>
      <c r="O133" s="110">
        <f t="shared" si="59"/>
        <v>0.99</v>
      </c>
      <c r="P133" s="110">
        <f t="shared" si="59"/>
        <v>0.99</v>
      </c>
      <c r="Q133" s="110">
        <f t="shared" si="59"/>
        <v>0.99</v>
      </c>
      <c r="R133" s="110">
        <f t="shared" si="59"/>
        <v>0.99</v>
      </c>
      <c r="S133" s="110">
        <f t="shared" si="59"/>
        <v>0.99</v>
      </c>
      <c r="T133" s="110">
        <f t="shared" si="59"/>
        <v>0.99</v>
      </c>
      <c r="U133" s="110">
        <f t="shared" si="59"/>
        <v>0.99</v>
      </c>
      <c r="V133" s="110">
        <f t="shared" si="59"/>
        <v>0.99</v>
      </c>
      <c r="W133" s="110">
        <f t="shared" si="59"/>
        <v>0.99</v>
      </c>
      <c r="X133" s="110">
        <f t="shared" si="59"/>
        <v>0.99</v>
      </c>
      <c r="Y133" s="110">
        <f t="shared" si="59"/>
        <v>0.99</v>
      </c>
      <c r="Z133" s="110">
        <f t="shared" si="59"/>
        <v>0.99</v>
      </c>
      <c r="AA133" s="110">
        <f t="shared" si="59"/>
        <v>0.99</v>
      </c>
      <c r="AB133" s="110">
        <f t="shared" si="59"/>
        <v>0.99</v>
      </c>
      <c r="AC133" s="110">
        <f t="shared" si="59"/>
        <v>0.99</v>
      </c>
      <c r="AD133" s="110">
        <f t="shared" si="59"/>
        <v>0.99</v>
      </c>
      <c r="AE133" s="110">
        <f t="shared" si="59"/>
        <v>0.99</v>
      </c>
      <c r="AF133" s="110">
        <f t="shared" ref="AF133:AV135" si="60">AF122*(1-$E133)</f>
        <v>0.99</v>
      </c>
      <c r="AG133" s="110">
        <f t="shared" si="60"/>
        <v>0.99</v>
      </c>
      <c r="AH133" s="110">
        <f t="shared" si="60"/>
        <v>0.99</v>
      </c>
      <c r="AI133" s="110">
        <f t="shared" si="60"/>
        <v>0.99</v>
      </c>
      <c r="AJ133" s="110">
        <f t="shared" si="60"/>
        <v>0.99</v>
      </c>
      <c r="AK133" s="110">
        <f t="shared" si="60"/>
        <v>0.99</v>
      </c>
      <c r="AL133" s="110">
        <f t="shared" si="60"/>
        <v>0.99</v>
      </c>
      <c r="AM133" s="110">
        <f t="shared" si="60"/>
        <v>0.99</v>
      </c>
      <c r="AN133" s="110">
        <f t="shared" si="60"/>
        <v>0.99</v>
      </c>
      <c r="AO133" s="110">
        <f t="shared" si="60"/>
        <v>0.99</v>
      </c>
      <c r="AP133" s="110">
        <f t="shared" si="60"/>
        <v>0.99</v>
      </c>
      <c r="AQ133" s="110">
        <f t="shared" si="60"/>
        <v>0.99</v>
      </c>
      <c r="AR133" s="110">
        <f t="shared" si="60"/>
        <v>0.99</v>
      </c>
      <c r="AS133" s="110">
        <f t="shared" si="60"/>
        <v>0.99</v>
      </c>
      <c r="AT133" s="110">
        <f t="shared" si="60"/>
        <v>0.99</v>
      </c>
      <c r="AU133" s="110">
        <f t="shared" si="60"/>
        <v>0.99</v>
      </c>
      <c r="AV133" s="110">
        <f t="shared" si="60"/>
        <v>0.99</v>
      </c>
    </row>
    <row r="134" spans="1:48">
      <c r="A134" s="194" t="s">
        <v>16</v>
      </c>
      <c r="B134" s="274" t="str">
        <f t="shared" si="57"/>
        <v>CNT</v>
      </c>
      <c r="C134" s="274" t="str">
        <f t="shared" si="57"/>
        <v>Commercial - Public Water</v>
      </c>
      <c r="E134" s="151">
        <f t="shared" si="58"/>
        <v>0.01</v>
      </c>
      <c r="I134" s="160"/>
      <c r="J134" s="163">
        <f t="shared" ref="J134:AV135" si="61">J123*(1-$E134)</f>
        <v>0.99</v>
      </c>
      <c r="K134" s="110">
        <f t="shared" si="61"/>
        <v>0.99</v>
      </c>
      <c r="L134" s="110">
        <f t="shared" si="61"/>
        <v>0.99</v>
      </c>
      <c r="M134" s="110">
        <f t="shared" si="61"/>
        <v>0.99</v>
      </c>
      <c r="N134" s="110">
        <f t="shared" si="61"/>
        <v>0.99</v>
      </c>
      <c r="O134" s="110">
        <f t="shared" si="61"/>
        <v>0.99</v>
      </c>
      <c r="P134" s="110">
        <f t="shared" si="61"/>
        <v>0.99</v>
      </c>
      <c r="Q134" s="110">
        <f t="shared" si="61"/>
        <v>0.99</v>
      </c>
      <c r="R134" s="110">
        <f t="shared" si="61"/>
        <v>0.99</v>
      </c>
      <c r="S134" s="110">
        <f t="shared" si="61"/>
        <v>0.99</v>
      </c>
      <c r="T134" s="110">
        <f t="shared" si="61"/>
        <v>0.99</v>
      </c>
      <c r="U134" s="110">
        <f t="shared" si="61"/>
        <v>0.99</v>
      </c>
      <c r="V134" s="110">
        <f t="shared" si="61"/>
        <v>0.99</v>
      </c>
      <c r="W134" s="110">
        <f t="shared" si="61"/>
        <v>0.99</v>
      </c>
      <c r="X134" s="110">
        <f t="shared" si="61"/>
        <v>0.99</v>
      </c>
      <c r="Y134" s="110">
        <f t="shared" si="61"/>
        <v>0.99</v>
      </c>
      <c r="Z134" s="110">
        <f t="shared" si="61"/>
        <v>0.99</v>
      </c>
      <c r="AA134" s="110">
        <f t="shared" si="61"/>
        <v>0.99</v>
      </c>
      <c r="AB134" s="110">
        <f t="shared" si="61"/>
        <v>0.99</v>
      </c>
      <c r="AC134" s="110">
        <f t="shared" si="61"/>
        <v>0.99</v>
      </c>
      <c r="AD134" s="110">
        <f t="shared" si="61"/>
        <v>0.99</v>
      </c>
      <c r="AE134" s="110">
        <f t="shared" si="61"/>
        <v>0.99</v>
      </c>
      <c r="AF134" s="110">
        <f t="shared" si="61"/>
        <v>0.99</v>
      </c>
      <c r="AG134" s="110">
        <f t="shared" si="61"/>
        <v>0.99</v>
      </c>
      <c r="AH134" s="110">
        <f t="shared" si="61"/>
        <v>0.99</v>
      </c>
      <c r="AI134" s="110">
        <f t="shared" si="60"/>
        <v>0.99</v>
      </c>
      <c r="AJ134" s="110">
        <f t="shared" si="60"/>
        <v>0.99</v>
      </c>
      <c r="AK134" s="110">
        <f t="shared" si="60"/>
        <v>0.99</v>
      </c>
      <c r="AL134" s="110">
        <f t="shared" si="60"/>
        <v>0.99</v>
      </c>
      <c r="AM134" s="110">
        <f t="shared" si="60"/>
        <v>0.99</v>
      </c>
      <c r="AN134" s="110">
        <f t="shared" si="60"/>
        <v>0.99</v>
      </c>
      <c r="AO134" s="110">
        <f t="shared" si="60"/>
        <v>0.99</v>
      </c>
      <c r="AP134" s="110">
        <f t="shared" si="60"/>
        <v>0.99</v>
      </c>
      <c r="AQ134" s="110">
        <f t="shared" si="60"/>
        <v>0.99</v>
      </c>
      <c r="AR134" s="110">
        <f t="shared" si="60"/>
        <v>0.99</v>
      </c>
      <c r="AS134" s="110">
        <f t="shared" si="61"/>
        <v>0.99</v>
      </c>
      <c r="AT134" s="110">
        <f t="shared" si="61"/>
        <v>0.99</v>
      </c>
      <c r="AU134" s="110">
        <f t="shared" si="61"/>
        <v>0.99</v>
      </c>
      <c r="AV134" s="110">
        <f t="shared" si="61"/>
        <v>0.99</v>
      </c>
    </row>
    <row r="135" spans="1:48">
      <c r="A135" s="194" t="s">
        <v>16</v>
      </c>
      <c r="B135" s="274" t="str">
        <f t="shared" si="57"/>
        <v>CNO</v>
      </c>
      <c r="C135" s="274" t="str">
        <f t="shared" si="57"/>
        <v>Commercial - Other</v>
      </c>
      <c r="E135" s="151">
        <f t="shared" si="58"/>
        <v>0.01</v>
      </c>
      <c r="I135" s="160"/>
      <c r="J135" s="163">
        <f t="shared" si="61"/>
        <v>0.99</v>
      </c>
      <c r="K135" s="110">
        <f t="shared" si="61"/>
        <v>0.99</v>
      </c>
      <c r="L135" s="110">
        <f t="shared" si="61"/>
        <v>0.99</v>
      </c>
      <c r="M135" s="110">
        <f t="shared" si="61"/>
        <v>0.99</v>
      </c>
      <c r="N135" s="110">
        <f t="shared" si="61"/>
        <v>0.99</v>
      </c>
      <c r="O135" s="110">
        <f t="shared" si="61"/>
        <v>0.99</v>
      </c>
      <c r="P135" s="110">
        <f t="shared" si="61"/>
        <v>0.99</v>
      </c>
      <c r="Q135" s="110">
        <f t="shared" si="61"/>
        <v>0.99</v>
      </c>
      <c r="R135" s="110">
        <f t="shared" si="61"/>
        <v>0.99</v>
      </c>
      <c r="S135" s="110">
        <f t="shared" si="61"/>
        <v>0.99</v>
      </c>
      <c r="T135" s="110">
        <f t="shared" si="61"/>
        <v>0.99</v>
      </c>
      <c r="U135" s="110">
        <f t="shared" si="61"/>
        <v>0.99</v>
      </c>
      <c r="V135" s="110">
        <f t="shared" si="61"/>
        <v>0.99</v>
      </c>
      <c r="W135" s="110">
        <f t="shared" si="61"/>
        <v>0.99</v>
      </c>
      <c r="X135" s="110">
        <f t="shared" si="61"/>
        <v>0.99</v>
      </c>
      <c r="Y135" s="110">
        <f t="shared" si="61"/>
        <v>0.99</v>
      </c>
      <c r="Z135" s="110">
        <f t="shared" si="61"/>
        <v>0.99</v>
      </c>
      <c r="AA135" s="110">
        <f t="shared" si="61"/>
        <v>0.99</v>
      </c>
      <c r="AB135" s="110">
        <f t="shared" si="61"/>
        <v>0.99</v>
      </c>
      <c r="AC135" s="110">
        <f t="shared" si="61"/>
        <v>0.99</v>
      </c>
      <c r="AD135" s="110">
        <f t="shared" si="61"/>
        <v>0.99</v>
      </c>
      <c r="AE135" s="110">
        <f t="shared" si="61"/>
        <v>0.99</v>
      </c>
      <c r="AF135" s="110">
        <f t="shared" si="61"/>
        <v>0.99</v>
      </c>
      <c r="AG135" s="110">
        <f t="shared" si="61"/>
        <v>0.99</v>
      </c>
      <c r="AH135" s="110">
        <f t="shared" si="61"/>
        <v>0.99</v>
      </c>
      <c r="AI135" s="110">
        <f t="shared" si="60"/>
        <v>0.99</v>
      </c>
      <c r="AJ135" s="110">
        <f t="shared" si="60"/>
        <v>0.99</v>
      </c>
      <c r="AK135" s="110">
        <f t="shared" si="60"/>
        <v>0.99</v>
      </c>
      <c r="AL135" s="110">
        <f t="shared" si="60"/>
        <v>0.99</v>
      </c>
      <c r="AM135" s="110">
        <f t="shared" si="60"/>
        <v>0.99</v>
      </c>
      <c r="AN135" s="110">
        <f t="shared" si="60"/>
        <v>0.99</v>
      </c>
      <c r="AO135" s="110">
        <f t="shared" si="60"/>
        <v>0.99</v>
      </c>
      <c r="AP135" s="110">
        <f t="shared" si="60"/>
        <v>0.99</v>
      </c>
      <c r="AQ135" s="110">
        <f t="shared" si="60"/>
        <v>0.99</v>
      </c>
      <c r="AR135" s="110">
        <f t="shared" si="60"/>
        <v>0.99</v>
      </c>
      <c r="AS135" s="110">
        <f t="shared" si="61"/>
        <v>0.99</v>
      </c>
      <c r="AT135" s="110">
        <f t="shared" si="61"/>
        <v>0.99</v>
      </c>
      <c r="AU135" s="110">
        <f t="shared" si="61"/>
        <v>0.99</v>
      </c>
      <c r="AV135" s="110">
        <f t="shared" si="61"/>
        <v>0.99</v>
      </c>
    </row>
    <row r="136" spans="1:48">
      <c r="A136" s="194" t="s">
        <v>16</v>
      </c>
      <c r="B136" s="274"/>
      <c r="C136" s="274"/>
      <c r="I136" s="160"/>
      <c r="K136" s="92"/>
    </row>
    <row r="137" spans="1:48" ht="15.75" thickBot="1">
      <c r="A137" s="194" t="s">
        <v>16</v>
      </c>
      <c r="B137" s="274"/>
      <c r="C137" s="89" t="s">
        <v>260</v>
      </c>
      <c r="I137" s="160"/>
      <c r="K137" s="92"/>
    </row>
    <row r="138" spans="1:48">
      <c r="A138" s="194" t="s">
        <v>16</v>
      </c>
      <c r="B138" s="274" t="str">
        <f t="shared" ref="B138:C146" si="62">B127</f>
        <v>CNC</v>
      </c>
      <c r="C138" s="274" t="str">
        <f t="shared" si="62"/>
        <v>Commercial - Cooling</v>
      </c>
      <c r="E138" s="151">
        <f t="shared" ref="E138:E146" si="63">E127+$AX$106</f>
        <v>0.02</v>
      </c>
      <c r="I138" s="160"/>
      <c r="J138" s="163">
        <f t="shared" ref="J138:AV144" si="64">J127*(1-$E138)</f>
        <v>0.97019999999999995</v>
      </c>
      <c r="K138" s="110">
        <f t="shared" si="64"/>
        <v>0.97019999999999995</v>
      </c>
      <c r="L138" s="110">
        <f t="shared" si="64"/>
        <v>0.97019999999999995</v>
      </c>
      <c r="M138" s="110">
        <f t="shared" si="64"/>
        <v>0.97019999999999995</v>
      </c>
      <c r="N138" s="110">
        <f t="shared" si="64"/>
        <v>0.97019999999999995</v>
      </c>
      <c r="O138" s="110">
        <f t="shared" si="64"/>
        <v>0.97019999999999995</v>
      </c>
      <c r="P138" s="110">
        <f t="shared" si="64"/>
        <v>0.97019999999999995</v>
      </c>
      <c r="Q138" s="110">
        <f t="shared" si="64"/>
        <v>0.97019999999999995</v>
      </c>
      <c r="R138" s="110">
        <f t="shared" si="64"/>
        <v>0.97019999999999995</v>
      </c>
      <c r="S138" s="110">
        <f t="shared" si="64"/>
        <v>0.97019999999999995</v>
      </c>
      <c r="T138" s="110">
        <f t="shared" si="64"/>
        <v>0.97019999999999995</v>
      </c>
      <c r="U138" s="110">
        <f t="shared" si="64"/>
        <v>0.97019999999999995</v>
      </c>
      <c r="V138" s="110">
        <f t="shared" si="64"/>
        <v>0.97019999999999995</v>
      </c>
      <c r="W138" s="110">
        <f t="shared" si="64"/>
        <v>0.97019999999999995</v>
      </c>
      <c r="X138" s="110">
        <f t="shared" si="64"/>
        <v>0.97019999999999995</v>
      </c>
      <c r="Y138" s="110">
        <f t="shared" si="64"/>
        <v>0.97019999999999995</v>
      </c>
      <c r="Z138" s="110">
        <f t="shared" si="64"/>
        <v>0.97019999999999995</v>
      </c>
      <c r="AA138" s="110">
        <f t="shared" si="64"/>
        <v>0.97019999999999995</v>
      </c>
      <c r="AB138" s="110">
        <f t="shared" si="64"/>
        <v>0.97019999999999995</v>
      </c>
      <c r="AC138" s="110">
        <f t="shared" si="64"/>
        <v>0.97019999999999995</v>
      </c>
      <c r="AD138" s="110">
        <f t="shared" si="64"/>
        <v>0.97019999999999995</v>
      </c>
      <c r="AE138" s="110">
        <f t="shared" si="64"/>
        <v>0.97019999999999995</v>
      </c>
      <c r="AF138" s="110">
        <f t="shared" si="64"/>
        <v>0.97019999999999995</v>
      </c>
      <c r="AG138" s="110">
        <f t="shared" si="64"/>
        <v>0.97019999999999995</v>
      </c>
      <c r="AH138" s="110">
        <f t="shared" si="64"/>
        <v>0.97019999999999995</v>
      </c>
      <c r="AI138" s="110">
        <f t="shared" si="64"/>
        <v>0.97019999999999995</v>
      </c>
      <c r="AJ138" s="110">
        <f t="shared" si="64"/>
        <v>0.97019999999999995</v>
      </c>
      <c r="AK138" s="110">
        <f t="shared" si="64"/>
        <v>0.97019999999999995</v>
      </c>
      <c r="AL138" s="110">
        <f t="shared" si="64"/>
        <v>0.97019999999999995</v>
      </c>
      <c r="AM138" s="110">
        <f t="shared" si="64"/>
        <v>0.97019999999999995</v>
      </c>
      <c r="AN138" s="110">
        <f t="shared" si="64"/>
        <v>0.97019999999999995</v>
      </c>
      <c r="AO138" s="110">
        <f t="shared" si="64"/>
        <v>0.97019999999999995</v>
      </c>
      <c r="AP138" s="110">
        <f t="shared" si="64"/>
        <v>0.97019999999999995</v>
      </c>
      <c r="AQ138" s="110">
        <f t="shared" si="64"/>
        <v>0.97019999999999995</v>
      </c>
      <c r="AR138" s="110">
        <f t="shared" si="64"/>
        <v>0.97019999999999995</v>
      </c>
      <c r="AS138" s="110">
        <f t="shared" si="64"/>
        <v>0.97019999999999995</v>
      </c>
      <c r="AT138" s="110">
        <f t="shared" si="64"/>
        <v>0.97019999999999995</v>
      </c>
      <c r="AU138" s="110">
        <f t="shared" si="64"/>
        <v>0.97019999999999995</v>
      </c>
      <c r="AV138" s="110">
        <f t="shared" si="64"/>
        <v>0.97019999999999995</v>
      </c>
    </row>
    <row r="139" spans="1:48">
      <c r="A139" s="194" t="s">
        <v>16</v>
      </c>
      <c r="B139" s="274" t="str">
        <f t="shared" si="62"/>
        <v>CNH</v>
      </c>
      <c r="C139" s="274" t="str">
        <f t="shared" si="62"/>
        <v>Commercial - Space Heating</v>
      </c>
      <c r="E139" s="151">
        <f t="shared" si="63"/>
        <v>0.02</v>
      </c>
      <c r="I139" s="160"/>
      <c r="J139" s="163">
        <f t="shared" si="64"/>
        <v>0.97019999999999995</v>
      </c>
      <c r="K139" s="110">
        <f t="shared" si="64"/>
        <v>0.97019999999999995</v>
      </c>
      <c r="L139" s="110">
        <f t="shared" si="64"/>
        <v>0.97019999999999995</v>
      </c>
      <c r="M139" s="110">
        <f t="shared" si="64"/>
        <v>0.97019999999999995</v>
      </c>
      <c r="N139" s="110">
        <f t="shared" si="64"/>
        <v>0.97019999999999995</v>
      </c>
      <c r="O139" s="110">
        <f t="shared" si="64"/>
        <v>0.97019999999999995</v>
      </c>
      <c r="P139" s="110">
        <f t="shared" si="64"/>
        <v>0.97019999999999995</v>
      </c>
      <c r="Q139" s="110">
        <f t="shared" si="64"/>
        <v>0.97019999999999995</v>
      </c>
      <c r="R139" s="110">
        <f t="shared" si="64"/>
        <v>0.97019999999999995</v>
      </c>
      <c r="S139" s="110">
        <f t="shared" si="64"/>
        <v>0.97019999999999995</v>
      </c>
      <c r="T139" s="110">
        <f t="shared" si="64"/>
        <v>0.97019999999999995</v>
      </c>
      <c r="U139" s="110">
        <f t="shared" si="64"/>
        <v>0.97019999999999995</v>
      </c>
      <c r="V139" s="110">
        <f t="shared" si="64"/>
        <v>0.97019999999999995</v>
      </c>
      <c r="W139" s="110">
        <f t="shared" si="64"/>
        <v>0.97019999999999995</v>
      </c>
      <c r="X139" s="110">
        <f t="shared" si="64"/>
        <v>0.97019999999999995</v>
      </c>
      <c r="Y139" s="110">
        <f t="shared" si="64"/>
        <v>0.97019999999999995</v>
      </c>
      <c r="Z139" s="110">
        <f t="shared" si="64"/>
        <v>0.97019999999999995</v>
      </c>
      <c r="AA139" s="110">
        <f t="shared" si="64"/>
        <v>0.97019999999999995</v>
      </c>
      <c r="AB139" s="110">
        <f t="shared" si="64"/>
        <v>0.97019999999999995</v>
      </c>
      <c r="AC139" s="110">
        <f t="shared" si="64"/>
        <v>0.97019999999999995</v>
      </c>
      <c r="AD139" s="110">
        <f t="shared" si="64"/>
        <v>0.97019999999999995</v>
      </c>
      <c r="AE139" s="110">
        <f t="shared" si="64"/>
        <v>0.97019999999999995</v>
      </c>
      <c r="AF139" s="110">
        <f t="shared" si="64"/>
        <v>0.97019999999999995</v>
      </c>
      <c r="AG139" s="110">
        <f t="shared" si="64"/>
        <v>0.97019999999999995</v>
      </c>
      <c r="AH139" s="110">
        <f t="shared" si="64"/>
        <v>0.97019999999999995</v>
      </c>
      <c r="AI139" s="110">
        <f t="shared" si="64"/>
        <v>0.97019999999999995</v>
      </c>
      <c r="AJ139" s="110">
        <f t="shared" si="64"/>
        <v>0.97019999999999995</v>
      </c>
      <c r="AK139" s="110">
        <f t="shared" si="64"/>
        <v>0.97019999999999995</v>
      </c>
      <c r="AL139" s="110">
        <f t="shared" si="64"/>
        <v>0.97019999999999995</v>
      </c>
      <c r="AM139" s="110">
        <f t="shared" si="64"/>
        <v>0.97019999999999995</v>
      </c>
      <c r="AN139" s="110">
        <f t="shared" si="64"/>
        <v>0.97019999999999995</v>
      </c>
      <c r="AO139" s="110">
        <f t="shared" si="64"/>
        <v>0.97019999999999995</v>
      </c>
      <c r="AP139" s="110">
        <f t="shared" si="64"/>
        <v>0.97019999999999995</v>
      </c>
      <c r="AQ139" s="110">
        <f t="shared" si="64"/>
        <v>0.97019999999999995</v>
      </c>
      <c r="AR139" s="110">
        <f t="shared" si="64"/>
        <v>0.97019999999999995</v>
      </c>
      <c r="AS139" s="110">
        <f t="shared" si="64"/>
        <v>0.97019999999999995</v>
      </c>
      <c r="AT139" s="110">
        <f t="shared" si="64"/>
        <v>0.97019999999999995</v>
      </c>
      <c r="AU139" s="110">
        <f t="shared" si="64"/>
        <v>0.97019999999999995</v>
      </c>
      <c r="AV139" s="110">
        <f t="shared" si="64"/>
        <v>0.97019999999999995</v>
      </c>
    </row>
    <row r="140" spans="1:48">
      <c r="A140" s="194" t="s">
        <v>16</v>
      </c>
      <c r="B140" s="274" t="str">
        <f t="shared" si="62"/>
        <v>CNK</v>
      </c>
      <c r="C140" s="274" t="str">
        <f t="shared" si="62"/>
        <v>Commercial - Cooking</v>
      </c>
      <c r="E140" s="151">
        <f t="shared" si="63"/>
        <v>0.02</v>
      </c>
      <c r="I140" s="160"/>
      <c r="J140" s="163">
        <f t="shared" si="64"/>
        <v>0.97019999999999995</v>
      </c>
      <c r="K140" s="110">
        <f t="shared" si="64"/>
        <v>0.97019999999999995</v>
      </c>
      <c r="L140" s="110">
        <f t="shared" si="64"/>
        <v>0.97019999999999995</v>
      </c>
      <c r="M140" s="110">
        <f t="shared" si="64"/>
        <v>0.97019999999999995</v>
      </c>
      <c r="N140" s="110">
        <f t="shared" si="64"/>
        <v>0.97019999999999995</v>
      </c>
      <c r="O140" s="110">
        <f t="shared" si="64"/>
        <v>0.97019999999999995</v>
      </c>
      <c r="P140" s="110">
        <f t="shared" si="64"/>
        <v>0.97019999999999995</v>
      </c>
      <c r="Q140" s="110">
        <f t="shared" si="64"/>
        <v>0.97019999999999995</v>
      </c>
      <c r="R140" s="110">
        <f t="shared" si="64"/>
        <v>0.97019999999999995</v>
      </c>
      <c r="S140" s="110">
        <f t="shared" si="64"/>
        <v>0.97019999999999995</v>
      </c>
      <c r="T140" s="110">
        <f t="shared" si="64"/>
        <v>0.97019999999999995</v>
      </c>
      <c r="U140" s="110">
        <f t="shared" si="64"/>
        <v>0.97019999999999995</v>
      </c>
      <c r="V140" s="110">
        <f t="shared" si="64"/>
        <v>0.97019999999999995</v>
      </c>
      <c r="W140" s="110">
        <f t="shared" si="64"/>
        <v>0.97019999999999995</v>
      </c>
      <c r="X140" s="110">
        <f t="shared" si="64"/>
        <v>0.97019999999999995</v>
      </c>
      <c r="Y140" s="110">
        <f t="shared" si="64"/>
        <v>0.97019999999999995</v>
      </c>
      <c r="Z140" s="110">
        <f t="shared" si="64"/>
        <v>0.97019999999999995</v>
      </c>
      <c r="AA140" s="110">
        <f t="shared" si="64"/>
        <v>0.97019999999999995</v>
      </c>
      <c r="AB140" s="110">
        <f t="shared" si="64"/>
        <v>0.97019999999999995</v>
      </c>
      <c r="AC140" s="110">
        <f t="shared" si="64"/>
        <v>0.97019999999999995</v>
      </c>
      <c r="AD140" s="110">
        <f t="shared" si="64"/>
        <v>0.97019999999999995</v>
      </c>
      <c r="AE140" s="110">
        <f t="shared" si="64"/>
        <v>0.97019999999999995</v>
      </c>
      <c r="AF140" s="110">
        <f t="shared" si="64"/>
        <v>0.97019999999999995</v>
      </c>
      <c r="AG140" s="110">
        <f t="shared" si="64"/>
        <v>0.97019999999999995</v>
      </c>
      <c r="AH140" s="110">
        <f t="shared" si="64"/>
        <v>0.97019999999999995</v>
      </c>
      <c r="AI140" s="110">
        <f t="shared" si="64"/>
        <v>0.97019999999999995</v>
      </c>
      <c r="AJ140" s="110">
        <f t="shared" si="64"/>
        <v>0.97019999999999995</v>
      </c>
      <c r="AK140" s="110">
        <f t="shared" si="64"/>
        <v>0.97019999999999995</v>
      </c>
      <c r="AL140" s="110">
        <f t="shared" si="64"/>
        <v>0.97019999999999995</v>
      </c>
      <c r="AM140" s="110">
        <f t="shared" si="64"/>
        <v>0.97019999999999995</v>
      </c>
      <c r="AN140" s="110">
        <f t="shared" si="64"/>
        <v>0.97019999999999995</v>
      </c>
      <c r="AO140" s="110">
        <f t="shared" si="64"/>
        <v>0.97019999999999995</v>
      </c>
      <c r="AP140" s="110">
        <f t="shared" si="64"/>
        <v>0.97019999999999995</v>
      </c>
      <c r="AQ140" s="110">
        <f t="shared" si="64"/>
        <v>0.97019999999999995</v>
      </c>
      <c r="AR140" s="110">
        <f t="shared" si="64"/>
        <v>0.97019999999999995</v>
      </c>
      <c r="AS140" s="110">
        <f t="shared" si="64"/>
        <v>0.97019999999999995</v>
      </c>
      <c r="AT140" s="110">
        <f t="shared" si="64"/>
        <v>0.97019999999999995</v>
      </c>
      <c r="AU140" s="110">
        <f t="shared" si="64"/>
        <v>0.97019999999999995</v>
      </c>
      <c r="AV140" s="110">
        <f t="shared" si="64"/>
        <v>0.97019999999999995</v>
      </c>
    </row>
    <row r="141" spans="1:48">
      <c r="A141" s="194" t="s">
        <v>16</v>
      </c>
      <c r="B141" s="274" t="str">
        <f t="shared" si="62"/>
        <v>CNL</v>
      </c>
      <c r="C141" s="274" t="str">
        <f t="shared" si="62"/>
        <v>Commercial - Lighting</v>
      </c>
      <c r="E141" s="151">
        <f t="shared" si="63"/>
        <v>0.02</v>
      </c>
      <c r="I141" s="160"/>
      <c r="J141" s="163">
        <f t="shared" si="64"/>
        <v>0.97019999999999995</v>
      </c>
      <c r="K141" s="110">
        <f t="shared" si="64"/>
        <v>0.97019999999999995</v>
      </c>
      <c r="L141" s="110">
        <f t="shared" si="64"/>
        <v>0.97019999999999995</v>
      </c>
      <c r="M141" s="110">
        <f t="shared" si="64"/>
        <v>0.97019999999999995</v>
      </c>
      <c r="N141" s="110">
        <f t="shared" si="64"/>
        <v>0.97019999999999995</v>
      </c>
      <c r="O141" s="110">
        <f t="shared" si="64"/>
        <v>0.97019999999999995</v>
      </c>
      <c r="P141" s="110">
        <f t="shared" si="64"/>
        <v>0.97019999999999995</v>
      </c>
      <c r="Q141" s="110">
        <f t="shared" si="64"/>
        <v>0.97019999999999995</v>
      </c>
      <c r="R141" s="110">
        <f t="shared" si="64"/>
        <v>0.97019999999999995</v>
      </c>
      <c r="S141" s="110">
        <f t="shared" si="64"/>
        <v>0.97019999999999995</v>
      </c>
      <c r="T141" s="110">
        <f t="shared" si="64"/>
        <v>0.97019999999999995</v>
      </c>
      <c r="U141" s="110">
        <f t="shared" si="64"/>
        <v>0.97019999999999995</v>
      </c>
      <c r="V141" s="110">
        <f t="shared" si="64"/>
        <v>0.97019999999999995</v>
      </c>
      <c r="W141" s="110">
        <f t="shared" si="64"/>
        <v>0.97019999999999995</v>
      </c>
      <c r="X141" s="110">
        <f t="shared" si="64"/>
        <v>0.97019999999999995</v>
      </c>
      <c r="Y141" s="110">
        <f t="shared" si="64"/>
        <v>0.97019999999999995</v>
      </c>
      <c r="Z141" s="110">
        <f t="shared" si="64"/>
        <v>0.97019999999999995</v>
      </c>
      <c r="AA141" s="110">
        <f t="shared" si="64"/>
        <v>0.97019999999999995</v>
      </c>
      <c r="AB141" s="110">
        <f t="shared" si="64"/>
        <v>0.97019999999999995</v>
      </c>
      <c r="AC141" s="110">
        <f t="shared" si="64"/>
        <v>0.97019999999999995</v>
      </c>
      <c r="AD141" s="110">
        <f t="shared" si="64"/>
        <v>0.97019999999999995</v>
      </c>
      <c r="AE141" s="110">
        <f t="shared" si="64"/>
        <v>0.97019999999999995</v>
      </c>
      <c r="AF141" s="110">
        <f t="shared" si="64"/>
        <v>0.97019999999999995</v>
      </c>
      <c r="AG141" s="110">
        <f t="shared" si="64"/>
        <v>0.97019999999999995</v>
      </c>
      <c r="AH141" s="110">
        <f t="shared" si="64"/>
        <v>0.97019999999999995</v>
      </c>
      <c r="AI141" s="110">
        <f t="shared" si="64"/>
        <v>0.97019999999999995</v>
      </c>
      <c r="AJ141" s="110">
        <f t="shared" si="64"/>
        <v>0.97019999999999995</v>
      </c>
      <c r="AK141" s="110">
        <f t="shared" si="64"/>
        <v>0.97019999999999995</v>
      </c>
      <c r="AL141" s="110">
        <f t="shared" si="64"/>
        <v>0.97019999999999995</v>
      </c>
      <c r="AM141" s="110">
        <f t="shared" si="64"/>
        <v>0.97019999999999995</v>
      </c>
      <c r="AN141" s="110">
        <f t="shared" si="64"/>
        <v>0.97019999999999995</v>
      </c>
      <c r="AO141" s="110">
        <f t="shared" si="64"/>
        <v>0.97019999999999995</v>
      </c>
      <c r="AP141" s="110">
        <f t="shared" si="64"/>
        <v>0.97019999999999995</v>
      </c>
      <c r="AQ141" s="110">
        <f t="shared" si="64"/>
        <v>0.97019999999999995</v>
      </c>
      <c r="AR141" s="110">
        <f t="shared" si="64"/>
        <v>0.97019999999999995</v>
      </c>
      <c r="AS141" s="110">
        <f t="shared" si="64"/>
        <v>0.97019999999999995</v>
      </c>
      <c r="AT141" s="110">
        <f t="shared" si="64"/>
        <v>0.97019999999999995</v>
      </c>
      <c r="AU141" s="110">
        <f t="shared" si="64"/>
        <v>0.97019999999999995</v>
      </c>
      <c r="AV141" s="110">
        <f t="shared" si="64"/>
        <v>0.97019999999999995</v>
      </c>
    </row>
    <row r="142" spans="1:48">
      <c r="A142" s="194" t="s">
        <v>16</v>
      </c>
      <c r="B142" s="274" t="str">
        <f t="shared" si="62"/>
        <v>CNR</v>
      </c>
      <c r="C142" s="274" t="str">
        <f t="shared" si="62"/>
        <v>Commercial - Refrigeration</v>
      </c>
      <c r="E142" s="151">
        <f t="shared" si="63"/>
        <v>0.02</v>
      </c>
      <c r="I142" s="160"/>
      <c r="J142" s="163">
        <f t="shared" si="64"/>
        <v>0.97019999999999995</v>
      </c>
      <c r="K142" s="110">
        <f t="shared" si="64"/>
        <v>0.97019999999999995</v>
      </c>
      <c r="L142" s="110">
        <f t="shared" si="64"/>
        <v>0.97019999999999995</v>
      </c>
      <c r="M142" s="110">
        <f t="shared" si="64"/>
        <v>0.97019999999999995</v>
      </c>
      <c r="N142" s="110">
        <f t="shared" si="64"/>
        <v>0.97019999999999995</v>
      </c>
      <c r="O142" s="110">
        <f t="shared" si="64"/>
        <v>0.97019999999999995</v>
      </c>
      <c r="P142" s="110">
        <f t="shared" si="64"/>
        <v>0.97019999999999995</v>
      </c>
      <c r="Q142" s="110">
        <f t="shared" si="64"/>
        <v>0.97019999999999995</v>
      </c>
      <c r="R142" s="110">
        <f t="shared" si="64"/>
        <v>0.97019999999999995</v>
      </c>
      <c r="S142" s="110">
        <f t="shared" si="64"/>
        <v>0.97019999999999995</v>
      </c>
      <c r="T142" s="110">
        <f t="shared" si="64"/>
        <v>0.97019999999999995</v>
      </c>
      <c r="U142" s="110">
        <f t="shared" si="64"/>
        <v>0.97019999999999995</v>
      </c>
      <c r="V142" s="110">
        <f t="shared" si="64"/>
        <v>0.97019999999999995</v>
      </c>
      <c r="W142" s="110">
        <f t="shared" si="64"/>
        <v>0.97019999999999995</v>
      </c>
      <c r="X142" s="110">
        <f t="shared" si="64"/>
        <v>0.97019999999999995</v>
      </c>
      <c r="Y142" s="110">
        <f t="shared" si="64"/>
        <v>0.97019999999999995</v>
      </c>
      <c r="Z142" s="110">
        <f t="shared" si="64"/>
        <v>0.97019999999999995</v>
      </c>
      <c r="AA142" s="110">
        <f t="shared" si="64"/>
        <v>0.97019999999999995</v>
      </c>
      <c r="AB142" s="110">
        <f t="shared" si="64"/>
        <v>0.97019999999999995</v>
      </c>
      <c r="AC142" s="110">
        <f t="shared" si="64"/>
        <v>0.97019999999999995</v>
      </c>
      <c r="AD142" s="110">
        <f t="shared" si="64"/>
        <v>0.97019999999999995</v>
      </c>
      <c r="AE142" s="110">
        <f t="shared" si="64"/>
        <v>0.97019999999999995</v>
      </c>
      <c r="AF142" s="110">
        <f t="shared" si="64"/>
        <v>0.97019999999999995</v>
      </c>
      <c r="AG142" s="110">
        <f t="shared" si="64"/>
        <v>0.97019999999999995</v>
      </c>
      <c r="AH142" s="110">
        <f t="shared" si="64"/>
        <v>0.97019999999999995</v>
      </c>
      <c r="AI142" s="110">
        <f t="shared" si="64"/>
        <v>0.97019999999999995</v>
      </c>
      <c r="AJ142" s="110">
        <f t="shared" si="64"/>
        <v>0.97019999999999995</v>
      </c>
      <c r="AK142" s="110">
        <f t="shared" si="64"/>
        <v>0.97019999999999995</v>
      </c>
      <c r="AL142" s="110">
        <f t="shared" si="64"/>
        <v>0.97019999999999995</v>
      </c>
      <c r="AM142" s="110">
        <f t="shared" si="64"/>
        <v>0.97019999999999995</v>
      </c>
      <c r="AN142" s="110">
        <f t="shared" si="64"/>
        <v>0.97019999999999995</v>
      </c>
      <c r="AO142" s="110">
        <f t="shared" si="64"/>
        <v>0.97019999999999995</v>
      </c>
      <c r="AP142" s="110">
        <f t="shared" si="64"/>
        <v>0.97019999999999995</v>
      </c>
      <c r="AQ142" s="110">
        <f t="shared" si="64"/>
        <v>0.97019999999999995</v>
      </c>
      <c r="AR142" s="110">
        <f t="shared" si="64"/>
        <v>0.97019999999999995</v>
      </c>
      <c r="AS142" s="110">
        <f t="shared" si="64"/>
        <v>0.97019999999999995</v>
      </c>
      <c r="AT142" s="110">
        <f t="shared" si="64"/>
        <v>0.97019999999999995</v>
      </c>
      <c r="AU142" s="110">
        <f t="shared" si="64"/>
        <v>0.97019999999999995</v>
      </c>
      <c r="AV142" s="110">
        <f t="shared" si="64"/>
        <v>0.97019999999999995</v>
      </c>
    </row>
    <row r="143" spans="1:48">
      <c r="A143" s="194" t="s">
        <v>16</v>
      </c>
      <c r="B143" s="274" t="str">
        <f t="shared" si="62"/>
        <v>CNW</v>
      </c>
      <c r="C143" s="274" t="str">
        <f t="shared" si="62"/>
        <v>Commercial - Water Heating</v>
      </c>
      <c r="E143" s="151">
        <f t="shared" si="63"/>
        <v>0.02</v>
      </c>
      <c r="I143" s="160"/>
      <c r="J143" s="163">
        <f t="shared" si="64"/>
        <v>0.97019999999999995</v>
      </c>
      <c r="K143" s="110">
        <f t="shared" si="64"/>
        <v>0.97019999999999995</v>
      </c>
      <c r="L143" s="110">
        <f t="shared" si="64"/>
        <v>0.97019999999999995</v>
      </c>
      <c r="M143" s="110">
        <f t="shared" si="64"/>
        <v>0.97019999999999995</v>
      </c>
      <c r="N143" s="110">
        <f t="shared" si="64"/>
        <v>0.97019999999999995</v>
      </c>
      <c r="O143" s="110">
        <f t="shared" si="64"/>
        <v>0.97019999999999995</v>
      </c>
      <c r="P143" s="110">
        <f t="shared" si="64"/>
        <v>0.97019999999999995</v>
      </c>
      <c r="Q143" s="110">
        <f t="shared" si="64"/>
        <v>0.97019999999999995</v>
      </c>
      <c r="R143" s="110">
        <f t="shared" si="64"/>
        <v>0.97019999999999995</v>
      </c>
      <c r="S143" s="110">
        <f t="shared" si="64"/>
        <v>0.97019999999999995</v>
      </c>
      <c r="T143" s="110">
        <f t="shared" si="64"/>
        <v>0.97019999999999995</v>
      </c>
      <c r="U143" s="110">
        <f t="shared" si="64"/>
        <v>0.97019999999999995</v>
      </c>
      <c r="V143" s="110">
        <f t="shared" si="64"/>
        <v>0.97019999999999995</v>
      </c>
      <c r="W143" s="110">
        <f t="shared" si="64"/>
        <v>0.97019999999999995</v>
      </c>
      <c r="X143" s="110">
        <f t="shared" si="64"/>
        <v>0.97019999999999995</v>
      </c>
      <c r="Y143" s="110">
        <f t="shared" si="64"/>
        <v>0.97019999999999995</v>
      </c>
      <c r="Z143" s="110">
        <f t="shared" si="64"/>
        <v>0.97019999999999995</v>
      </c>
      <c r="AA143" s="110">
        <f t="shared" si="64"/>
        <v>0.97019999999999995</v>
      </c>
      <c r="AB143" s="110">
        <f t="shared" si="64"/>
        <v>0.97019999999999995</v>
      </c>
      <c r="AC143" s="110">
        <f t="shared" si="64"/>
        <v>0.97019999999999995</v>
      </c>
      <c r="AD143" s="110">
        <f t="shared" si="64"/>
        <v>0.97019999999999995</v>
      </c>
      <c r="AE143" s="110">
        <f t="shared" si="64"/>
        <v>0.97019999999999995</v>
      </c>
      <c r="AF143" s="110">
        <f t="shared" si="64"/>
        <v>0.97019999999999995</v>
      </c>
      <c r="AG143" s="110">
        <f t="shared" si="64"/>
        <v>0.97019999999999995</v>
      </c>
      <c r="AH143" s="110">
        <f t="shared" si="64"/>
        <v>0.97019999999999995</v>
      </c>
      <c r="AI143" s="110">
        <f t="shared" si="64"/>
        <v>0.97019999999999995</v>
      </c>
      <c r="AJ143" s="110">
        <f t="shared" si="64"/>
        <v>0.97019999999999995</v>
      </c>
      <c r="AK143" s="110">
        <f t="shared" si="64"/>
        <v>0.97019999999999995</v>
      </c>
      <c r="AL143" s="110">
        <f t="shared" si="64"/>
        <v>0.97019999999999995</v>
      </c>
      <c r="AM143" s="110">
        <f t="shared" si="64"/>
        <v>0.97019999999999995</v>
      </c>
      <c r="AN143" s="110">
        <f t="shared" si="64"/>
        <v>0.97019999999999995</v>
      </c>
      <c r="AO143" s="110">
        <f t="shared" si="64"/>
        <v>0.97019999999999995</v>
      </c>
      <c r="AP143" s="110">
        <f t="shared" si="64"/>
        <v>0.97019999999999995</v>
      </c>
      <c r="AQ143" s="110">
        <f t="shared" si="64"/>
        <v>0.97019999999999995</v>
      </c>
      <c r="AR143" s="110">
        <f t="shared" si="64"/>
        <v>0.97019999999999995</v>
      </c>
      <c r="AS143" s="110">
        <f t="shared" si="64"/>
        <v>0.97019999999999995</v>
      </c>
      <c r="AT143" s="110">
        <f t="shared" si="64"/>
        <v>0.97019999999999995</v>
      </c>
      <c r="AU143" s="110">
        <f t="shared" si="64"/>
        <v>0.97019999999999995</v>
      </c>
      <c r="AV143" s="110">
        <f t="shared" si="64"/>
        <v>0.97019999999999995</v>
      </c>
    </row>
    <row r="144" spans="1:48">
      <c r="A144" s="194" t="s">
        <v>16</v>
      </c>
      <c r="B144" s="274" t="str">
        <f t="shared" si="62"/>
        <v>CNG</v>
      </c>
      <c r="C144" s="274" t="str">
        <f t="shared" si="62"/>
        <v>Commercial - Public lights</v>
      </c>
      <c r="E144" s="151">
        <f t="shared" si="63"/>
        <v>0.02</v>
      </c>
      <c r="I144" s="160"/>
      <c r="J144" s="163">
        <f t="shared" si="64"/>
        <v>0.97019999999999995</v>
      </c>
      <c r="K144" s="110">
        <f t="shared" si="64"/>
        <v>0.97019999999999995</v>
      </c>
      <c r="L144" s="110">
        <f t="shared" si="64"/>
        <v>0.97019999999999995</v>
      </c>
      <c r="M144" s="110">
        <f t="shared" si="64"/>
        <v>0.97019999999999995</v>
      </c>
      <c r="N144" s="110">
        <f t="shared" si="64"/>
        <v>0.97019999999999995</v>
      </c>
      <c r="O144" s="110">
        <f t="shared" si="64"/>
        <v>0.97019999999999995</v>
      </c>
      <c r="P144" s="110">
        <f t="shared" si="64"/>
        <v>0.97019999999999995</v>
      </c>
      <c r="Q144" s="110">
        <f t="shared" si="64"/>
        <v>0.97019999999999995</v>
      </c>
      <c r="R144" s="110">
        <f t="shared" si="64"/>
        <v>0.97019999999999995</v>
      </c>
      <c r="S144" s="110">
        <f t="shared" si="64"/>
        <v>0.97019999999999995</v>
      </c>
      <c r="T144" s="110">
        <f t="shared" si="64"/>
        <v>0.97019999999999995</v>
      </c>
      <c r="U144" s="110">
        <f t="shared" si="64"/>
        <v>0.97019999999999995</v>
      </c>
      <c r="V144" s="110">
        <f t="shared" si="64"/>
        <v>0.97019999999999995</v>
      </c>
      <c r="W144" s="110">
        <f t="shared" si="64"/>
        <v>0.97019999999999995</v>
      </c>
      <c r="X144" s="110">
        <f t="shared" si="64"/>
        <v>0.97019999999999995</v>
      </c>
      <c r="Y144" s="110">
        <f t="shared" si="64"/>
        <v>0.97019999999999995</v>
      </c>
      <c r="Z144" s="110">
        <f t="shared" si="64"/>
        <v>0.97019999999999995</v>
      </c>
      <c r="AA144" s="110">
        <f t="shared" si="64"/>
        <v>0.97019999999999995</v>
      </c>
      <c r="AB144" s="110">
        <f t="shared" si="64"/>
        <v>0.97019999999999995</v>
      </c>
      <c r="AC144" s="110">
        <f t="shared" si="64"/>
        <v>0.97019999999999995</v>
      </c>
      <c r="AD144" s="110">
        <f t="shared" si="64"/>
        <v>0.97019999999999995</v>
      </c>
      <c r="AE144" s="110">
        <f t="shared" ref="AE144:AV146" si="65">AE133*(1-$E144)</f>
        <v>0.97019999999999995</v>
      </c>
      <c r="AF144" s="110">
        <f t="shared" si="65"/>
        <v>0.97019999999999995</v>
      </c>
      <c r="AG144" s="110">
        <f t="shared" si="65"/>
        <v>0.97019999999999995</v>
      </c>
      <c r="AH144" s="110">
        <f t="shared" si="65"/>
        <v>0.97019999999999995</v>
      </c>
      <c r="AI144" s="110">
        <f t="shared" si="65"/>
        <v>0.97019999999999995</v>
      </c>
      <c r="AJ144" s="110">
        <f t="shared" si="65"/>
        <v>0.97019999999999995</v>
      </c>
      <c r="AK144" s="110">
        <f t="shared" si="65"/>
        <v>0.97019999999999995</v>
      </c>
      <c r="AL144" s="110">
        <f t="shared" si="65"/>
        <v>0.97019999999999995</v>
      </c>
      <c r="AM144" s="110">
        <f t="shared" si="65"/>
        <v>0.97019999999999995</v>
      </c>
      <c r="AN144" s="110">
        <f t="shared" si="65"/>
        <v>0.97019999999999995</v>
      </c>
      <c r="AO144" s="110">
        <f t="shared" si="65"/>
        <v>0.97019999999999995</v>
      </c>
      <c r="AP144" s="110">
        <f t="shared" si="65"/>
        <v>0.97019999999999995</v>
      </c>
      <c r="AQ144" s="110">
        <f t="shared" si="65"/>
        <v>0.97019999999999995</v>
      </c>
      <c r="AR144" s="110">
        <f t="shared" si="65"/>
        <v>0.97019999999999995</v>
      </c>
      <c r="AS144" s="110">
        <f t="shared" si="65"/>
        <v>0.97019999999999995</v>
      </c>
      <c r="AT144" s="110">
        <f t="shared" si="65"/>
        <v>0.97019999999999995</v>
      </c>
      <c r="AU144" s="110">
        <f t="shared" si="65"/>
        <v>0.97019999999999995</v>
      </c>
      <c r="AV144" s="110">
        <f t="shared" si="65"/>
        <v>0.97019999999999995</v>
      </c>
    </row>
    <row r="145" spans="1:48">
      <c r="A145" s="194" t="s">
        <v>16</v>
      </c>
      <c r="B145" s="274" t="str">
        <f t="shared" si="62"/>
        <v>CNT</v>
      </c>
      <c r="C145" s="274" t="str">
        <f t="shared" si="62"/>
        <v>Commercial - Public Water</v>
      </c>
      <c r="E145" s="151">
        <f t="shared" si="63"/>
        <v>0.02</v>
      </c>
      <c r="I145" s="160"/>
      <c r="J145" s="163">
        <f t="shared" ref="J145:AV146" si="66">J134*(1-$E145)</f>
        <v>0.97019999999999995</v>
      </c>
      <c r="K145" s="110">
        <f t="shared" si="66"/>
        <v>0.97019999999999995</v>
      </c>
      <c r="L145" s="110">
        <f t="shared" si="66"/>
        <v>0.97019999999999995</v>
      </c>
      <c r="M145" s="110">
        <f t="shared" si="66"/>
        <v>0.97019999999999995</v>
      </c>
      <c r="N145" s="110">
        <f t="shared" si="66"/>
        <v>0.97019999999999995</v>
      </c>
      <c r="O145" s="110">
        <f t="shared" si="66"/>
        <v>0.97019999999999995</v>
      </c>
      <c r="P145" s="110">
        <f t="shared" si="66"/>
        <v>0.97019999999999995</v>
      </c>
      <c r="Q145" s="110">
        <f t="shared" si="66"/>
        <v>0.97019999999999995</v>
      </c>
      <c r="R145" s="110">
        <f t="shared" si="66"/>
        <v>0.97019999999999995</v>
      </c>
      <c r="S145" s="110">
        <f t="shared" si="66"/>
        <v>0.97019999999999995</v>
      </c>
      <c r="T145" s="110">
        <f t="shared" si="66"/>
        <v>0.97019999999999995</v>
      </c>
      <c r="U145" s="110">
        <f t="shared" si="66"/>
        <v>0.97019999999999995</v>
      </c>
      <c r="V145" s="110">
        <f t="shared" si="66"/>
        <v>0.97019999999999995</v>
      </c>
      <c r="W145" s="110">
        <f t="shared" si="66"/>
        <v>0.97019999999999995</v>
      </c>
      <c r="X145" s="110">
        <f t="shared" si="66"/>
        <v>0.97019999999999995</v>
      </c>
      <c r="Y145" s="110">
        <f t="shared" si="66"/>
        <v>0.97019999999999995</v>
      </c>
      <c r="Z145" s="110">
        <f t="shared" si="66"/>
        <v>0.97019999999999995</v>
      </c>
      <c r="AA145" s="110">
        <f t="shared" si="66"/>
        <v>0.97019999999999995</v>
      </c>
      <c r="AB145" s="110">
        <f t="shared" si="66"/>
        <v>0.97019999999999995</v>
      </c>
      <c r="AC145" s="110">
        <f t="shared" si="66"/>
        <v>0.97019999999999995</v>
      </c>
      <c r="AD145" s="110">
        <f t="shared" si="66"/>
        <v>0.97019999999999995</v>
      </c>
      <c r="AE145" s="110">
        <f t="shared" si="66"/>
        <v>0.97019999999999995</v>
      </c>
      <c r="AF145" s="110">
        <f t="shared" si="66"/>
        <v>0.97019999999999995</v>
      </c>
      <c r="AG145" s="110">
        <f t="shared" si="66"/>
        <v>0.97019999999999995</v>
      </c>
      <c r="AH145" s="110">
        <f t="shared" si="66"/>
        <v>0.97019999999999995</v>
      </c>
      <c r="AI145" s="110">
        <f t="shared" si="65"/>
        <v>0.97019999999999995</v>
      </c>
      <c r="AJ145" s="110">
        <f t="shared" si="65"/>
        <v>0.97019999999999995</v>
      </c>
      <c r="AK145" s="110">
        <f t="shared" si="65"/>
        <v>0.97019999999999995</v>
      </c>
      <c r="AL145" s="110">
        <f t="shared" si="65"/>
        <v>0.97019999999999995</v>
      </c>
      <c r="AM145" s="110">
        <f t="shared" si="65"/>
        <v>0.97019999999999995</v>
      </c>
      <c r="AN145" s="110">
        <f t="shared" si="65"/>
        <v>0.97019999999999995</v>
      </c>
      <c r="AO145" s="110">
        <f t="shared" si="65"/>
        <v>0.97019999999999995</v>
      </c>
      <c r="AP145" s="110">
        <f t="shared" si="65"/>
        <v>0.97019999999999995</v>
      </c>
      <c r="AQ145" s="110">
        <f t="shared" si="65"/>
        <v>0.97019999999999995</v>
      </c>
      <c r="AR145" s="110">
        <f t="shared" si="65"/>
        <v>0.97019999999999995</v>
      </c>
      <c r="AS145" s="110">
        <f t="shared" si="66"/>
        <v>0.97019999999999995</v>
      </c>
      <c r="AT145" s="110">
        <f t="shared" si="66"/>
        <v>0.97019999999999995</v>
      </c>
      <c r="AU145" s="110">
        <f t="shared" si="66"/>
        <v>0.97019999999999995</v>
      </c>
      <c r="AV145" s="110">
        <f t="shared" si="66"/>
        <v>0.97019999999999995</v>
      </c>
    </row>
    <row r="146" spans="1:48">
      <c r="A146" s="194" t="s">
        <v>16</v>
      </c>
      <c r="B146" s="274" t="str">
        <f t="shared" si="62"/>
        <v>CNO</v>
      </c>
      <c r="C146" s="274" t="str">
        <f t="shared" si="62"/>
        <v>Commercial - Other</v>
      </c>
      <c r="E146" s="151">
        <f t="shared" si="63"/>
        <v>0.02</v>
      </c>
      <c r="I146" s="160"/>
      <c r="J146" s="163">
        <f t="shared" si="66"/>
        <v>0.97019999999999995</v>
      </c>
      <c r="K146" s="110">
        <f t="shared" si="66"/>
        <v>0.97019999999999995</v>
      </c>
      <c r="L146" s="110">
        <f t="shared" si="66"/>
        <v>0.97019999999999995</v>
      </c>
      <c r="M146" s="110">
        <f t="shared" si="66"/>
        <v>0.97019999999999995</v>
      </c>
      <c r="N146" s="110">
        <f t="shared" si="66"/>
        <v>0.97019999999999995</v>
      </c>
      <c r="O146" s="110">
        <f t="shared" si="66"/>
        <v>0.97019999999999995</v>
      </c>
      <c r="P146" s="110">
        <f t="shared" si="66"/>
        <v>0.97019999999999995</v>
      </c>
      <c r="Q146" s="110">
        <f t="shared" si="66"/>
        <v>0.97019999999999995</v>
      </c>
      <c r="R146" s="110">
        <f t="shared" si="66"/>
        <v>0.97019999999999995</v>
      </c>
      <c r="S146" s="110">
        <f t="shared" si="66"/>
        <v>0.97019999999999995</v>
      </c>
      <c r="T146" s="110">
        <f t="shared" si="66"/>
        <v>0.97019999999999995</v>
      </c>
      <c r="U146" s="110">
        <f t="shared" si="66"/>
        <v>0.97019999999999995</v>
      </c>
      <c r="V146" s="110">
        <f t="shared" si="66"/>
        <v>0.97019999999999995</v>
      </c>
      <c r="W146" s="110">
        <f t="shared" si="66"/>
        <v>0.97019999999999995</v>
      </c>
      <c r="X146" s="110">
        <f t="shared" si="66"/>
        <v>0.97019999999999995</v>
      </c>
      <c r="Y146" s="110">
        <f t="shared" si="66"/>
        <v>0.97019999999999995</v>
      </c>
      <c r="Z146" s="110">
        <f t="shared" si="66"/>
        <v>0.97019999999999995</v>
      </c>
      <c r="AA146" s="110">
        <f t="shared" si="66"/>
        <v>0.97019999999999995</v>
      </c>
      <c r="AB146" s="110">
        <f t="shared" si="66"/>
        <v>0.97019999999999995</v>
      </c>
      <c r="AC146" s="110">
        <f t="shared" si="66"/>
        <v>0.97019999999999995</v>
      </c>
      <c r="AD146" s="110">
        <f t="shared" si="66"/>
        <v>0.97019999999999995</v>
      </c>
      <c r="AE146" s="110">
        <f t="shared" si="66"/>
        <v>0.97019999999999995</v>
      </c>
      <c r="AF146" s="110">
        <f t="shared" si="66"/>
        <v>0.97019999999999995</v>
      </c>
      <c r="AG146" s="110">
        <f t="shared" si="66"/>
        <v>0.97019999999999995</v>
      </c>
      <c r="AH146" s="110">
        <f t="shared" si="66"/>
        <v>0.97019999999999995</v>
      </c>
      <c r="AI146" s="110">
        <f t="shared" si="65"/>
        <v>0.97019999999999995</v>
      </c>
      <c r="AJ146" s="110">
        <f t="shared" si="65"/>
        <v>0.97019999999999995</v>
      </c>
      <c r="AK146" s="110">
        <f t="shared" si="65"/>
        <v>0.97019999999999995</v>
      </c>
      <c r="AL146" s="110">
        <f t="shared" si="65"/>
        <v>0.97019999999999995</v>
      </c>
      <c r="AM146" s="110">
        <f t="shared" si="65"/>
        <v>0.97019999999999995</v>
      </c>
      <c r="AN146" s="110">
        <f t="shared" si="65"/>
        <v>0.97019999999999995</v>
      </c>
      <c r="AO146" s="110">
        <f t="shared" si="65"/>
        <v>0.97019999999999995</v>
      </c>
      <c r="AP146" s="110">
        <f t="shared" si="65"/>
        <v>0.97019999999999995</v>
      </c>
      <c r="AQ146" s="110">
        <f t="shared" si="65"/>
        <v>0.97019999999999995</v>
      </c>
      <c r="AR146" s="110">
        <f t="shared" si="65"/>
        <v>0.97019999999999995</v>
      </c>
      <c r="AS146" s="110">
        <f t="shared" si="66"/>
        <v>0.97019999999999995</v>
      </c>
      <c r="AT146" s="110">
        <f t="shared" si="66"/>
        <v>0.97019999999999995</v>
      </c>
      <c r="AU146" s="110">
        <f t="shared" si="66"/>
        <v>0.97019999999999995</v>
      </c>
      <c r="AV146" s="110">
        <f t="shared" si="66"/>
        <v>0.97019999999999995</v>
      </c>
    </row>
    <row r="147" spans="1:48">
      <c r="A147" s="194" t="s">
        <v>16</v>
      </c>
      <c r="I147" s="160"/>
      <c r="K147" s="92"/>
    </row>
    <row r="148" spans="1:48" ht="19.5" thickBot="1">
      <c r="A148" s="194" t="s">
        <v>16</v>
      </c>
      <c r="B148" s="169" t="s">
        <v>480</v>
      </c>
      <c r="C148" s="90"/>
      <c r="D148" s="90"/>
      <c r="E148" s="90"/>
      <c r="F148" s="90"/>
      <c r="G148" s="90"/>
      <c r="H148" s="90"/>
      <c r="I148" s="161"/>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90"/>
      <c r="AP148" s="90"/>
      <c r="AQ148" s="90"/>
      <c r="AR148" s="90"/>
      <c r="AS148" s="90"/>
      <c r="AT148" s="90"/>
      <c r="AU148" s="90"/>
      <c r="AV148" s="90"/>
    </row>
    <row r="149" spans="1:48">
      <c r="A149" s="194" t="s">
        <v>16</v>
      </c>
      <c r="B149" s="168"/>
      <c r="C149" s="168"/>
      <c r="D149" s="168"/>
      <c r="E149" s="168"/>
      <c r="F149" s="168"/>
      <c r="G149" s="168"/>
      <c r="H149" s="168"/>
      <c r="I149" s="167"/>
      <c r="K149" s="92"/>
    </row>
    <row r="150" spans="1:48" ht="15.75" thickBot="1">
      <c r="A150" s="194" t="s">
        <v>16</v>
      </c>
      <c r="B150" s="90" t="s">
        <v>494</v>
      </c>
      <c r="C150" s="168"/>
      <c r="D150" s="168"/>
      <c r="E150" s="168"/>
      <c r="F150" s="168"/>
      <c r="G150" s="168"/>
      <c r="H150" s="168"/>
      <c r="I150" s="167"/>
      <c r="K150" s="92"/>
    </row>
    <row r="151" spans="1:48">
      <c r="A151" s="194" t="s">
        <v>16</v>
      </c>
      <c r="B151" s="92" t="str">
        <f>B92</f>
        <v>CEC</v>
      </c>
      <c r="C151" s="92" t="str">
        <f>C92</f>
        <v>Commercial - Cooling</v>
      </c>
      <c r="D151" s="168"/>
      <c r="E151" s="168"/>
      <c r="F151" s="168"/>
      <c r="G151" s="168"/>
      <c r="H151" s="168"/>
      <c r="I151" s="167"/>
      <c r="J151" s="166">
        <f t="shared" ref="J151:AV157" si="67">J92*J$34/1000</f>
        <v>27.932878870776872</v>
      </c>
      <c r="K151" s="166">
        <f t="shared" si="67"/>
        <v>27.182413750658707</v>
      </c>
      <c r="L151" s="166">
        <f t="shared" si="67"/>
        <v>26.492003713185113</v>
      </c>
      <c r="M151" s="166">
        <f t="shared" si="67"/>
        <v>25.741064630366179</v>
      </c>
      <c r="N151" s="166">
        <f t="shared" si="67"/>
        <v>24.958206291803975</v>
      </c>
      <c r="O151" s="166">
        <f t="shared" si="67"/>
        <v>24.056668064799556</v>
      </c>
      <c r="P151" s="166">
        <f>P92*P$34/1000</f>
        <v>24.211751661334905</v>
      </c>
      <c r="Q151" s="166">
        <f>Q92*Q$34/1000</f>
        <v>24.393731912972637</v>
      </c>
      <c r="R151" s="166">
        <f t="shared" si="67"/>
        <v>24.393731912972637</v>
      </c>
      <c r="S151" s="166">
        <f t="shared" si="67"/>
        <v>24.645379254813385</v>
      </c>
      <c r="T151" s="166">
        <f t="shared" si="67"/>
        <v>24.890774477318448</v>
      </c>
      <c r="U151" s="166">
        <f t="shared" si="67"/>
        <v>25.132286595542755</v>
      </c>
      <c r="V151" s="166">
        <f t="shared" si="67"/>
        <v>25.366403804491135</v>
      </c>
      <c r="W151" s="166">
        <f t="shared" si="67"/>
        <v>25.606976389562348</v>
      </c>
      <c r="X151" s="166">
        <f t="shared" si="67"/>
        <v>25.886291728213781</v>
      </c>
      <c r="Y151" s="166">
        <f t="shared" si="67"/>
        <v>26.159407285428316</v>
      </c>
      <c r="Z151" s="166">
        <f t="shared" si="67"/>
        <v>26.441767078572298</v>
      </c>
      <c r="AA151" s="166">
        <f t="shared" si="67"/>
        <v>26.729936478963491</v>
      </c>
      <c r="AB151" s="166">
        <f t="shared" si="67"/>
        <v>27.023120814870442</v>
      </c>
      <c r="AC151" s="166">
        <f t="shared" si="67"/>
        <v>27.359923269024069</v>
      </c>
      <c r="AD151" s="166">
        <f t="shared" si="67"/>
        <v>27.686603926553946</v>
      </c>
      <c r="AE151" s="166">
        <f t="shared" si="67"/>
        <v>28.038798305568452</v>
      </c>
      <c r="AF151" s="166">
        <f t="shared" si="67"/>
        <v>28.410730932991513</v>
      </c>
      <c r="AG151" s="166">
        <f t="shared" si="67"/>
        <v>28.800279470274706</v>
      </c>
      <c r="AH151" s="166">
        <f t="shared" si="67"/>
        <v>29.201414230758864</v>
      </c>
      <c r="AI151" s="166">
        <f t="shared" si="67"/>
        <v>29.612087057844569</v>
      </c>
      <c r="AJ151" s="166">
        <f t="shared" si="67"/>
        <v>30.023137393082798</v>
      </c>
      <c r="AK151" s="166">
        <f t="shared" si="67"/>
        <v>30.444206695057506</v>
      </c>
      <c r="AL151" s="166">
        <f t="shared" si="67"/>
        <v>30.883769033617707</v>
      </c>
      <c r="AM151" s="166">
        <f t="shared" si="67"/>
        <v>31.374443142282082</v>
      </c>
      <c r="AN151" s="166">
        <f t="shared" si="67"/>
        <v>31.8556615937527</v>
      </c>
      <c r="AO151" s="166">
        <f t="shared" si="67"/>
        <v>32.327916811141947</v>
      </c>
      <c r="AP151" s="166">
        <f t="shared" si="67"/>
        <v>32.791660464789629</v>
      </c>
      <c r="AQ151" s="166">
        <f t="shared" si="67"/>
        <v>33.247308016940494</v>
      </c>
      <c r="AR151" s="166">
        <f t="shared" si="67"/>
        <v>33.807722390308861</v>
      </c>
      <c r="AS151" s="166">
        <f t="shared" si="67"/>
        <v>34.356703168221074</v>
      </c>
      <c r="AT151" s="166">
        <f t="shared" si="67"/>
        <v>34.894879498222302</v>
      </c>
      <c r="AU151" s="166">
        <f t="shared" si="67"/>
        <v>35.422825611860688</v>
      </c>
      <c r="AV151" s="166">
        <f t="shared" si="67"/>
        <v>35.977702085098613</v>
      </c>
    </row>
    <row r="152" spans="1:48">
      <c r="A152" s="194" t="s">
        <v>16</v>
      </c>
      <c r="B152" s="92" t="str">
        <f t="shared" ref="B152:C159" si="68">B93</f>
        <v>CEH</v>
      </c>
      <c r="C152" s="92" t="str">
        <f t="shared" si="68"/>
        <v>Commercial - Space Heating</v>
      </c>
      <c r="D152" s="168"/>
      <c r="E152" s="168"/>
      <c r="F152" s="168"/>
      <c r="G152" s="168"/>
      <c r="H152" s="168"/>
      <c r="I152" s="167"/>
      <c r="J152" s="166">
        <f t="shared" si="67"/>
        <v>1.5703509815003798</v>
      </c>
      <c r="K152" s="166">
        <f t="shared" si="67"/>
        <v>1.7096291700728525</v>
      </c>
      <c r="L152" s="166">
        <f t="shared" si="67"/>
        <v>1.8565924579200153</v>
      </c>
      <c r="M152" s="166">
        <f t="shared" si="67"/>
        <v>2.0036670914771593</v>
      </c>
      <c r="N152" s="166">
        <f t="shared" si="67"/>
        <v>2.1523940814942852</v>
      </c>
      <c r="O152" s="166">
        <f t="shared" si="67"/>
        <v>2.2941963422736769</v>
      </c>
      <c r="P152" s="166">
        <f t="shared" si="67"/>
        <v>2.3089860969878235</v>
      </c>
      <c r="Q152" s="166">
        <f t="shared" si="67"/>
        <v>2.3263408872085125</v>
      </c>
      <c r="R152" s="166">
        <f t="shared" si="67"/>
        <v>2.3263408872085125</v>
      </c>
      <c r="S152" s="166">
        <f t="shared" si="67"/>
        <v>2.350339572713871</v>
      </c>
      <c r="T152" s="166">
        <f t="shared" si="67"/>
        <v>2.3737420164922898</v>
      </c>
      <c r="U152" s="166">
        <f t="shared" si="67"/>
        <v>2.3967741428346621</v>
      </c>
      <c r="V152" s="166">
        <f t="shared" si="67"/>
        <v>2.4191010437581779</v>
      </c>
      <c r="W152" s="166">
        <f t="shared" si="67"/>
        <v>2.4420435702641359</v>
      </c>
      <c r="X152" s="166">
        <f t="shared" si="67"/>
        <v>2.4686808513102463</v>
      </c>
      <c r="Y152" s="166">
        <f t="shared" si="67"/>
        <v>2.4947268819031714</v>
      </c>
      <c r="Z152" s="166">
        <f t="shared" si="67"/>
        <v>2.5216545014260077</v>
      </c>
      <c r="AA152" s="166">
        <f t="shared" si="67"/>
        <v>2.5491361619183035</v>
      </c>
      <c r="AB152" s="166">
        <f t="shared" si="67"/>
        <v>2.5770960784469712</v>
      </c>
      <c r="AC152" s="166">
        <f t="shared" si="67"/>
        <v>2.6092156951913479</v>
      </c>
      <c r="AD152" s="166">
        <f t="shared" si="67"/>
        <v>2.6403700332558633</v>
      </c>
      <c r="AE152" s="166">
        <f t="shared" si="67"/>
        <v>2.6739575215118419</v>
      </c>
      <c r="AF152" s="166">
        <f t="shared" si="67"/>
        <v>2.7094273742407315</v>
      </c>
      <c r="AG152" s="166">
        <f t="shared" si="67"/>
        <v>2.7465771917867805</v>
      </c>
      <c r="AH152" s="166">
        <f t="shared" si="67"/>
        <v>2.7848319450129</v>
      </c>
      <c r="AI152" s="166">
        <f t="shared" si="67"/>
        <v>2.8239963087241748</v>
      </c>
      <c r="AJ152" s="166">
        <f t="shared" si="67"/>
        <v>2.8631966740055907</v>
      </c>
      <c r="AK152" s="166">
        <f t="shared" si="67"/>
        <v>2.9033525114570624</v>
      </c>
      <c r="AL152" s="166">
        <f t="shared" si="67"/>
        <v>2.9452719620896155</v>
      </c>
      <c r="AM152" s="166">
        <f t="shared" si="67"/>
        <v>2.9920657550751608</v>
      </c>
      <c r="AN152" s="166">
        <f t="shared" si="67"/>
        <v>3.0379577966590037</v>
      </c>
      <c r="AO152" s="166">
        <f t="shared" si="67"/>
        <v>3.0829950474302108</v>
      </c>
      <c r="AP152" s="166">
        <f t="shared" si="67"/>
        <v>3.1272205815351573</v>
      </c>
      <c r="AQ152" s="166">
        <f t="shared" si="67"/>
        <v>3.1706740200867758</v>
      </c>
      <c r="AR152" s="166">
        <f t="shared" si="67"/>
        <v>3.2241186867411979</v>
      </c>
      <c r="AS152" s="166">
        <f t="shared" si="67"/>
        <v>3.2764729732646773</v>
      </c>
      <c r="AT152" s="166">
        <f t="shared" si="67"/>
        <v>3.3277968791547754</v>
      </c>
      <c r="AU152" s="166">
        <f t="shared" si="67"/>
        <v>3.3781451667715077</v>
      </c>
      <c r="AV152" s="166">
        <f t="shared" si="67"/>
        <v>3.4310617041692555</v>
      </c>
    </row>
    <row r="153" spans="1:48">
      <c r="A153" s="194" t="s">
        <v>16</v>
      </c>
      <c r="B153" s="92" t="str">
        <f t="shared" si="68"/>
        <v>CEK</v>
      </c>
      <c r="C153" s="92" t="str">
        <f t="shared" si="68"/>
        <v>Commercial - Cooking</v>
      </c>
      <c r="D153" s="168"/>
      <c r="E153" s="168"/>
      <c r="F153" s="168"/>
      <c r="G153" s="168"/>
      <c r="H153" s="168"/>
      <c r="I153" s="167"/>
      <c r="J153" s="166">
        <f t="shared" si="67"/>
        <v>1.9788999513059524</v>
      </c>
      <c r="K153" s="166">
        <f t="shared" si="67"/>
        <v>1.9279783946854825</v>
      </c>
      <c r="L153" s="166">
        <f t="shared" si="67"/>
        <v>1.8813647367419324</v>
      </c>
      <c r="M153" s="166">
        <f t="shared" si="67"/>
        <v>1.8305063847469043</v>
      </c>
      <c r="N153" s="166">
        <f t="shared" si="67"/>
        <v>1.7774293605020526</v>
      </c>
      <c r="O153" s="166">
        <f t="shared" si="67"/>
        <v>1.7159413539708159</v>
      </c>
      <c r="P153" s="166">
        <f t="shared" si="67"/>
        <v>1.7270033329572956</v>
      </c>
      <c r="Q153" s="166">
        <f t="shared" si="67"/>
        <v>1.7399838271200814</v>
      </c>
      <c r="R153" s="166">
        <f t="shared" si="67"/>
        <v>1.7399838271200814</v>
      </c>
      <c r="S153" s="166">
        <f t="shared" si="67"/>
        <v>1.7579336146516809</v>
      </c>
      <c r="T153" s="166">
        <f t="shared" si="67"/>
        <v>1.775437443911372</v>
      </c>
      <c r="U153" s="166">
        <f t="shared" si="67"/>
        <v>1.7926642946967708</v>
      </c>
      <c r="V153" s="166">
        <f t="shared" si="67"/>
        <v>1.8093636729909153</v>
      </c>
      <c r="W153" s="166">
        <f t="shared" si="67"/>
        <v>1.8265235076880315</v>
      </c>
      <c r="X153" s="166">
        <f t="shared" si="67"/>
        <v>1.8464468295337393</v>
      </c>
      <c r="Y153" s="166">
        <f t="shared" si="67"/>
        <v>1.8659279263246511</v>
      </c>
      <c r="Z153" s="166">
        <f t="shared" si="67"/>
        <v>1.8860684064796465</v>
      </c>
      <c r="AA153" s="166">
        <f t="shared" si="67"/>
        <v>1.906623280901502</v>
      </c>
      <c r="AB153" s="166">
        <f t="shared" si="67"/>
        <v>1.9275358663420163</v>
      </c>
      <c r="AC153" s="166">
        <f t="shared" si="67"/>
        <v>1.9515596944816545</v>
      </c>
      <c r="AD153" s="166">
        <f t="shared" si="67"/>
        <v>1.9748615436108832</v>
      </c>
      <c r="AE153" s="166">
        <f t="shared" si="67"/>
        <v>1.9999832644559805</v>
      </c>
      <c r="AF153" s="166">
        <f t="shared" si="67"/>
        <v>2.0265128975110298</v>
      </c>
      <c r="AG153" s="166">
        <f t="shared" si="67"/>
        <v>2.054299058200554</v>
      </c>
      <c r="AH153" s="166">
        <f t="shared" si="67"/>
        <v>2.0829116541833335</v>
      </c>
      <c r="AI153" s="166">
        <f t="shared" si="67"/>
        <v>2.1122045922182391</v>
      </c>
      <c r="AJ153" s="166">
        <f t="shared" si="67"/>
        <v>2.1415244575835897</v>
      </c>
      <c r="AK153" s="166">
        <f t="shared" si="67"/>
        <v>2.1715589671923103</v>
      </c>
      <c r="AL153" s="166">
        <f t="shared" si="67"/>
        <v>2.2029125691272031</v>
      </c>
      <c r="AM153" s="166">
        <f t="shared" si="67"/>
        <v>2.2379119294755281</v>
      </c>
      <c r="AN153" s="166">
        <f t="shared" si="67"/>
        <v>2.2722368259636037</v>
      </c>
      <c r="AO153" s="166">
        <f t="shared" si="67"/>
        <v>2.3059223827067017</v>
      </c>
      <c r="AP153" s="166">
        <f t="shared" si="67"/>
        <v>2.3390008169600294</v>
      </c>
      <c r="AQ153" s="166">
        <f t="shared" si="67"/>
        <v>2.371501763286644</v>
      </c>
      <c r="AR153" s="166">
        <f t="shared" si="67"/>
        <v>2.4114756364777326</v>
      </c>
      <c r="AS153" s="166">
        <f t="shared" si="67"/>
        <v>2.4506339611807713</v>
      </c>
      <c r="AT153" s="166">
        <f t="shared" si="67"/>
        <v>2.4890216139467256</v>
      </c>
      <c r="AU153" s="166">
        <f t="shared" si="67"/>
        <v>2.5266795542159293</v>
      </c>
      <c r="AV153" s="166">
        <f t="shared" si="67"/>
        <v>2.5662584137741091</v>
      </c>
    </row>
    <row r="154" spans="1:48">
      <c r="A154" s="194" t="s">
        <v>16</v>
      </c>
      <c r="B154" s="92" t="str">
        <f t="shared" si="68"/>
        <v>CEL</v>
      </c>
      <c r="C154" s="92" t="str">
        <f t="shared" si="68"/>
        <v>Commercial - Lighting</v>
      </c>
      <c r="D154" s="168"/>
      <c r="E154" s="168"/>
      <c r="F154" s="168"/>
      <c r="G154" s="168"/>
      <c r="H154" s="168"/>
      <c r="I154" s="167"/>
      <c r="J154" s="166">
        <f t="shared" si="67"/>
        <v>24.308054381137783</v>
      </c>
      <c r="K154" s="166">
        <f t="shared" si="67"/>
        <v>23.654976442577553</v>
      </c>
      <c r="L154" s="166">
        <f t="shared" si="67"/>
        <v>23.054160292769623</v>
      </c>
      <c r="M154" s="166">
        <f t="shared" si="67"/>
        <v>22.400669897220691</v>
      </c>
      <c r="N154" s="166">
        <f t="shared" si="67"/>
        <v>21.71940237894831</v>
      </c>
      <c r="O154" s="166">
        <f t="shared" si="67"/>
        <v>20.934855954282256</v>
      </c>
      <c r="P154" s="166">
        <f t="shared" si="67"/>
        <v>21.06981449241373</v>
      </c>
      <c r="Q154" s="166">
        <f t="shared" si="67"/>
        <v>21.228179330981487</v>
      </c>
      <c r="R154" s="166">
        <f t="shared" si="67"/>
        <v>21.228179330981487</v>
      </c>
      <c r="S154" s="166">
        <f t="shared" si="67"/>
        <v>21.447170624311198</v>
      </c>
      <c r="T154" s="166">
        <f t="shared" si="67"/>
        <v>21.660721130190677</v>
      </c>
      <c r="U154" s="166">
        <f t="shared" si="67"/>
        <v>21.870892438728518</v>
      </c>
      <c r="V154" s="166">
        <f t="shared" si="67"/>
        <v>22.074628468695384</v>
      </c>
      <c r="W154" s="166">
        <f t="shared" si="67"/>
        <v>22.283982166449746</v>
      </c>
      <c r="X154" s="166">
        <f t="shared" si="67"/>
        <v>22.527051005606467</v>
      </c>
      <c r="Y154" s="166">
        <f t="shared" si="67"/>
        <v>22.764724603369825</v>
      </c>
      <c r="Z154" s="166">
        <f t="shared" si="67"/>
        <v>23.010442820906345</v>
      </c>
      <c r="AA154" s="166">
        <f t="shared" si="67"/>
        <v>23.261216738199106</v>
      </c>
      <c r="AB154" s="166">
        <f t="shared" si="67"/>
        <v>23.516354807350293</v>
      </c>
      <c r="AC154" s="166">
        <f t="shared" si="67"/>
        <v>23.809450710896137</v>
      </c>
      <c r="AD154" s="166">
        <f t="shared" si="67"/>
        <v>24.093738314234077</v>
      </c>
      <c r="AE154" s="166">
        <f t="shared" si="67"/>
        <v>24.400228746438405</v>
      </c>
      <c r="AF154" s="166">
        <f t="shared" si="67"/>
        <v>24.723896012363433</v>
      </c>
      <c r="AG154" s="166">
        <f t="shared" si="67"/>
        <v>25.062893187419352</v>
      </c>
      <c r="AH154" s="166">
        <f t="shared" si="67"/>
        <v>25.411973051944692</v>
      </c>
      <c r="AI154" s="166">
        <f t="shared" si="67"/>
        <v>25.769353236774073</v>
      </c>
      <c r="AJ154" s="166">
        <f t="shared" si="67"/>
        <v>26.127061940863619</v>
      </c>
      <c r="AK154" s="166">
        <f t="shared" si="67"/>
        <v>26.493489459415493</v>
      </c>
      <c r="AL154" s="166">
        <f t="shared" si="67"/>
        <v>26.876010189879832</v>
      </c>
      <c r="AM154" s="166">
        <f t="shared" si="67"/>
        <v>27.303009962155659</v>
      </c>
      <c r="AN154" s="166">
        <f t="shared" si="67"/>
        <v>27.721781129340737</v>
      </c>
      <c r="AO154" s="166">
        <f t="shared" si="67"/>
        <v>28.132752213244437</v>
      </c>
      <c r="AP154" s="166">
        <f t="shared" si="67"/>
        <v>28.536316271354067</v>
      </c>
      <c r="AQ154" s="166">
        <f t="shared" si="67"/>
        <v>28.932834851753704</v>
      </c>
      <c r="AR154" s="166">
        <f t="shared" si="67"/>
        <v>29.420524757503493</v>
      </c>
      <c r="AS154" s="166">
        <f t="shared" si="67"/>
        <v>29.898264795163929</v>
      </c>
      <c r="AT154" s="166">
        <f t="shared" si="67"/>
        <v>30.366602468370875</v>
      </c>
      <c r="AU154" s="166">
        <f t="shared" si="67"/>
        <v>30.826037491162541</v>
      </c>
      <c r="AV154" s="166">
        <f t="shared" si="67"/>
        <v>31.308908145085454</v>
      </c>
    </row>
    <row r="155" spans="1:48">
      <c r="A155" s="194" t="s">
        <v>16</v>
      </c>
      <c r="B155" s="92" t="str">
        <f t="shared" si="68"/>
        <v>CER</v>
      </c>
      <c r="C155" s="92" t="str">
        <f t="shared" si="68"/>
        <v>Commercial - Refrigeration</v>
      </c>
      <c r="D155" s="168"/>
      <c r="E155" s="168"/>
      <c r="F155" s="168"/>
      <c r="G155" s="168"/>
      <c r="H155" s="168"/>
      <c r="I155" s="167"/>
      <c r="J155" s="166">
        <f t="shared" si="67"/>
        <v>5.9132780747494111</v>
      </c>
      <c r="K155" s="166">
        <f t="shared" si="67"/>
        <v>5.7544076281624807</v>
      </c>
      <c r="L155" s="166">
        <f t="shared" si="67"/>
        <v>5.6082506009521316</v>
      </c>
      <c r="M155" s="166">
        <f t="shared" si="67"/>
        <v>5.4492798183683409</v>
      </c>
      <c r="N155" s="166">
        <f t="shared" si="67"/>
        <v>5.2835518577642615</v>
      </c>
      <c r="O155" s="166">
        <f t="shared" si="67"/>
        <v>5.0926998422610916</v>
      </c>
      <c r="P155" s="166">
        <f t="shared" si="67"/>
        <v>5.1255304157006645</v>
      </c>
      <c r="Q155" s="166">
        <f t="shared" si="67"/>
        <v>5.1640549028122535</v>
      </c>
      <c r="R155" s="166">
        <f t="shared" si="67"/>
        <v>5.1640549028122535</v>
      </c>
      <c r="S155" s="166">
        <f t="shared" si="67"/>
        <v>5.2173276326286073</v>
      </c>
      <c r="T155" s="166">
        <f t="shared" si="67"/>
        <v>5.2692768139357149</v>
      </c>
      <c r="U155" s="166">
        <f t="shared" si="67"/>
        <v>5.3204039576894573</v>
      </c>
      <c r="V155" s="166">
        <f t="shared" si="67"/>
        <v>5.3699656289013831</v>
      </c>
      <c r="W155" s="166">
        <f t="shared" si="67"/>
        <v>5.4208938772666331</v>
      </c>
      <c r="X155" s="166">
        <f t="shared" si="67"/>
        <v>5.4800238106913151</v>
      </c>
      <c r="Y155" s="166">
        <f t="shared" si="67"/>
        <v>5.5378412753293507</v>
      </c>
      <c r="Z155" s="166">
        <f t="shared" si="67"/>
        <v>5.5976157075213688</v>
      </c>
      <c r="AA155" s="166">
        <f t="shared" si="67"/>
        <v>5.65862001019386</v>
      </c>
      <c r="AB155" s="166">
        <f t="shared" si="67"/>
        <v>5.7206859545384763</v>
      </c>
      <c r="AC155" s="166">
        <f t="shared" si="67"/>
        <v>5.791985679027384</v>
      </c>
      <c r="AD155" s="166">
        <f t="shared" si="67"/>
        <v>5.8611426598940115</v>
      </c>
      <c r="AE155" s="166">
        <f t="shared" si="67"/>
        <v>5.9357007929497243</v>
      </c>
      <c r="AF155" s="166">
        <f t="shared" si="67"/>
        <v>6.0144374337807429</v>
      </c>
      <c r="AG155" s="166">
        <f t="shared" si="67"/>
        <v>6.0969032918551616</v>
      </c>
      <c r="AH155" s="166">
        <f t="shared" si="67"/>
        <v>6.1818219067664373</v>
      </c>
      <c r="AI155" s="166">
        <f t="shared" si="67"/>
        <v>6.2687596920028117</v>
      </c>
      <c r="AJ155" s="166">
        <f t="shared" si="67"/>
        <v>6.3557773941962497</v>
      </c>
      <c r="AK155" s="166">
        <f t="shared" si="67"/>
        <v>6.4449160713385467</v>
      </c>
      <c r="AL155" s="166">
        <f t="shared" si="67"/>
        <v>6.5379696499230633</v>
      </c>
      <c r="AM155" s="166">
        <f t="shared" si="67"/>
        <v>6.6418433846009366</v>
      </c>
      <c r="AN155" s="166">
        <f t="shared" si="67"/>
        <v>6.7437153946937842</v>
      </c>
      <c r="AO155" s="166">
        <f t="shared" si="67"/>
        <v>6.8436899241933347</v>
      </c>
      <c r="AP155" s="166">
        <f t="shared" si="67"/>
        <v>6.9418625898933231</v>
      </c>
      <c r="AQ155" s="166">
        <f t="shared" si="67"/>
        <v>7.0383213434794332</v>
      </c>
      <c r="AR155" s="166">
        <f t="shared" si="67"/>
        <v>7.1569588116095275</v>
      </c>
      <c r="AS155" s="166">
        <f t="shared" si="67"/>
        <v>7.2731758335822745</v>
      </c>
      <c r="AT155" s="166">
        <f t="shared" si="67"/>
        <v>7.3871055974017414</v>
      </c>
      <c r="AU155" s="166">
        <f t="shared" si="67"/>
        <v>7.4988696655763656</v>
      </c>
      <c r="AV155" s="166">
        <f t="shared" si="67"/>
        <v>7.6163347825294485</v>
      </c>
    </row>
    <row r="156" spans="1:48">
      <c r="A156" s="194" t="s">
        <v>16</v>
      </c>
      <c r="B156" s="92" t="str">
        <f t="shared" si="68"/>
        <v>CEW</v>
      </c>
      <c r="C156" s="92" t="str">
        <f t="shared" si="68"/>
        <v>Commercial - Water Heating</v>
      </c>
      <c r="D156" s="168"/>
      <c r="E156" s="168"/>
      <c r="F156" s="168"/>
      <c r="G156" s="168"/>
      <c r="H156" s="168"/>
      <c r="I156" s="167"/>
      <c r="J156" s="166">
        <f t="shared" si="67"/>
        <v>1.9366218046150063</v>
      </c>
      <c r="K156" s="166">
        <f t="shared" si="67"/>
        <v>2.0747560247060011</v>
      </c>
      <c r="L156" s="166">
        <f t="shared" si="67"/>
        <v>2.2215693132915648</v>
      </c>
      <c r="M156" s="166">
        <f t="shared" si="67"/>
        <v>2.3678686704112906</v>
      </c>
      <c r="N156" s="166">
        <f t="shared" si="67"/>
        <v>2.5155670238606285</v>
      </c>
      <c r="O156" s="166">
        <f t="shared" si="67"/>
        <v>2.6547723439938684</v>
      </c>
      <c r="P156" s="166">
        <f t="shared" si="67"/>
        <v>2.6718865861649017</v>
      </c>
      <c r="Q156" s="166">
        <f t="shared" si="67"/>
        <v>2.691969007300679</v>
      </c>
      <c r="R156" s="166">
        <f t="shared" si="67"/>
        <v>2.691969007300679</v>
      </c>
      <c r="S156" s="166">
        <f t="shared" si="67"/>
        <v>2.7197395365260428</v>
      </c>
      <c r="T156" s="166">
        <f t="shared" si="67"/>
        <v>2.7468201134496573</v>
      </c>
      <c r="U156" s="166">
        <f t="shared" si="67"/>
        <v>2.7734721706037995</v>
      </c>
      <c r="V156" s="166">
        <f t="shared" si="67"/>
        <v>2.7993081629322063</v>
      </c>
      <c r="W156" s="166">
        <f t="shared" si="67"/>
        <v>2.8258565379544591</v>
      </c>
      <c r="X156" s="166">
        <f t="shared" si="67"/>
        <v>2.856680367518377</v>
      </c>
      <c r="Y156" s="166">
        <f t="shared" si="67"/>
        <v>2.8868200205266232</v>
      </c>
      <c r="Z156" s="166">
        <f t="shared" si="67"/>
        <v>2.9179798207065706</v>
      </c>
      <c r="AA156" s="166">
        <f t="shared" si="67"/>
        <v>2.9497807397899258</v>
      </c>
      <c r="AB156" s="166">
        <f t="shared" si="67"/>
        <v>2.9821350818193975</v>
      </c>
      <c r="AC156" s="166">
        <f t="shared" si="67"/>
        <v>3.0193028990028847</v>
      </c>
      <c r="AD156" s="166">
        <f t="shared" si="67"/>
        <v>3.0553537258502259</v>
      </c>
      <c r="AE156" s="166">
        <f t="shared" si="67"/>
        <v>3.094220118095373</v>
      </c>
      <c r="AF156" s="166">
        <f t="shared" si="67"/>
        <v>3.1352647237095854</v>
      </c>
      <c r="AG156" s="166">
        <f t="shared" si="67"/>
        <v>3.1782533321335387</v>
      </c>
      <c r="AH156" s="166">
        <f t="shared" si="67"/>
        <v>3.2225205376118469</v>
      </c>
      <c r="AI156" s="166">
        <f t="shared" si="67"/>
        <v>3.2678403159302829</v>
      </c>
      <c r="AJ156" s="166">
        <f t="shared" si="67"/>
        <v>3.3132017541411134</v>
      </c>
      <c r="AK156" s="166">
        <f t="shared" si="67"/>
        <v>3.3596688349012669</v>
      </c>
      <c r="AL156" s="166">
        <f t="shared" si="67"/>
        <v>3.4081767137449872</v>
      </c>
      <c r="AM156" s="166">
        <f t="shared" si="67"/>
        <v>3.4623250293008754</v>
      </c>
      <c r="AN156" s="166">
        <f t="shared" si="67"/>
        <v>3.5154298663025161</v>
      </c>
      <c r="AO156" s="166">
        <f t="shared" si="67"/>
        <v>3.5675455660766788</v>
      </c>
      <c r="AP156" s="166">
        <f t="shared" si="67"/>
        <v>3.6187219726800519</v>
      </c>
      <c r="AQ156" s="166">
        <f t="shared" si="67"/>
        <v>3.6690049344268862</v>
      </c>
      <c r="AR156" s="166">
        <f t="shared" si="67"/>
        <v>3.7308494332405822</v>
      </c>
      <c r="AS156" s="166">
        <f t="shared" si="67"/>
        <v>3.7914321782267066</v>
      </c>
      <c r="AT156" s="166">
        <f t="shared" si="67"/>
        <v>3.850822598929645</v>
      </c>
      <c r="AU156" s="166">
        <f t="shared" si="67"/>
        <v>3.9090840646418088</v>
      </c>
      <c r="AV156" s="166">
        <f t="shared" si="67"/>
        <v>3.9703174287767342</v>
      </c>
    </row>
    <row r="157" spans="1:48">
      <c r="A157" s="194" t="s">
        <v>16</v>
      </c>
      <c r="B157" s="92" t="str">
        <f t="shared" si="68"/>
        <v>CEG</v>
      </c>
      <c r="C157" s="92" t="str">
        <f t="shared" si="68"/>
        <v>Commercial - Public lights</v>
      </c>
      <c r="D157" s="168"/>
      <c r="E157" s="168"/>
      <c r="F157" s="168"/>
      <c r="G157" s="168"/>
      <c r="H157" s="168"/>
      <c r="I157" s="167"/>
      <c r="J157" s="166">
        <f t="shared" si="67"/>
        <v>10.30055287377321</v>
      </c>
      <c r="K157" s="166">
        <f t="shared" si="67"/>
        <v>10.023810698880988</v>
      </c>
      <c r="L157" s="166">
        <f t="shared" si="67"/>
        <v>9.7692144888562282</v>
      </c>
      <c r="M157" s="166">
        <f t="shared" si="67"/>
        <v>9.4922975350634147</v>
      </c>
      <c r="N157" s="166">
        <f t="shared" si="67"/>
        <v>9.2036100085703758</v>
      </c>
      <c r="O157" s="166">
        <f t="shared" si="67"/>
        <v>8.8711579824850144</v>
      </c>
      <c r="P157" s="166">
        <f t="shared" si="67"/>
        <v>8.9283467453532221</v>
      </c>
      <c r="Q157" s="166">
        <f t="shared" si="67"/>
        <v>8.995453942310931</v>
      </c>
      <c r="R157" s="166">
        <f t="shared" si="67"/>
        <v>8.995453942310931</v>
      </c>
      <c r="S157" s="166">
        <f t="shared" si="67"/>
        <v>9.0882516364607788</v>
      </c>
      <c r="T157" s="166">
        <f t="shared" si="67"/>
        <v>9.1787437936092946</v>
      </c>
      <c r="U157" s="166">
        <f t="shared" si="67"/>
        <v>9.2678040138227225</v>
      </c>
      <c r="V157" s="166">
        <f t="shared" si="67"/>
        <v>9.3541372808156904</v>
      </c>
      <c r="W157" s="166">
        <f t="shared" si="67"/>
        <v>9.4428510379608159</v>
      </c>
      <c r="X157" s="166">
        <f t="shared" si="67"/>
        <v>9.5458516068439963</v>
      </c>
      <c r="Y157" s="166">
        <f t="shared" si="67"/>
        <v>9.6465659388952307</v>
      </c>
      <c r="Z157" s="166">
        <f t="shared" si="67"/>
        <v>9.750689183483173</v>
      </c>
      <c r="AA157" s="166">
        <f t="shared" si="67"/>
        <v>9.8569547839271863</v>
      </c>
      <c r="AB157" s="166">
        <f t="shared" si="67"/>
        <v>9.9650696963836705</v>
      </c>
      <c r="AC157" s="166">
        <f t="shared" si="67"/>
        <v>10.089269264322065</v>
      </c>
      <c r="AD157" s="166">
        <f t="shared" si="67"/>
        <v>10.209736309673625</v>
      </c>
      <c r="AE157" s="166">
        <f t="shared" si="67"/>
        <v>10.339611817302737</v>
      </c>
      <c r="AF157" s="166">
        <f t="shared" si="67"/>
        <v>10.47676601870017</v>
      </c>
      <c r="AG157" s="166">
        <f t="shared" ref="K157:AV159" si="69">AG98*AG$34/1000</f>
        <v>10.620416278444232</v>
      </c>
      <c r="AH157" s="166">
        <f t="shared" si="69"/>
        <v>10.768339084002173</v>
      </c>
      <c r="AI157" s="166">
        <f t="shared" si="69"/>
        <v>10.919779155352776</v>
      </c>
      <c r="AJ157" s="166">
        <f t="shared" si="69"/>
        <v>11.071358436940297</v>
      </c>
      <c r="AK157" s="166">
        <f t="shared" si="69"/>
        <v>11.226632321475375</v>
      </c>
      <c r="AL157" s="166">
        <f t="shared" si="69"/>
        <v>11.38872571437644</v>
      </c>
      <c r="AM157" s="166">
        <f t="shared" si="69"/>
        <v>11.569667128380731</v>
      </c>
      <c r="AN157" s="166">
        <f t="shared" si="69"/>
        <v>11.74712166595774</v>
      </c>
      <c r="AO157" s="166">
        <f t="shared" si="69"/>
        <v>11.921270913485619</v>
      </c>
      <c r="AP157" s="166">
        <f t="shared" si="69"/>
        <v>12.092281429314415</v>
      </c>
      <c r="AQ157" s="166">
        <f t="shared" si="69"/>
        <v>12.260306419665319</v>
      </c>
      <c r="AR157" s="166">
        <f t="shared" si="69"/>
        <v>12.466965314754809</v>
      </c>
      <c r="AS157" s="166">
        <f t="shared" si="69"/>
        <v>12.66940794717126</v>
      </c>
      <c r="AT157" s="166">
        <f t="shared" si="69"/>
        <v>12.867866321914383</v>
      </c>
      <c r="AU157" s="166">
        <f t="shared" si="69"/>
        <v>13.062552193112735</v>
      </c>
      <c r="AV157" s="166">
        <f t="shared" si="69"/>
        <v>13.267168927300476</v>
      </c>
    </row>
    <row r="158" spans="1:48">
      <c r="A158" s="194" t="s">
        <v>16</v>
      </c>
      <c r="B158" s="92" t="str">
        <f t="shared" si="68"/>
        <v>CET</v>
      </c>
      <c r="C158" s="92" t="str">
        <f t="shared" si="68"/>
        <v>Commercial - Public Water</v>
      </c>
      <c r="D158" s="168"/>
      <c r="E158" s="168"/>
      <c r="F158" s="168"/>
      <c r="G158" s="168"/>
      <c r="H158" s="168"/>
      <c r="I158" s="167"/>
      <c r="J158" s="166">
        <f t="shared" ref="J158:J159" si="70">J99*J$34/1000</f>
        <v>3.5593512487513528</v>
      </c>
      <c r="K158" s="166">
        <f t="shared" si="69"/>
        <v>3.4637231190911666</v>
      </c>
      <c r="L158" s="166">
        <f t="shared" si="69"/>
        <v>3.3757475172779561</v>
      </c>
      <c r="M158" s="166">
        <f t="shared" si="69"/>
        <v>3.2800589928500612</v>
      </c>
      <c r="N158" s="166">
        <f t="shared" si="69"/>
        <v>3.1803031525069465</v>
      </c>
      <c r="O158" s="166">
        <f t="shared" si="69"/>
        <v>3.0654245097100388</v>
      </c>
      <c r="P158" s="166">
        <f t="shared" si="69"/>
        <v>3.0851860600873766</v>
      </c>
      <c r="Q158" s="166">
        <f t="shared" si="69"/>
        <v>3.1083749207455065</v>
      </c>
      <c r="R158" s="166">
        <f t="shared" si="69"/>
        <v>3.1083749207455065</v>
      </c>
      <c r="S158" s="166">
        <f t="shared" si="69"/>
        <v>3.14044112074478</v>
      </c>
      <c r="T158" s="166">
        <f t="shared" si="69"/>
        <v>3.1717106435068905</v>
      </c>
      <c r="U158" s="166">
        <f t="shared" si="69"/>
        <v>3.2024853611279087</v>
      </c>
      <c r="V158" s="166">
        <f t="shared" si="69"/>
        <v>3.2323177813334891</v>
      </c>
      <c r="W158" s="166">
        <f t="shared" si="69"/>
        <v>3.2629727788025966</v>
      </c>
      <c r="X158" s="166">
        <f t="shared" si="69"/>
        <v>3.2985645774146795</v>
      </c>
      <c r="Y158" s="166">
        <f t="shared" si="69"/>
        <v>3.3333663679541425</v>
      </c>
      <c r="Z158" s="166">
        <f t="shared" si="69"/>
        <v>3.3693461066331967</v>
      </c>
      <c r="AA158" s="166">
        <f t="shared" si="69"/>
        <v>3.4060661353806592</v>
      </c>
      <c r="AB158" s="166">
        <f t="shared" si="69"/>
        <v>3.4434251930328399</v>
      </c>
      <c r="AC158" s="166">
        <f t="shared" si="69"/>
        <v>3.4863422958964625</v>
      </c>
      <c r="AD158" s="166">
        <f t="shared" si="69"/>
        <v>3.5279696273183716</v>
      </c>
      <c r="AE158" s="166">
        <f t="shared" si="69"/>
        <v>3.5728480484989391</v>
      </c>
      <c r="AF158" s="166">
        <f t="shared" si="69"/>
        <v>3.6202416189215931</v>
      </c>
      <c r="AG158" s="166">
        <f t="shared" si="69"/>
        <v>3.6698798992808292</v>
      </c>
      <c r="AH158" s="166">
        <f t="shared" si="69"/>
        <v>3.7209945558564028</v>
      </c>
      <c r="AI158" s="166">
        <f t="shared" si="69"/>
        <v>3.7733246019887052</v>
      </c>
      <c r="AJ158" s="166">
        <f t="shared" si="69"/>
        <v>3.8257027521535454</v>
      </c>
      <c r="AK158" s="166">
        <f t="shared" si="69"/>
        <v>3.8793575706464041</v>
      </c>
      <c r="AL158" s="166">
        <f t="shared" si="69"/>
        <v>3.9353688670794096</v>
      </c>
      <c r="AM158" s="166">
        <f t="shared" si="69"/>
        <v>3.9978930884274515</v>
      </c>
      <c r="AN158" s="166">
        <f t="shared" si="69"/>
        <v>4.0592124212498222</v>
      </c>
      <c r="AO158" s="166">
        <f t="shared" si="69"/>
        <v>4.1193896126349294</v>
      </c>
      <c r="AP158" s="166">
        <f t="shared" si="69"/>
        <v>4.1784822167430686</v>
      </c>
      <c r="AQ158" s="166">
        <f t="shared" si="69"/>
        <v>4.2365431739126276</v>
      </c>
      <c r="AR158" s="166">
        <f t="shared" si="69"/>
        <v>4.3079540588734941</v>
      </c>
      <c r="AS158" s="166">
        <f t="shared" si="69"/>
        <v>4.3779080162311299</v>
      </c>
      <c r="AT158" s="166">
        <f t="shared" si="69"/>
        <v>4.4464852152051444</v>
      </c>
      <c r="AU158" s="166">
        <f t="shared" si="69"/>
        <v>4.5137588273360496</v>
      </c>
      <c r="AV158" s="166">
        <f t="shared" si="69"/>
        <v>4.5844640445483158</v>
      </c>
    </row>
    <row r="159" spans="1:48">
      <c r="A159" s="194" t="s">
        <v>16</v>
      </c>
      <c r="B159" s="92" t="str">
        <f t="shared" si="68"/>
        <v>CEO</v>
      </c>
      <c r="C159" s="92" t="str">
        <f t="shared" si="68"/>
        <v>Commercial - Other</v>
      </c>
      <c r="D159" s="168"/>
      <c r="E159" s="168"/>
      <c r="F159" s="168"/>
      <c r="G159" s="168"/>
      <c r="H159" s="168"/>
      <c r="I159" s="167"/>
      <c r="J159" s="166">
        <f t="shared" si="70"/>
        <v>3.7520368714157861</v>
      </c>
      <c r="K159" s="166">
        <f t="shared" si="69"/>
        <v>3.6836958161690943</v>
      </c>
      <c r="L159" s="166">
        <f t="shared" si="69"/>
        <v>3.6241923983997872</v>
      </c>
      <c r="M159" s="166">
        <f t="shared" si="69"/>
        <v>3.5571871958880834</v>
      </c>
      <c r="N159" s="166">
        <f t="shared" si="69"/>
        <v>3.4865111136726998</v>
      </c>
      <c r="O159" s="166">
        <f t="shared" si="69"/>
        <v>3.3998483491588085</v>
      </c>
      <c r="P159" s="166">
        <f t="shared" si="69"/>
        <v>3.4217657945939819</v>
      </c>
      <c r="Q159" s="166">
        <f t="shared" si="69"/>
        <v>3.4474844542372667</v>
      </c>
      <c r="R159" s="166">
        <f t="shared" si="69"/>
        <v>3.4474844542372667</v>
      </c>
      <c r="S159" s="166">
        <f t="shared" si="69"/>
        <v>3.4830489304740797</v>
      </c>
      <c r="T159" s="166">
        <f t="shared" si="69"/>
        <v>3.5177298156190213</v>
      </c>
      <c r="U159" s="166">
        <f t="shared" si="69"/>
        <v>3.5518619146376809</v>
      </c>
      <c r="V159" s="166">
        <f t="shared" si="69"/>
        <v>3.5849489158885937</v>
      </c>
      <c r="W159" s="166">
        <f t="shared" si="69"/>
        <v>3.6189482338325445</v>
      </c>
      <c r="X159" s="166">
        <f t="shared" si="69"/>
        <v>3.6584229354184368</v>
      </c>
      <c r="Y159" s="166">
        <f t="shared" si="69"/>
        <v>3.6970214426524497</v>
      </c>
      <c r="Z159" s="166">
        <f t="shared" si="69"/>
        <v>3.7369264067980903</v>
      </c>
      <c r="AA159" s="166">
        <f t="shared" si="69"/>
        <v>3.7776524232837918</v>
      </c>
      <c r="AB159" s="166">
        <f t="shared" si="69"/>
        <v>3.8190871838145317</v>
      </c>
      <c r="AC159" s="166">
        <f t="shared" si="69"/>
        <v>3.8666863469514401</v>
      </c>
      <c r="AD159" s="166">
        <f t="shared" si="69"/>
        <v>3.9128550304621141</v>
      </c>
      <c r="AE159" s="166">
        <f t="shared" si="69"/>
        <v>3.9626294828031496</v>
      </c>
      <c r="AF159" s="166">
        <f t="shared" si="69"/>
        <v>4.0151934757026009</v>
      </c>
      <c r="AG159" s="166">
        <f t="shared" si="69"/>
        <v>4.0702470661596024</v>
      </c>
      <c r="AH159" s="166">
        <f t="shared" si="69"/>
        <v>4.1269380987476865</v>
      </c>
      <c r="AI159" s="166">
        <f t="shared" si="69"/>
        <v>4.1849771143524581</v>
      </c>
      <c r="AJ159" s="166">
        <f t="shared" si="69"/>
        <v>4.2430694819204238</v>
      </c>
      <c r="AK159" s="166">
        <f t="shared" si="69"/>
        <v>4.302577796510958</v>
      </c>
      <c r="AL159" s="166">
        <f t="shared" si="69"/>
        <v>4.3646996700422722</v>
      </c>
      <c r="AM159" s="166">
        <f t="shared" si="69"/>
        <v>4.4340449989059367</v>
      </c>
      <c r="AN159" s="166">
        <f t="shared" si="69"/>
        <v>4.5020539913985873</v>
      </c>
      <c r="AO159" s="166">
        <f t="shared" si="69"/>
        <v>4.5687962400299273</v>
      </c>
      <c r="AP159" s="166">
        <f t="shared" si="69"/>
        <v>4.6343355778567634</v>
      </c>
      <c r="AQ159" s="166">
        <f t="shared" si="69"/>
        <v>4.6987307207670623</v>
      </c>
      <c r="AR159" s="166">
        <f t="shared" si="69"/>
        <v>4.7779322077314692</v>
      </c>
      <c r="AS159" s="166">
        <f t="shared" si="69"/>
        <v>4.8555178229329279</v>
      </c>
      <c r="AT159" s="166">
        <f t="shared" si="69"/>
        <v>4.9315764816874346</v>
      </c>
      <c r="AU159" s="166">
        <f t="shared" si="69"/>
        <v>5.0061893382170002</v>
      </c>
      <c r="AV159" s="166">
        <f t="shared" si="69"/>
        <v>5.0846081722984087</v>
      </c>
    </row>
    <row r="160" spans="1:48">
      <c r="A160" s="194" t="s">
        <v>16</v>
      </c>
      <c r="B160" s="168"/>
      <c r="C160" s="168"/>
      <c r="D160" s="168"/>
      <c r="E160" s="168"/>
      <c r="F160" s="168"/>
      <c r="G160" s="168"/>
      <c r="H160" s="168"/>
      <c r="I160" s="167"/>
      <c r="K160" s="92"/>
    </row>
    <row r="161" spans="1:48" ht="15.75" thickBot="1">
      <c r="A161" s="194" t="s">
        <v>16</v>
      </c>
      <c r="B161" s="90" t="s">
        <v>479</v>
      </c>
      <c r="C161" s="90"/>
      <c r="D161" s="90"/>
      <c r="E161" s="90"/>
      <c r="F161" s="90"/>
      <c r="G161" s="90"/>
      <c r="H161" s="90"/>
      <c r="I161" s="160"/>
      <c r="K161" s="92"/>
    </row>
    <row r="162" spans="1:48">
      <c r="A162" s="194" t="s">
        <v>16</v>
      </c>
      <c r="B162" s="92" t="str">
        <f t="shared" ref="B162:B170" si="71">B70</f>
        <v>CEC</v>
      </c>
      <c r="C162" s="92" t="str">
        <f t="shared" ref="C162:C170" si="72">C138</f>
        <v>Commercial - Cooling</v>
      </c>
      <c r="E162" s="111"/>
      <c r="F162" s="111"/>
      <c r="I162" s="160"/>
      <c r="J162" s="166">
        <f t="shared" ref="J162:AV168" si="73">J$35*J70/1000</f>
        <v>111.73151548310749</v>
      </c>
      <c r="K162" s="166">
        <f t="shared" si="73"/>
        <v>108.72965500263481</v>
      </c>
      <c r="L162" s="166">
        <f t="shared" si="73"/>
        <v>105.96801485274044</v>
      </c>
      <c r="M162" s="166">
        <f t="shared" si="73"/>
        <v>102.9642585214647</v>
      </c>
      <c r="N162" s="166">
        <f t="shared" si="73"/>
        <v>99.832825167215901</v>
      </c>
      <c r="O162" s="166">
        <f t="shared" si="73"/>
        <v>96.226672259198224</v>
      </c>
      <c r="P162" s="166">
        <f t="shared" si="73"/>
        <v>95.264405536606233</v>
      </c>
      <c r="Q162" s="166">
        <f>Q$35*Q70/1000</f>
        <v>94.302138814014256</v>
      </c>
      <c r="R162" s="166">
        <f t="shared" si="73"/>
        <v>93.339872091422265</v>
      </c>
      <c r="S162" s="166">
        <f t="shared" si="73"/>
        <v>92.377605368830288</v>
      </c>
      <c r="T162" s="166">
        <f t="shared" si="73"/>
        <v>91.415338646238311</v>
      </c>
      <c r="U162" s="166">
        <f t="shared" si="73"/>
        <v>90.45307192364632</v>
      </c>
      <c r="V162" s="166">
        <f t="shared" si="73"/>
        <v>89.490805201054329</v>
      </c>
      <c r="W162" s="166">
        <f t="shared" si="73"/>
        <v>88.528538478462352</v>
      </c>
      <c r="X162" s="166">
        <f t="shared" si="73"/>
        <v>87.566271755870375</v>
      </c>
      <c r="Y162" s="166">
        <f t="shared" si="73"/>
        <v>86.604005033278398</v>
      </c>
      <c r="Z162" s="166">
        <f t="shared" si="73"/>
        <v>85.641738310686407</v>
      </c>
      <c r="AA162" s="166">
        <f t="shared" si="73"/>
        <v>84.67947158809443</v>
      </c>
      <c r="AB162" s="166">
        <f t="shared" si="73"/>
        <v>83.717204865502438</v>
      </c>
      <c r="AC162" s="166">
        <f t="shared" si="73"/>
        <v>82.754938142910476</v>
      </c>
      <c r="AD162" s="166">
        <f t="shared" si="73"/>
        <v>81.792671420318484</v>
      </c>
      <c r="AE162" s="166">
        <f t="shared" si="73"/>
        <v>80.830404697726493</v>
      </c>
      <c r="AF162" s="166">
        <f t="shared" si="73"/>
        <v>79.868137975134502</v>
      </c>
      <c r="AG162" s="166">
        <f t="shared" si="73"/>
        <v>78.905871252542525</v>
      </c>
      <c r="AH162" s="166">
        <f t="shared" si="73"/>
        <v>77.943604529950548</v>
      </c>
      <c r="AI162" s="166">
        <f t="shared" si="73"/>
        <v>76.981337807358557</v>
      </c>
      <c r="AJ162" s="166">
        <f t="shared" si="73"/>
        <v>76.01907108476658</v>
      </c>
      <c r="AK162" s="166">
        <f t="shared" si="73"/>
        <v>75.056804362174589</v>
      </c>
      <c r="AL162" s="166">
        <f t="shared" si="73"/>
        <v>74.094537639582597</v>
      </c>
      <c r="AM162" s="166">
        <f t="shared" si="73"/>
        <v>73.132270916990635</v>
      </c>
      <c r="AN162" s="166">
        <f t="shared" si="73"/>
        <v>72.170004194398643</v>
      </c>
      <c r="AO162" s="166">
        <f t="shared" si="73"/>
        <v>71.207737471806652</v>
      </c>
      <c r="AP162" s="166">
        <f t="shared" si="73"/>
        <v>70.245470749214675</v>
      </c>
      <c r="AQ162" s="166">
        <f t="shared" si="73"/>
        <v>69.283204026622684</v>
      </c>
      <c r="AR162" s="166">
        <f t="shared" si="73"/>
        <v>68.320937304030721</v>
      </c>
      <c r="AS162" s="166">
        <f t="shared" si="73"/>
        <v>67.35867058143873</v>
      </c>
      <c r="AT162" s="166">
        <f t="shared" si="73"/>
        <v>66.396403858846753</v>
      </c>
      <c r="AU162" s="166">
        <f t="shared" si="73"/>
        <v>65.434137136254762</v>
      </c>
      <c r="AV162" s="166">
        <f t="shared" si="73"/>
        <v>64.471870413662771</v>
      </c>
    </row>
    <row r="163" spans="1:48">
      <c r="A163" s="194" t="s">
        <v>16</v>
      </c>
      <c r="B163" s="92" t="str">
        <f t="shared" si="71"/>
        <v>CEH</v>
      </c>
      <c r="C163" s="92" t="str">
        <f t="shared" si="72"/>
        <v>Commercial - Space Heating</v>
      </c>
      <c r="E163" s="111"/>
      <c r="F163" s="111"/>
      <c r="I163" s="160"/>
      <c r="J163" s="166">
        <f t="shared" si="73"/>
        <v>6.2814039260015191</v>
      </c>
      <c r="K163" s="166">
        <f t="shared" si="73"/>
        <v>6.8385166802914092</v>
      </c>
      <c r="L163" s="166">
        <f t="shared" si="73"/>
        <v>7.4263698316800602</v>
      </c>
      <c r="M163" s="166">
        <f t="shared" si="73"/>
        <v>8.0146683659086371</v>
      </c>
      <c r="N163" s="166">
        <f t="shared" si="73"/>
        <v>8.609576325977141</v>
      </c>
      <c r="O163" s="166">
        <f t="shared" si="73"/>
        <v>9.1767853690947074</v>
      </c>
      <c r="P163" s="166">
        <f t="shared" si="73"/>
        <v>9.0850175154037593</v>
      </c>
      <c r="Q163" s="166">
        <f t="shared" si="73"/>
        <v>8.9932496617128113</v>
      </c>
      <c r="R163" s="166">
        <f t="shared" si="73"/>
        <v>8.9014818080218649</v>
      </c>
      <c r="S163" s="166">
        <f t="shared" si="73"/>
        <v>8.8097139543309169</v>
      </c>
      <c r="T163" s="166">
        <f t="shared" si="73"/>
        <v>8.7179461006399706</v>
      </c>
      <c r="U163" s="166">
        <f t="shared" si="73"/>
        <v>8.6261782469490225</v>
      </c>
      <c r="V163" s="166">
        <f t="shared" si="73"/>
        <v>8.5344103932580744</v>
      </c>
      <c r="W163" s="166">
        <f t="shared" si="73"/>
        <v>8.4426425395671281</v>
      </c>
      <c r="X163" s="166">
        <f t="shared" si="73"/>
        <v>8.35087468587618</v>
      </c>
      <c r="Y163" s="166">
        <f t="shared" si="73"/>
        <v>8.2591068321852337</v>
      </c>
      <c r="Z163" s="166">
        <f t="shared" si="73"/>
        <v>8.1673389784942874</v>
      </c>
      <c r="AA163" s="166">
        <f t="shared" si="73"/>
        <v>8.075571124803341</v>
      </c>
      <c r="AB163" s="166">
        <f t="shared" si="73"/>
        <v>7.983803271112393</v>
      </c>
      <c r="AC163" s="166">
        <f t="shared" si="73"/>
        <v>7.8920354174214467</v>
      </c>
      <c r="AD163" s="166">
        <f t="shared" si="73"/>
        <v>7.8002675637304995</v>
      </c>
      <c r="AE163" s="166">
        <f t="shared" si="73"/>
        <v>7.7084997100395514</v>
      </c>
      <c r="AF163" s="166">
        <f t="shared" si="73"/>
        <v>7.6167318563486042</v>
      </c>
      <c r="AG163" s="166">
        <f t="shared" si="73"/>
        <v>7.524964002657657</v>
      </c>
      <c r="AH163" s="166">
        <f t="shared" si="73"/>
        <v>7.4331961489667098</v>
      </c>
      <c r="AI163" s="166">
        <f t="shared" si="73"/>
        <v>7.3414282952757635</v>
      </c>
      <c r="AJ163" s="166">
        <f t="shared" si="73"/>
        <v>7.2496604415848154</v>
      </c>
      <c r="AK163" s="166">
        <f t="shared" si="73"/>
        <v>7.1578925878938682</v>
      </c>
      <c r="AL163" s="166">
        <f t="shared" si="73"/>
        <v>7.066124734202921</v>
      </c>
      <c r="AM163" s="166">
        <f t="shared" si="73"/>
        <v>6.9743568805119747</v>
      </c>
      <c r="AN163" s="166">
        <f t="shared" si="73"/>
        <v>6.8825890268210275</v>
      </c>
      <c r="AO163" s="166">
        <f t="shared" si="73"/>
        <v>6.7908211731300785</v>
      </c>
      <c r="AP163" s="166">
        <f t="shared" si="73"/>
        <v>6.6990533194391331</v>
      </c>
      <c r="AQ163" s="166">
        <f t="shared" si="73"/>
        <v>6.6072854657481859</v>
      </c>
      <c r="AR163" s="166">
        <f t="shared" si="73"/>
        <v>6.5155176120572396</v>
      </c>
      <c r="AS163" s="166">
        <f t="shared" si="73"/>
        <v>6.4237497583662915</v>
      </c>
      <c r="AT163" s="166">
        <f t="shared" si="73"/>
        <v>6.3319819046753443</v>
      </c>
      <c r="AU163" s="166">
        <f t="shared" si="73"/>
        <v>6.240214050984398</v>
      </c>
      <c r="AV163" s="166">
        <f t="shared" si="73"/>
        <v>6.1484461972934499</v>
      </c>
    </row>
    <row r="164" spans="1:48">
      <c r="A164" s="194" t="s">
        <v>16</v>
      </c>
      <c r="B164" s="92" t="str">
        <f t="shared" si="71"/>
        <v>CEK</v>
      </c>
      <c r="C164" s="92" t="str">
        <f t="shared" si="72"/>
        <v>Commercial - Cooking</v>
      </c>
      <c r="E164" s="111"/>
      <c r="F164" s="111"/>
      <c r="I164" s="160"/>
      <c r="J164" s="166">
        <f t="shared" si="73"/>
        <v>7.9155998052238097</v>
      </c>
      <c r="K164" s="166">
        <f t="shared" si="73"/>
        <v>7.7119135787419291</v>
      </c>
      <c r="L164" s="166">
        <f t="shared" si="73"/>
        <v>7.5254589469677287</v>
      </c>
      <c r="M164" s="166">
        <f t="shared" si="73"/>
        <v>7.3220255389876163</v>
      </c>
      <c r="N164" s="166">
        <f t="shared" si="73"/>
        <v>7.1097174420082103</v>
      </c>
      <c r="O164" s="166">
        <f t="shared" si="73"/>
        <v>6.8637654158832637</v>
      </c>
      <c r="P164" s="166">
        <f t="shared" si="73"/>
        <v>6.795127761724431</v>
      </c>
      <c r="Q164" s="166">
        <f t="shared" si="73"/>
        <v>6.7264901075655983</v>
      </c>
      <c r="R164" s="166">
        <f t="shared" si="73"/>
        <v>6.6578524534067656</v>
      </c>
      <c r="S164" s="166">
        <f t="shared" si="73"/>
        <v>6.5892147992479329</v>
      </c>
      <c r="T164" s="166">
        <f t="shared" si="73"/>
        <v>6.520577145089101</v>
      </c>
      <c r="U164" s="166">
        <f t="shared" si="73"/>
        <v>6.4519394909302683</v>
      </c>
      <c r="V164" s="166">
        <f t="shared" si="73"/>
        <v>6.3833018367714347</v>
      </c>
      <c r="W164" s="166">
        <f t="shared" si="73"/>
        <v>6.3146641826126011</v>
      </c>
      <c r="X164" s="166">
        <f t="shared" si="73"/>
        <v>6.2460265284537693</v>
      </c>
      <c r="Y164" s="166">
        <f t="shared" si="73"/>
        <v>6.1773888742949374</v>
      </c>
      <c r="Z164" s="166">
        <f t="shared" si="73"/>
        <v>6.1087512201361038</v>
      </c>
      <c r="AA164" s="166">
        <f t="shared" si="73"/>
        <v>6.040113565977272</v>
      </c>
      <c r="AB164" s="166">
        <f t="shared" si="73"/>
        <v>5.9714759118184393</v>
      </c>
      <c r="AC164" s="166">
        <f t="shared" si="73"/>
        <v>5.9028382576596066</v>
      </c>
      <c r="AD164" s="166">
        <f t="shared" si="73"/>
        <v>5.8342006035007739</v>
      </c>
      <c r="AE164" s="166">
        <f t="shared" si="73"/>
        <v>5.7655629493419402</v>
      </c>
      <c r="AF164" s="166">
        <f t="shared" si="73"/>
        <v>5.6969252951831075</v>
      </c>
      <c r="AG164" s="166">
        <f t="shared" si="73"/>
        <v>5.6282876410242748</v>
      </c>
      <c r="AH164" s="166">
        <f t="shared" si="73"/>
        <v>5.559649986865443</v>
      </c>
      <c r="AI164" s="166">
        <f t="shared" si="73"/>
        <v>5.4910123327066103</v>
      </c>
      <c r="AJ164" s="166">
        <f t="shared" si="73"/>
        <v>5.4223746785477767</v>
      </c>
      <c r="AK164" s="166">
        <f t="shared" si="73"/>
        <v>5.3537370243889448</v>
      </c>
      <c r="AL164" s="166">
        <f t="shared" si="73"/>
        <v>5.2850993702301121</v>
      </c>
      <c r="AM164" s="166">
        <f t="shared" si="73"/>
        <v>5.2164617160712785</v>
      </c>
      <c r="AN164" s="166">
        <f t="shared" si="73"/>
        <v>5.1478240619124467</v>
      </c>
      <c r="AO164" s="166">
        <f t="shared" si="73"/>
        <v>5.0791864077536131</v>
      </c>
      <c r="AP164" s="166">
        <f t="shared" si="73"/>
        <v>5.0105487535947804</v>
      </c>
      <c r="AQ164" s="166">
        <f t="shared" si="73"/>
        <v>4.9419110994359476</v>
      </c>
      <c r="AR164" s="166">
        <f t="shared" si="73"/>
        <v>4.8732734452771167</v>
      </c>
      <c r="AS164" s="166">
        <f t="shared" si="73"/>
        <v>4.8046357911182831</v>
      </c>
      <c r="AT164" s="166">
        <f t="shared" si="73"/>
        <v>4.7359981369594504</v>
      </c>
      <c r="AU164" s="166">
        <f t="shared" si="73"/>
        <v>4.6673604828006177</v>
      </c>
      <c r="AV164" s="166">
        <f t="shared" si="73"/>
        <v>4.5987228286417841</v>
      </c>
    </row>
    <row r="165" spans="1:48">
      <c r="A165" s="194" t="s">
        <v>16</v>
      </c>
      <c r="B165" s="92" t="str">
        <f t="shared" si="71"/>
        <v>CEL</v>
      </c>
      <c r="C165" s="92" t="str">
        <f t="shared" si="72"/>
        <v>Commercial - Lighting</v>
      </c>
      <c r="E165" s="111"/>
      <c r="F165" s="111"/>
      <c r="I165" s="160"/>
      <c r="J165" s="166">
        <f t="shared" si="73"/>
        <v>97.232217524551132</v>
      </c>
      <c r="K165" s="166">
        <f t="shared" si="73"/>
        <v>94.619905770310211</v>
      </c>
      <c r="L165" s="166">
        <f t="shared" si="73"/>
        <v>92.216641171078479</v>
      </c>
      <c r="M165" s="166">
        <f t="shared" si="73"/>
        <v>89.602679588882765</v>
      </c>
      <c r="N165" s="166">
        <f t="shared" si="73"/>
        <v>86.877609515793239</v>
      </c>
      <c r="O165" s="166">
        <f t="shared" si="73"/>
        <v>83.739423817129023</v>
      </c>
      <c r="P165" s="166">
        <f t="shared" si="73"/>
        <v>82.902029578957737</v>
      </c>
      <c r="Q165" s="166">
        <f t="shared" si="73"/>
        <v>82.064635340786438</v>
      </c>
      <c r="R165" s="166">
        <f t="shared" si="73"/>
        <v>81.227241102615139</v>
      </c>
      <c r="S165" s="166">
        <f t="shared" si="73"/>
        <v>80.389846864443854</v>
      </c>
      <c r="T165" s="166">
        <f t="shared" si="73"/>
        <v>79.552452626272569</v>
      </c>
      <c r="U165" s="166">
        <f t="shared" si="73"/>
        <v>78.715058388101269</v>
      </c>
      <c r="V165" s="166">
        <f t="shared" si="73"/>
        <v>77.87766414992997</v>
      </c>
      <c r="W165" s="166">
        <f t="shared" si="73"/>
        <v>77.040269911758685</v>
      </c>
      <c r="X165" s="166">
        <f t="shared" si="73"/>
        <v>76.2028756735874</v>
      </c>
      <c r="Y165" s="166">
        <f t="shared" si="73"/>
        <v>75.365481435416115</v>
      </c>
      <c r="Z165" s="166">
        <f t="shared" si="73"/>
        <v>74.528087197244815</v>
      </c>
      <c r="AA165" s="166">
        <f t="shared" si="73"/>
        <v>73.690692959073544</v>
      </c>
      <c r="AB165" s="166">
        <f t="shared" si="73"/>
        <v>72.853298720902245</v>
      </c>
      <c r="AC165" s="166">
        <f t="shared" si="73"/>
        <v>72.01590448273096</v>
      </c>
      <c r="AD165" s="166">
        <f t="shared" si="73"/>
        <v>71.178510244559661</v>
      </c>
      <c r="AE165" s="166">
        <f t="shared" si="73"/>
        <v>70.341116006388361</v>
      </c>
      <c r="AF165" s="166">
        <f t="shared" si="73"/>
        <v>69.503721768217076</v>
      </c>
      <c r="AG165" s="166">
        <f t="shared" si="73"/>
        <v>68.666327530045791</v>
      </c>
      <c r="AH165" s="166">
        <f t="shared" si="73"/>
        <v>67.828933291874492</v>
      </c>
      <c r="AI165" s="166">
        <f t="shared" si="73"/>
        <v>66.991539053703207</v>
      </c>
      <c r="AJ165" s="166">
        <f t="shared" si="73"/>
        <v>66.154144815531907</v>
      </c>
      <c r="AK165" s="166">
        <f t="shared" si="73"/>
        <v>65.316750577360622</v>
      </c>
      <c r="AL165" s="166">
        <f t="shared" si="73"/>
        <v>64.479356339189323</v>
      </c>
      <c r="AM165" s="166">
        <f t="shared" si="73"/>
        <v>63.641962101018045</v>
      </c>
      <c r="AN165" s="166">
        <f t="shared" si="73"/>
        <v>62.804567862846753</v>
      </c>
      <c r="AO165" s="166">
        <f t="shared" si="73"/>
        <v>61.967173624675453</v>
      </c>
      <c r="AP165" s="166">
        <f t="shared" si="73"/>
        <v>61.129779386504161</v>
      </c>
      <c r="AQ165" s="166">
        <f t="shared" si="73"/>
        <v>60.292385148332869</v>
      </c>
      <c r="AR165" s="166">
        <f t="shared" si="73"/>
        <v>59.454990910161591</v>
      </c>
      <c r="AS165" s="166">
        <f t="shared" si="73"/>
        <v>58.617596671990292</v>
      </c>
      <c r="AT165" s="166">
        <f t="shared" si="73"/>
        <v>57.780202433818999</v>
      </c>
      <c r="AU165" s="166">
        <f t="shared" si="73"/>
        <v>56.942808195647714</v>
      </c>
      <c r="AV165" s="166">
        <f t="shared" si="73"/>
        <v>56.105413957476415</v>
      </c>
    </row>
    <row r="166" spans="1:48">
      <c r="A166" s="194" t="s">
        <v>16</v>
      </c>
      <c r="B166" s="92" t="str">
        <f t="shared" si="71"/>
        <v>CER</v>
      </c>
      <c r="C166" s="92" t="str">
        <f t="shared" si="72"/>
        <v>Commercial - Refrigeration</v>
      </c>
      <c r="E166" s="111"/>
      <c r="F166" s="111"/>
      <c r="I166" s="160"/>
      <c r="J166" s="166">
        <f t="shared" si="73"/>
        <v>23.653112298997645</v>
      </c>
      <c r="K166" s="166">
        <f t="shared" si="73"/>
        <v>23.017630512649919</v>
      </c>
      <c r="L166" s="166">
        <f t="shared" si="73"/>
        <v>22.433002403808526</v>
      </c>
      <c r="M166" s="166">
        <f t="shared" si="73"/>
        <v>21.797119273473363</v>
      </c>
      <c r="N166" s="166">
        <f t="shared" si="73"/>
        <v>21.134207431057046</v>
      </c>
      <c r="O166" s="166">
        <f t="shared" si="73"/>
        <v>20.370799369044367</v>
      </c>
      <c r="P166" s="166">
        <f t="shared" si="73"/>
        <v>20.16709137535392</v>
      </c>
      <c r="Q166" s="166">
        <f t="shared" si="73"/>
        <v>19.963383381663476</v>
      </c>
      <c r="R166" s="166">
        <f t="shared" si="73"/>
        <v>19.759675387973033</v>
      </c>
      <c r="S166" s="166">
        <f t="shared" si="73"/>
        <v>19.55596739428259</v>
      </c>
      <c r="T166" s="166">
        <f t="shared" si="73"/>
        <v>19.352259400592146</v>
      </c>
      <c r="U166" s="166">
        <f t="shared" si="73"/>
        <v>19.148551406901703</v>
      </c>
      <c r="V166" s="166">
        <f t="shared" si="73"/>
        <v>18.944843413211256</v>
      </c>
      <c r="W166" s="166">
        <f t="shared" si="73"/>
        <v>18.741135419520813</v>
      </c>
      <c r="X166" s="166">
        <f t="shared" si="73"/>
        <v>18.537427425830369</v>
      </c>
      <c r="Y166" s="166">
        <f t="shared" si="73"/>
        <v>18.333719432139929</v>
      </c>
      <c r="Z166" s="166">
        <f t="shared" si="73"/>
        <v>18.130011438449486</v>
      </c>
      <c r="AA166" s="166">
        <f t="shared" si="73"/>
        <v>17.926303444759039</v>
      </c>
      <c r="AB166" s="166">
        <f t="shared" si="73"/>
        <v>17.722595451068596</v>
      </c>
      <c r="AC166" s="166">
        <f t="shared" si="73"/>
        <v>17.518887457378153</v>
      </c>
      <c r="AD166" s="166">
        <f t="shared" si="73"/>
        <v>17.315179463687709</v>
      </c>
      <c r="AE166" s="166">
        <f t="shared" si="73"/>
        <v>17.111471469997266</v>
      </c>
      <c r="AF166" s="166">
        <f t="shared" si="73"/>
        <v>16.907763476306819</v>
      </c>
      <c r="AG166" s="166">
        <f t="shared" si="73"/>
        <v>16.704055482616376</v>
      </c>
      <c r="AH166" s="166">
        <f t="shared" si="73"/>
        <v>16.500347488925936</v>
      </c>
      <c r="AI166" s="166">
        <f t="shared" si="73"/>
        <v>16.296639495235489</v>
      </c>
      <c r="AJ166" s="166">
        <f t="shared" si="73"/>
        <v>16.092931501545042</v>
      </c>
      <c r="AK166" s="166">
        <f t="shared" si="73"/>
        <v>15.8892235078546</v>
      </c>
      <c r="AL166" s="166">
        <f t="shared" si="73"/>
        <v>15.685515514164157</v>
      </c>
      <c r="AM166" s="166">
        <f t="shared" si="73"/>
        <v>15.481807520473712</v>
      </c>
      <c r="AN166" s="166">
        <f t="shared" si="73"/>
        <v>15.278099526783269</v>
      </c>
      <c r="AO166" s="166">
        <f t="shared" si="73"/>
        <v>15.074391533092824</v>
      </c>
      <c r="AP166" s="166">
        <f t="shared" si="73"/>
        <v>14.87068353940238</v>
      </c>
      <c r="AQ166" s="166">
        <f t="shared" si="73"/>
        <v>14.666975545711937</v>
      </c>
      <c r="AR166" s="166">
        <f t="shared" si="73"/>
        <v>14.463267552021495</v>
      </c>
      <c r="AS166" s="166">
        <f t="shared" si="73"/>
        <v>14.25955955833105</v>
      </c>
      <c r="AT166" s="166">
        <f t="shared" si="73"/>
        <v>14.055851564640607</v>
      </c>
      <c r="AU166" s="166">
        <f t="shared" si="73"/>
        <v>13.852143570950163</v>
      </c>
      <c r="AV166" s="166">
        <f t="shared" si="73"/>
        <v>13.648435577259717</v>
      </c>
    </row>
    <row r="167" spans="1:48">
      <c r="A167" s="194" t="s">
        <v>16</v>
      </c>
      <c r="B167" s="92" t="str">
        <f t="shared" si="71"/>
        <v>CEW</v>
      </c>
      <c r="C167" s="92" t="str">
        <f t="shared" si="72"/>
        <v>Commercial - Water Heating</v>
      </c>
      <c r="E167" s="111"/>
      <c r="F167" s="111"/>
      <c r="I167" s="160"/>
      <c r="J167" s="166">
        <f t="shared" si="73"/>
        <v>7.7464872184600253</v>
      </c>
      <c r="K167" s="166">
        <f t="shared" si="73"/>
        <v>8.2990240988240043</v>
      </c>
      <c r="L167" s="166">
        <f t="shared" si="73"/>
        <v>8.8862772531662575</v>
      </c>
      <c r="M167" s="166">
        <f t="shared" si="73"/>
        <v>9.4714746816451605</v>
      </c>
      <c r="N167" s="166">
        <f t="shared" si="73"/>
        <v>10.062268095442514</v>
      </c>
      <c r="O167" s="166">
        <f t="shared" si="73"/>
        <v>10.619089375975474</v>
      </c>
      <c r="P167" s="166">
        <f t="shared" si="73"/>
        <v>10.51289848221572</v>
      </c>
      <c r="Q167" s="166">
        <f t="shared" si="73"/>
        <v>10.406707588455964</v>
      </c>
      <c r="R167" s="166">
        <f t="shared" si="73"/>
        <v>10.30051669469621</v>
      </c>
      <c r="S167" s="166">
        <f t="shared" si="73"/>
        <v>10.194325800936454</v>
      </c>
      <c r="T167" s="166">
        <f t="shared" si="73"/>
        <v>10.0881349071767</v>
      </c>
      <c r="U167" s="166">
        <f t="shared" si="73"/>
        <v>9.9819440134169461</v>
      </c>
      <c r="V167" s="166">
        <f t="shared" si="73"/>
        <v>9.8757531196571886</v>
      </c>
      <c r="W167" s="166">
        <f t="shared" si="73"/>
        <v>9.7695622258974346</v>
      </c>
      <c r="X167" s="166">
        <f t="shared" si="73"/>
        <v>9.6633713321376806</v>
      </c>
      <c r="Y167" s="166">
        <f t="shared" si="73"/>
        <v>9.5571804383779266</v>
      </c>
      <c r="Z167" s="166">
        <f t="shared" si="73"/>
        <v>9.4509895446181709</v>
      </c>
      <c r="AA167" s="166">
        <f t="shared" si="73"/>
        <v>9.3447986508584169</v>
      </c>
      <c r="AB167" s="166">
        <f t="shared" si="73"/>
        <v>9.2386077570986611</v>
      </c>
      <c r="AC167" s="166">
        <f t="shared" si="73"/>
        <v>9.1324168633389071</v>
      </c>
      <c r="AD167" s="166">
        <f t="shared" si="73"/>
        <v>9.0262259695791531</v>
      </c>
      <c r="AE167" s="166">
        <f t="shared" si="73"/>
        <v>8.9200350758193956</v>
      </c>
      <c r="AF167" s="166">
        <f t="shared" si="73"/>
        <v>8.8138441820596416</v>
      </c>
      <c r="AG167" s="166">
        <f t="shared" si="73"/>
        <v>8.7076532882998876</v>
      </c>
      <c r="AH167" s="166">
        <f t="shared" si="73"/>
        <v>8.6014623945401318</v>
      </c>
      <c r="AI167" s="166">
        <f t="shared" si="73"/>
        <v>8.4952715007803778</v>
      </c>
      <c r="AJ167" s="166">
        <f t="shared" si="73"/>
        <v>8.3890806070206221</v>
      </c>
      <c r="AK167" s="166">
        <f t="shared" si="73"/>
        <v>8.2828897132608681</v>
      </c>
      <c r="AL167" s="166">
        <f t="shared" si="73"/>
        <v>8.1766988195011123</v>
      </c>
      <c r="AM167" s="166">
        <f t="shared" si="73"/>
        <v>8.0705079257413583</v>
      </c>
      <c r="AN167" s="166">
        <f t="shared" si="73"/>
        <v>7.9643170319816035</v>
      </c>
      <c r="AO167" s="166">
        <f t="shared" si="73"/>
        <v>7.8581261382218468</v>
      </c>
      <c r="AP167" s="166">
        <f t="shared" si="73"/>
        <v>7.7519352444620928</v>
      </c>
      <c r="AQ167" s="166">
        <f t="shared" si="73"/>
        <v>7.6457443507023379</v>
      </c>
      <c r="AR167" s="166">
        <f t="shared" si="73"/>
        <v>7.5395534569425848</v>
      </c>
      <c r="AS167" s="166">
        <f t="shared" si="73"/>
        <v>7.4333625631828291</v>
      </c>
      <c r="AT167" s="166">
        <f t="shared" si="73"/>
        <v>7.3271716694230742</v>
      </c>
      <c r="AU167" s="166">
        <f t="shared" si="73"/>
        <v>7.2209807756633202</v>
      </c>
      <c r="AV167" s="166">
        <f t="shared" si="73"/>
        <v>7.1147898819035635</v>
      </c>
    </row>
    <row r="168" spans="1:48">
      <c r="A168" s="194" t="s">
        <v>16</v>
      </c>
      <c r="B168" s="92" t="str">
        <f t="shared" si="71"/>
        <v>CEG</v>
      </c>
      <c r="C168" s="92" t="str">
        <f t="shared" si="72"/>
        <v>Commercial - Public lights</v>
      </c>
      <c r="E168" s="111"/>
      <c r="F168" s="111"/>
      <c r="I168" s="160"/>
      <c r="J168" s="166">
        <f t="shared" si="73"/>
        <v>0</v>
      </c>
      <c r="K168" s="166">
        <f t="shared" si="73"/>
        <v>0</v>
      </c>
      <c r="L168" s="166">
        <f t="shared" si="73"/>
        <v>0</v>
      </c>
      <c r="M168" s="166">
        <f t="shared" si="73"/>
        <v>0</v>
      </c>
      <c r="N168" s="166">
        <f t="shared" si="73"/>
        <v>0</v>
      </c>
      <c r="O168" s="166">
        <f t="shared" si="73"/>
        <v>0</v>
      </c>
      <c r="P168" s="166">
        <f t="shared" si="73"/>
        <v>0</v>
      </c>
      <c r="Q168" s="166">
        <f t="shared" si="73"/>
        <v>0</v>
      </c>
      <c r="R168" s="166">
        <f t="shared" si="73"/>
        <v>0</v>
      </c>
      <c r="S168" s="166">
        <f t="shared" si="73"/>
        <v>0</v>
      </c>
      <c r="T168" s="166">
        <f t="shared" si="73"/>
        <v>0</v>
      </c>
      <c r="U168" s="166">
        <f t="shared" si="73"/>
        <v>0</v>
      </c>
      <c r="V168" s="166">
        <f t="shared" si="73"/>
        <v>0</v>
      </c>
      <c r="W168" s="166">
        <f t="shared" si="73"/>
        <v>0</v>
      </c>
      <c r="X168" s="166">
        <f t="shared" si="73"/>
        <v>0</v>
      </c>
      <c r="Y168" s="166">
        <f t="shared" si="73"/>
        <v>0</v>
      </c>
      <c r="Z168" s="166">
        <f t="shared" si="73"/>
        <v>0</v>
      </c>
      <c r="AA168" s="166">
        <f t="shared" si="73"/>
        <v>0</v>
      </c>
      <c r="AB168" s="166">
        <f t="shared" si="73"/>
        <v>0</v>
      </c>
      <c r="AC168" s="166">
        <f t="shared" si="73"/>
        <v>0</v>
      </c>
      <c r="AD168" s="166">
        <f t="shared" si="73"/>
        <v>0</v>
      </c>
      <c r="AE168" s="166">
        <f t="shared" si="73"/>
        <v>0</v>
      </c>
      <c r="AF168" s="166">
        <f t="shared" ref="AF168:AV168" si="74">AF$35*AF76/1000</f>
        <v>0</v>
      </c>
      <c r="AG168" s="166">
        <f t="shared" si="74"/>
        <v>0</v>
      </c>
      <c r="AH168" s="166">
        <f t="shared" si="74"/>
        <v>0</v>
      </c>
      <c r="AI168" s="166">
        <f t="shared" si="74"/>
        <v>0</v>
      </c>
      <c r="AJ168" s="166">
        <f t="shared" si="74"/>
        <v>0</v>
      </c>
      <c r="AK168" s="166">
        <f t="shared" si="74"/>
        <v>0</v>
      </c>
      <c r="AL168" s="166">
        <f t="shared" si="74"/>
        <v>0</v>
      </c>
      <c r="AM168" s="166">
        <f t="shared" si="74"/>
        <v>0</v>
      </c>
      <c r="AN168" s="166">
        <f t="shared" si="74"/>
        <v>0</v>
      </c>
      <c r="AO168" s="166">
        <f t="shared" si="74"/>
        <v>0</v>
      </c>
      <c r="AP168" s="166">
        <f t="shared" si="74"/>
        <v>0</v>
      </c>
      <c r="AQ168" s="166">
        <f t="shared" si="74"/>
        <v>0</v>
      </c>
      <c r="AR168" s="166">
        <f t="shared" si="74"/>
        <v>0</v>
      </c>
      <c r="AS168" s="166">
        <f t="shared" si="74"/>
        <v>0</v>
      </c>
      <c r="AT168" s="166">
        <f t="shared" si="74"/>
        <v>0</v>
      </c>
      <c r="AU168" s="166">
        <f t="shared" si="74"/>
        <v>0</v>
      </c>
      <c r="AV168" s="166">
        <f t="shared" si="74"/>
        <v>0</v>
      </c>
    </row>
    <row r="169" spans="1:48">
      <c r="A169" s="194" t="s">
        <v>16</v>
      </c>
      <c r="B169" s="92" t="str">
        <f t="shared" si="71"/>
        <v>CET</v>
      </c>
      <c r="C169" s="92" t="str">
        <f t="shared" si="72"/>
        <v>Commercial - Public Water</v>
      </c>
      <c r="E169" s="111"/>
      <c r="F169" s="111"/>
      <c r="I169" s="160"/>
      <c r="J169" s="166">
        <f t="shared" ref="J169:AV170" si="75">J$35*J77/1000</f>
        <v>0</v>
      </c>
      <c r="K169" s="166">
        <f t="shared" si="75"/>
        <v>0</v>
      </c>
      <c r="L169" s="166">
        <f t="shared" si="75"/>
        <v>0</v>
      </c>
      <c r="M169" s="166">
        <f t="shared" si="75"/>
        <v>0</v>
      </c>
      <c r="N169" s="166">
        <f t="shared" si="75"/>
        <v>0</v>
      </c>
      <c r="O169" s="166">
        <f t="shared" si="75"/>
        <v>0</v>
      </c>
      <c r="P169" s="166">
        <f t="shared" si="75"/>
        <v>0</v>
      </c>
      <c r="Q169" s="166">
        <f t="shared" si="75"/>
        <v>0</v>
      </c>
      <c r="R169" s="166">
        <f t="shared" si="75"/>
        <v>0</v>
      </c>
      <c r="S169" s="166">
        <f t="shared" si="75"/>
        <v>0</v>
      </c>
      <c r="T169" s="166">
        <f t="shared" si="75"/>
        <v>0</v>
      </c>
      <c r="U169" s="166">
        <f t="shared" si="75"/>
        <v>0</v>
      </c>
      <c r="V169" s="166">
        <f t="shared" si="75"/>
        <v>0</v>
      </c>
      <c r="W169" s="166">
        <f t="shared" si="75"/>
        <v>0</v>
      </c>
      <c r="X169" s="166">
        <f t="shared" si="75"/>
        <v>0</v>
      </c>
      <c r="Y169" s="166">
        <f t="shared" si="75"/>
        <v>0</v>
      </c>
      <c r="Z169" s="166">
        <f t="shared" si="75"/>
        <v>0</v>
      </c>
      <c r="AA169" s="166">
        <f t="shared" si="75"/>
        <v>0</v>
      </c>
      <c r="AB169" s="166">
        <f t="shared" si="75"/>
        <v>0</v>
      </c>
      <c r="AC169" s="166">
        <f t="shared" si="75"/>
        <v>0</v>
      </c>
      <c r="AD169" s="166">
        <f t="shared" si="75"/>
        <v>0</v>
      </c>
      <c r="AE169" s="166">
        <f t="shared" si="75"/>
        <v>0</v>
      </c>
      <c r="AF169" s="166">
        <f t="shared" si="75"/>
        <v>0</v>
      </c>
      <c r="AG169" s="166">
        <f t="shared" si="75"/>
        <v>0</v>
      </c>
      <c r="AH169" s="166">
        <f t="shared" si="75"/>
        <v>0</v>
      </c>
      <c r="AI169" s="166">
        <f t="shared" si="75"/>
        <v>0</v>
      </c>
      <c r="AJ169" s="166">
        <f t="shared" si="75"/>
        <v>0</v>
      </c>
      <c r="AK169" s="166">
        <f t="shared" si="75"/>
        <v>0</v>
      </c>
      <c r="AL169" s="166">
        <f t="shared" si="75"/>
        <v>0</v>
      </c>
      <c r="AM169" s="166">
        <f t="shared" si="75"/>
        <v>0</v>
      </c>
      <c r="AN169" s="166">
        <f t="shared" si="75"/>
        <v>0</v>
      </c>
      <c r="AO169" s="166">
        <f t="shared" si="75"/>
        <v>0</v>
      </c>
      <c r="AP169" s="166">
        <f t="shared" si="75"/>
        <v>0</v>
      </c>
      <c r="AQ169" s="166">
        <f t="shared" si="75"/>
        <v>0</v>
      </c>
      <c r="AR169" s="166">
        <f t="shared" si="75"/>
        <v>0</v>
      </c>
      <c r="AS169" s="166">
        <f t="shared" si="75"/>
        <v>0</v>
      </c>
      <c r="AT169" s="166">
        <f t="shared" si="75"/>
        <v>0</v>
      </c>
      <c r="AU169" s="166">
        <f t="shared" si="75"/>
        <v>0</v>
      </c>
      <c r="AV169" s="166">
        <f t="shared" si="75"/>
        <v>0</v>
      </c>
    </row>
    <row r="170" spans="1:48">
      <c r="A170" s="194" t="s">
        <v>16</v>
      </c>
      <c r="B170" s="92" t="str">
        <f t="shared" si="71"/>
        <v>CEO</v>
      </c>
      <c r="C170" s="92" t="str">
        <f t="shared" si="72"/>
        <v>Commercial - Other</v>
      </c>
      <c r="E170" s="111"/>
      <c r="F170" s="111"/>
      <c r="I170" s="160"/>
      <c r="J170" s="166">
        <f t="shared" si="75"/>
        <v>15.008147485663144</v>
      </c>
      <c r="K170" s="166">
        <f t="shared" si="75"/>
        <v>14.734783264676375</v>
      </c>
      <c r="L170" s="166">
        <f t="shared" si="75"/>
        <v>14.496769593599147</v>
      </c>
      <c r="M170" s="166">
        <f t="shared" si="75"/>
        <v>14.228748783552332</v>
      </c>
      <c r="N170" s="166">
        <f t="shared" si="75"/>
        <v>13.946044454690799</v>
      </c>
      <c r="O170" s="166">
        <f t="shared" si="75"/>
        <v>13.599393396635234</v>
      </c>
      <c r="P170" s="166">
        <f t="shared" si="75"/>
        <v>13.463399462668884</v>
      </c>
      <c r="Q170" s="166">
        <f t="shared" si="75"/>
        <v>13.327405528702529</v>
      </c>
      <c r="R170" s="166">
        <f t="shared" si="75"/>
        <v>13.191411594736177</v>
      </c>
      <c r="S170" s="166">
        <f t="shared" si="75"/>
        <v>13.055417660769825</v>
      </c>
      <c r="T170" s="166">
        <f t="shared" si="75"/>
        <v>12.919423726803473</v>
      </c>
      <c r="U170" s="166">
        <f t="shared" si="75"/>
        <v>12.78342979283712</v>
      </c>
      <c r="V170" s="166">
        <f t="shared" si="75"/>
        <v>12.647435858870766</v>
      </c>
      <c r="W170" s="166">
        <f t="shared" si="75"/>
        <v>12.511441924904416</v>
      </c>
      <c r="X170" s="166">
        <f t="shared" si="75"/>
        <v>12.375447990938062</v>
      </c>
      <c r="Y170" s="166">
        <f t="shared" si="75"/>
        <v>12.239454056971711</v>
      </c>
      <c r="Z170" s="166">
        <f t="shared" si="75"/>
        <v>12.103460123005357</v>
      </c>
      <c r="AA170" s="166">
        <f t="shared" si="75"/>
        <v>11.967466189039005</v>
      </c>
      <c r="AB170" s="166">
        <f t="shared" si="75"/>
        <v>11.831472255072653</v>
      </c>
      <c r="AC170" s="166">
        <f t="shared" si="75"/>
        <v>11.6954783211063</v>
      </c>
      <c r="AD170" s="166">
        <f t="shared" si="75"/>
        <v>11.559484387139948</v>
      </c>
      <c r="AE170" s="166">
        <f t="shared" si="75"/>
        <v>11.423490453173596</v>
      </c>
      <c r="AF170" s="166">
        <f t="shared" si="75"/>
        <v>11.287496519207243</v>
      </c>
      <c r="AG170" s="166">
        <f t="shared" si="75"/>
        <v>11.151502585240891</v>
      </c>
      <c r="AH170" s="166">
        <f t="shared" si="75"/>
        <v>11.015508651274539</v>
      </c>
      <c r="AI170" s="166">
        <f t="shared" si="75"/>
        <v>10.879514717308187</v>
      </c>
      <c r="AJ170" s="166">
        <f t="shared" si="75"/>
        <v>10.743520783341832</v>
      </c>
      <c r="AK170" s="166">
        <f t="shared" si="75"/>
        <v>10.607526849375478</v>
      </c>
      <c r="AL170" s="166">
        <f t="shared" si="75"/>
        <v>10.471532915409126</v>
      </c>
      <c r="AM170" s="166">
        <f t="shared" si="75"/>
        <v>10.335538981442776</v>
      </c>
      <c r="AN170" s="166">
        <f t="shared" si="75"/>
        <v>10.199545047476423</v>
      </c>
      <c r="AO170" s="166">
        <f t="shared" si="75"/>
        <v>10.063551113510069</v>
      </c>
      <c r="AP170" s="166">
        <f t="shared" si="75"/>
        <v>9.927557179543717</v>
      </c>
      <c r="AQ170" s="166">
        <f t="shared" si="75"/>
        <v>9.7915632455773647</v>
      </c>
      <c r="AR170" s="166">
        <f t="shared" si="75"/>
        <v>9.6555693116110142</v>
      </c>
      <c r="AS170" s="166">
        <f t="shared" si="75"/>
        <v>9.5195753776446601</v>
      </c>
      <c r="AT170" s="166">
        <f t="shared" si="75"/>
        <v>9.3835814436783078</v>
      </c>
      <c r="AU170" s="166">
        <f t="shared" si="75"/>
        <v>9.2475875097119573</v>
      </c>
      <c r="AV170" s="166">
        <f t="shared" si="75"/>
        <v>9.1115935757456032</v>
      </c>
    </row>
    <row r="171" spans="1:48">
      <c r="A171" s="194" t="s">
        <v>16</v>
      </c>
      <c r="E171" s="111"/>
      <c r="F171" s="111"/>
      <c r="I171" s="160"/>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row>
    <row r="172" spans="1:48">
      <c r="A172" s="194" t="s">
        <v>16</v>
      </c>
      <c r="E172" s="111"/>
      <c r="F172" s="111"/>
      <c r="I172" s="164"/>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row>
    <row r="173" spans="1:48" ht="15.75" thickBot="1">
      <c r="A173" s="194" t="s">
        <v>16</v>
      </c>
      <c r="B173" s="165" t="s">
        <v>483</v>
      </c>
      <c r="C173" s="90"/>
      <c r="D173" s="90"/>
      <c r="I173" s="164" t="s">
        <v>109</v>
      </c>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c r="AT173" s="99"/>
      <c r="AU173" s="99"/>
      <c r="AV173" s="99"/>
    </row>
    <row r="174" spans="1:48">
      <c r="A174" s="194" t="s">
        <v>16</v>
      </c>
      <c r="B174" s="92" t="str">
        <f t="shared" ref="B174:B182" si="76">B105</f>
        <v>CNC</v>
      </c>
      <c r="C174" s="92" t="str">
        <f t="shared" ref="C174:C182" si="77">C162</f>
        <v>Commercial - Cooling</v>
      </c>
      <c r="E174" s="111"/>
      <c r="F174" s="111"/>
      <c r="I174" s="164"/>
      <c r="J174" s="166">
        <f t="shared" ref="J174:Y182" si="78">INDEX(J$49:J$52,MATCH($I$173,$B$49:$B$52,0),1)*INDEX(J$81:J$89,MATCH($B174,$B$81:$B$89,0))*INDEX(J$105:J$113,MATCH($B174,$B$105:$B$113,0))/1000</f>
        <v>0</v>
      </c>
      <c r="K174" s="166">
        <f t="shared" si="78"/>
        <v>0</v>
      </c>
      <c r="L174" s="166">
        <f t="shared" si="78"/>
        <v>0</v>
      </c>
      <c r="M174" s="166">
        <f t="shared" si="78"/>
        <v>0</v>
      </c>
      <c r="N174" s="166">
        <f t="shared" si="78"/>
        <v>0</v>
      </c>
      <c r="O174" s="166">
        <f t="shared" si="78"/>
        <v>0</v>
      </c>
      <c r="P174" s="166">
        <f t="shared" si="78"/>
        <v>0</v>
      </c>
      <c r="Q174" s="166">
        <f t="shared" si="78"/>
        <v>0</v>
      </c>
      <c r="R174" s="166">
        <f t="shared" si="78"/>
        <v>0</v>
      </c>
      <c r="S174" s="166">
        <f t="shared" si="78"/>
        <v>0</v>
      </c>
      <c r="T174" s="166">
        <f t="shared" si="78"/>
        <v>0</v>
      </c>
      <c r="U174" s="166">
        <f t="shared" si="78"/>
        <v>0</v>
      </c>
      <c r="V174" s="166">
        <f t="shared" si="78"/>
        <v>0</v>
      </c>
      <c r="W174" s="166">
        <f t="shared" si="78"/>
        <v>0</v>
      </c>
      <c r="X174" s="166">
        <f t="shared" si="78"/>
        <v>0</v>
      </c>
      <c r="Y174" s="166">
        <f t="shared" si="78"/>
        <v>0</v>
      </c>
      <c r="Z174" s="166">
        <f t="shared" ref="Z174:AO182" si="79">INDEX(Z$49:Z$52,MATCH($I$173,$B$49:$B$52,0),1)*INDEX(Z$81:Z$89,MATCH($B174,$B$81:$B$89,0))*INDEX(Z$105:Z$113,MATCH($B174,$B$105:$B$113,0))/1000</f>
        <v>0</v>
      </c>
      <c r="AA174" s="166">
        <f t="shared" si="79"/>
        <v>0</v>
      </c>
      <c r="AB174" s="166">
        <f t="shared" si="79"/>
        <v>0</v>
      </c>
      <c r="AC174" s="166">
        <f t="shared" si="79"/>
        <v>0</v>
      </c>
      <c r="AD174" s="166">
        <f t="shared" si="79"/>
        <v>0</v>
      </c>
      <c r="AE174" s="166">
        <f t="shared" si="79"/>
        <v>0</v>
      </c>
      <c r="AF174" s="166">
        <f t="shared" si="79"/>
        <v>0</v>
      </c>
      <c r="AG174" s="166">
        <f t="shared" si="79"/>
        <v>0</v>
      </c>
      <c r="AH174" s="166">
        <f t="shared" si="79"/>
        <v>0</v>
      </c>
      <c r="AI174" s="166">
        <f t="shared" si="79"/>
        <v>0</v>
      </c>
      <c r="AJ174" s="166">
        <f t="shared" si="79"/>
        <v>0</v>
      </c>
      <c r="AK174" s="166">
        <f t="shared" si="79"/>
        <v>0</v>
      </c>
      <c r="AL174" s="166">
        <f t="shared" si="79"/>
        <v>0</v>
      </c>
      <c r="AM174" s="166">
        <f t="shared" si="79"/>
        <v>0</v>
      </c>
      <c r="AN174" s="166">
        <f t="shared" si="79"/>
        <v>0</v>
      </c>
      <c r="AO174" s="166">
        <f t="shared" si="79"/>
        <v>0</v>
      </c>
      <c r="AP174" s="166">
        <f t="shared" ref="AN174:AV182" si="80">INDEX(AP$49:AP$52,MATCH($I$173,$B$49:$B$52,0),1)*INDEX(AP$81:AP$89,MATCH($B174,$B$81:$B$89,0))*INDEX(AP$105:AP$113,MATCH($B174,$B$105:$B$113,0))/1000</f>
        <v>0</v>
      </c>
      <c r="AQ174" s="166">
        <f t="shared" si="80"/>
        <v>0</v>
      </c>
      <c r="AR174" s="166">
        <f t="shared" si="80"/>
        <v>0</v>
      </c>
      <c r="AS174" s="166">
        <f t="shared" si="80"/>
        <v>0</v>
      </c>
      <c r="AT174" s="166">
        <f t="shared" si="80"/>
        <v>0</v>
      </c>
      <c r="AU174" s="166">
        <f t="shared" si="80"/>
        <v>0</v>
      </c>
      <c r="AV174" s="166">
        <f t="shared" si="80"/>
        <v>0</v>
      </c>
    </row>
    <row r="175" spans="1:48">
      <c r="A175" s="194" t="s">
        <v>16</v>
      </c>
      <c r="B175" s="92" t="str">
        <f t="shared" si="76"/>
        <v>CNH</v>
      </c>
      <c r="C175" s="92" t="str">
        <f t="shared" si="77"/>
        <v>Commercial - Space Heating</v>
      </c>
      <c r="E175" s="111"/>
      <c r="F175" s="111"/>
      <c r="I175" s="164"/>
      <c r="J175" s="166">
        <f t="shared" si="78"/>
        <v>0</v>
      </c>
      <c r="K175" s="166">
        <f t="shared" si="78"/>
        <v>0</v>
      </c>
      <c r="L175" s="166">
        <f t="shared" si="78"/>
        <v>0</v>
      </c>
      <c r="M175" s="166">
        <f t="shared" si="78"/>
        <v>0</v>
      </c>
      <c r="N175" s="166">
        <f t="shared" si="78"/>
        <v>0</v>
      </c>
      <c r="O175" s="166">
        <f t="shared" si="78"/>
        <v>0</v>
      </c>
      <c r="P175" s="166">
        <f t="shared" si="78"/>
        <v>0</v>
      </c>
      <c r="Q175" s="166">
        <f t="shared" si="78"/>
        <v>0</v>
      </c>
      <c r="R175" s="166">
        <f t="shared" si="78"/>
        <v>0</v>
      </c>
      <c r="S175" s="166">
        <f t="shared" si="78"/>
        <v>0</v>
      </c>
      <c r="T175" s="166">
        <f t="shared" si="78"/>
        <v>0</v>
      </c>
      <c r="U175" s="166">
        <f t="shared" si="78"/>
        <v>0</v>
      </c>
      <c r="V175" s="166">
        <f t="shared" si="78"/>
        <v>0</v>
      </c>
      <c r="W175" s="166">
        <f t="shared" si="78"/>
        <v>0</v>
      </c>
      <c r="X175" s="166">
        <f t="shared" si="78"/>
        <v>0</v>
      </c>
      <c r="Y175" s="166">
        <f t="shared" si="78"/>
        <v>0</v>
      </c>
      <c r="Z175" s="166">
        <f t="shared" si="79"/>
        <v>0</v>
      </c>
      <c r="AA175" s="166">
        <f t="shared" si="79"/>
        <v>0</v>
      </c>
      <c r="AB175" s="166">
        <f t="shared" si="79"/>
        <v>0</v>
      </c>
      <c r="AC175" s="166">
        <f t="shared" si="79"/>
        <v>0</v>
      </c>
      <c r="AD175" s="166">
        <f t="shared" si="79"/>
        <v>0</v>
      </c>
      <c r="AE175" s="166">
        <f t="shared" si="79"/>
        <v>0</v>
      </c>
      <c r="AF175" s="166">
        <f t="shared" si="79"/>
        <v>0</v>
      </c>
      <c r="AG175" s="166">
        <f t="shared" si="79"/>
        <v>0</v>
      </c>
      <c r="AH175" s="166">
        <f t="shared" si="79"/>
        <v>0</v>
      </c>
      <c r="AI175" s="166">
        <f t="shared" si="79"/>
        <v>0</v>
      </c>
      <c r="AJ175" s="166">
        <f t="shared" si="79"/>
        <v>0</v>
      </c>
      <c r="AK175" s="166">
        <f t="shared" si="79"/>
        <v>0</v>
      </c>
      <c r="AL175" s="166">
        <f t="shared" si="79"/>
        <v>0</v>
      </c>
      <c r="AM175" s="166">
        <f t="shared" si="79"/>
        <v>0</v>
      </c>
      <c r="AN175" s="166">
        <f t="shared" si="80"/>
        <v>0</v>
      </c>
      <c r="AO175" s="166">
        <f t="shared" si="80"/>
        <v>0</v>
      </c>
      <c r="AP175" s="166">
        <f t="shared" si="80"/>
        <v>0</v>
      </c>
      <c r="AQ175" s="166">
        <f t="shared" si="80"/>
        <v>0</v>
      </c>
      <c r="AR175" s="166">
        <f t="shared" si="80"/>
        <v>0</v>
      </c>
      <c r="AS175" s="166">
        <f t="shared" si="80"/>
        <v>0</v>
      </c>
      <c r="AT175" s="166">
        <f t="shared" si="80"/>
        <v>0</v>
      </c>
      <c r="AU175" s="166">
        <f t="shared" si="80"/>
        <v>0</v>
      </c>
      <c r="AV175" s="166">
        <f t="shared" si="80"/>
        <v>0</v>
      </c>
    </row>
    <row r="176" spans="1:48">
      <c r="A176" s="194" t="s">
        <v>16</v>
      </c>
      <c r="B176" s="92" t="str">
        <f t="shared" si="76"/>
        <v>CNK</v>
      </c>
      <c r="C176" s="92" t="str">
        <f t="shared" si="77"/>
        <v>Commercial - Cooking</v>
      </c>
      <c r="E176" s="111"/>
      <c r="F176" s="111"/>
      <c r="I176" s="164"/>
      <c r="J176" s="166">
        <f t="shared" si="78"/>
        <v>0</v>
      </c>
      <c r="K176" s="166">
        <f t="shared" si="78"/>
        <v>0</v>
      </c>
      <c r="L176" s="166">
        <f t="shared" si="78"/>
        <v>0</v>
      </c>
      <c r="M176" s="166">
        <f t="shared" si="78"/>
        <v>0</v>
      </c>
      <c r="N176" s="166">
        <f t="shared" si="78"/>
        <v>0</v>
      </c>
      <c r="O176" s="166">
        <f t="shared" si="78"/>
        <v>0</v>
      </c>
      <c r="P176" s="166">
        <f t="shared" si="78"/>
        <v>0</v>
      </c>
      <c r="Q176" s="166">
        <f t="shared" si="78"/>
        <v>0</v>
      </c>
      <c r="R176" s="166">
        <f t="shared" si="78"/>
        <v>0</v>
      </c>
      <c r="S176" s="166">
        <f t="shared" si="78"/>
        <v>0</v>
      </c>
      <c r="T176" s="166">
        <f t="shared" si="78"/>
        <v>0</v>
      </c>
      <c r="U176" s="166">
        <f t="shared" si="78"/>
        <v>0</v>
      </c>
      <c r="V176" s="166">
        <f t="shared" si="78"/>
        <v>0</v>
      </c>
      <c r="W176" s="166">
        <f t="shared" si="78"/>
        <v>0</v>
      </c>
      <c r="X176" s="166">
        <f t="shared" si="78"/>
        <v>0</v>
      </c>
      <c r="Y176" s="166">
        <f t="shared" si="78"/>
        <v>0</v>
      </c>
      <c r="Z176" s="166">
        <f t="shared" si="79"/>
        <v>0</v>
      </c>
      <c r="AA176" s="166">
        <f t="shared" si="79"/>
        <v>0</v>
      </c>
      <c r="AB176" s="166">
        <f t="shared" si="79"/>
        <v>0</v>
      </c>
      <c r="AC176" s="166">
        <f t="shared" si="79"/>
        <v>0</v>
      </c>
      <c r="AD176" s="166">
        <f t="shared" si="79"/>
        <v>0</v>
      </c>
      <c r="AE176" s="166">
        <f t="shared" si="79"/>
        <v>0</v>
      </c>
      <c r="AF176" s="166">
        <f t="shared" si="79"/>
        <v>0</v>
      </c>
      <c r="AG176" s="166">
        <f t="shared" si="79"/>
        <v>0</v>
      </c>
      <c r="AH176" s="166">
        <f t="shared" si="79"/>
        <v>0</v>
      </c>
      <c r="AI176" s="166">
        <f t="shared" si="79"/>
        <v>0</v>
      </c>
      <c r="AJ176" s="166">
        <f t="shared" si="79"/>
        <v>0</v>
      </c>
      <c r="AK176" s="166">
        <f t="shared" si="79"/>
        <v>0</v>
      </c>
      <c r="AL176" s="166">
        <f t="shared" si="79"/>
        <v>0</v>
      </c>
      <c r="AM176" s="166">
        <f t="shared" si="79"/>
        <v>0</v>
      </c>
      <c r="AN176" s="166">
        <f t="shared" si="80"/>
        <v>0</v>
      </c>
      <c r="AO176" s="166">
        <f t="shared" si="80"/>
        <v>0</v>
      </c>
      <c r="AP176" s="166">
        <f t="shared" si="80"/>
        <v>0</v>
      </c>
      <c r="AQ176" s="166">
        <f t="shared" si="80"/>
        <v>0</v>
      </c>
      <c r="AR176" s="166">
        <f t="shared" si="80"/>
        <v>0</v>
      </c>
      <c r="AS176" s="166">
        <f t="shared" si="80"/>
        <v>0</v>
      </c>
      <c r="AT176" s="166">
        <f t="shared" si="80"/>
        <v>0</v>
      </c>
      <c r="AU176" s="166">
        <f t="shared" si="80"/>
        <v>0</v>
      </c>
      <c r="AV176" s="166">
        <f t="shared" si="80"/>
        <v>0</v>
      </c>
    </row>
    <row r="177" spans="1:48">
      <c r="A177" s="194" t="s">
        <v>16</v>
      </c>
      <c r="B177" s="92" t="str">
        <f t="shared" si="76"/>
        <v>CNL</v>
      </c>
      <c r="C177" s="92" t="str">
        <f t="shared" si="77"/>
        <v>Commercial - Lighting</v>
      </c>
      <c r="E177" s="111"/>
      <c r="F177" s="111"/>
      <c r="I177" s="164"/>
      <c r="J177" s="166">
        <f t="shared" si="78"/>
        <v>0</v>
      </c>
      <c r="K177" s="166">
        <f t="shared" si="78"/>
        <v>0</v>
      </c>
      <c r="L177" s="166">
        <f t="shared" si="78"/>
        <v>0</v>
      </c>
      <c r="M177" s="166">
        <f t="shared" si="78"/>
        <v>0</v>
      </c>
      <c r="N177" s="166">
        <f t="shared" si="78"/>
        <v>0</v>
      </c>
      <c r="O177" s="166">
        <f t="shared" si="78"/>
        <v>0</v>
      </c>
      <c r="P177" s="166">
        <f t="shared" si="78"/>
        <v>0</v>
      </c>
      <c r="Q177" s="166">
        <f t="shared" si="78"/>
        <v>0</v>
      </c>
      <c r="R177" s="166">
        <f t="shared" si="78"/>
        <v>0</v>
      </c>
      <c r="S177" s="166">
        <f t="shared" si="78"/>
        <v>0</v>
      </c>
      <c r="T177" s="166">
        <f t="shared" si="78"/>
        <v>0</v>
      </c>
      <c r="U177" s="166">
        <f t="shared" si="78"/>
        <v>0</v>
      </c>
      <c r="V177" s="166">
        <f t="shared" si="78"/>
        <v>0</v>
      </c>
      <c r="W177" s="166">
        <f t="shared" si="78"/>
        <v>0</v>
      </c>
      <c r="X177" s="166">
        <f t="shared" si="78"/>
        <v>0</v>
      </c>
      <c r="Y177" s="166">
        <f t="shared" si="78"/>
        <v>0</v>
      </c>
      <c r="Z177" s="166">
        <f t="shared" si="79"/>
        <v>0</v>
      </c>
      <c r="AA177" s="166">
        <f t="shared" si="79"/>
        <v>0</v>
      </c>
      <c r="AB177" s="166">
        <f t="shared" si="79"/>
        <v>0</v>
      </c>
      <c r="AC177" s="166">
        <f t="shared" si="79"/>
        <v>0</v>
      </c>
      <c r="AD177" s="166">
        <f t="shared" si="79"/>
        <v>0</v>
      </c>
      <c r="AE177" s="166">
        <f t="shared" si="79"/>
        <v>0</v>
      </c>
      <c r="AF177" s="166">
        <f t="shared" si="79"/>
        <v>0</v>
      </c>
      <c r="AG177" s="166">
        <f t="shared" si="79"/>
        <v>0</v>
      </c>
      <c r="AH177" s="166">
        <f t="shared" si="79"/>
        <v>0</v>
      </c>
      <c r="AI177" s="166">
        <f t="shared" si="79"/>
        <v>0</v>
      </c>
      <c r="AJ177" s="166">
        <f t="shared" si="79"/>
        <v>0</v>
      </c>
      <c r="AK177" s="166">
        <f t="shared" si="79"/>
        <v>0</v>
      </c>
      <c r="AL177" s="166">
        <f t="shared" si="79"/>
        <v>0</v>
      </c>
      <c r="AM177" s="166">
        <f t="shared" si="79"/>
        <v>0</v>
      </c>
      <c r="AN177" s="166">
        <f t="shared" si="80"/>
        <v>0</v>
      </c>
      <c r="AO177" s="166">
        <f t="shared" si="80"/>
        <v>0</v>
      </c>
      <c r="AP177" s="166">
        <f t="shared" si="80"/>
        <v>0</v>
      </c>
      <c r="AQ177" s="166">
        <f t="shared" si="80"/>
        <v>0</v>
      </c>
      <c r="AR177" s="166">
        <f t="shared" si="80"/>
        <v>0</v>
      </c>
      <c r="AS177" s="166">
        <f t="shared" si="80"/>
        <v>0</v>
      </c>
      <c r="AT177" s="166">
        <f t="shared" si="80"/>
        <v>0</v>
      </c>
      <c r="AU177" s="166">
        <f t="shared" si="80"/>
        <v>0</v>
      </c>
      <c r="AV177" s="166">
        <f t="shared" si="80"/>
        <v>0</v>
      </c>
    </row>
    <row r="178" spans="1:48">
      <c r="A178" s="194" t="s">
        <v>16</v>
      </c>
      <c r="B178" s="92" t="str">
        <f t="shared" si="76"/>
        <v>CNR</v>
      </c>
      <c r="C178" s="92" t="str">
        <f t="shared" si="77"/>
        <v>Commercial - Refrigeration</v>
      </c>
      <c r="E178" s="111"/>
      <c r="F178" s="111"/>
      <c r="I178" s="164"/>
      <c r="J178" s="166">
        <f t="shared" si="78"/>
        <v>0</v>
      </c>
      <c r="K178" s="166">
        <f t="shared" si="78"/>
        <v>0</v>
      </c>
      <c r="L178" s="166">
        <f t="shared" si="78"/>
        <v>0</v>
      </c>
      <c r="M178" s="166">
        <f t="shared" si="78"/>
        <v>0</v>
      </c>
      <c r="N178" s="166">
        <f t="shared" si="78"/>
        <v>0</v>
      </c>
      <c r="O178" s="166">
        <f t="shared" si="78"/>
        <v>0</v>
      </c>
      <c r="P178" s="166">
        <f t="shared" si="78"/>
        <v>0</v>
      </c>
      <c r="Q178" s="166">
        <f t="shared" si="78"/>
        <v>0</v>
      </c>
      <c r="R178" s="166">
        <f t="shared" si="78"/>
        <v>0</v>
      </c>
      <c r="S178" s="166">
        <f t="shared" si="78"/>
        <v>0</v>
      </c>
      <c r="T178" s="166">
        <f t="shared" si="78"/>
        <v>0</v>
      </c>
      <c r="U178" s="166">
        <f t="shared" si="78"/>
        <v>0</v>
      </c>
      <c r="V178" s="166">
        <f t="shared" si="78"/>
        <v>0</v>
      </c>
      <c r="W178" s="166">
        <f t="shared" si="78"/>
        <v>0</v>
      </c>
      <c r="X178" s="166">
        <f t="shared" si="78"/>
        <v>0</v>
      </c>
      <c r="Y178" s="166">
        <f t="shared" si="78"/>
        <v>0</v>
      </c>
      <c r="Z178" s="166">
        <f t="shared" si="79"/>
        <v>0</v>
      </c>
      <c r="AA178" s="166">
        <f t="shared" si="79"/>
        <v>0</v>
      </c>
      <c r="AB178" s="166">
        <f t="shared" si="79"/>
        <v>0</v>
      </c>
      <c r="AC178" s="166">
        <f t="shared" si="79"/>
        <v>0</v>
      </c>
      <c r="AD178" s="166">
        <f t="shared" si="79"/>
        <v>0</v>
      </c>
      <c r="AE178" s="166">
        <f t="shared" si="79"/>
        <v>0</v>
      </c>
      <c r="AF178" s="166">
        <f t="shared" si="79"/>
        <v>0</v>
      </c>
      <c r="AG178" s="166">
        <f t="shared" si="79"/>
        <v>0</v>
      </c>
      <c r="AH178" s="166">
        <f t="shared" si="79"/>
        <v>0</v>
      </c>
      <c r="AI178" s="166">
        <f t="shared" si="79"/>
        <v>0</v>
      </c>
      <c r="AJ178" s="166">
        <f t="shared" si="79"/>
        <v>0</v>
      </c>
      <c r="AK178" s="166">
        <f t="shared" si="79"/>
        <v>0</v>
      </c>
      <c r="AL178" s="166">
        <f t="shared" si="79"/>
        <v>0</v>
      </c>
      <c r="AM178" s="166">
        <f t="shared" si="79"/>
        <v>0</v>
      </c>
      <c r="AN178" s="166">
        <f t="shared" si="80"/>
        <v>0</v>
      </c>
      <c r="AO178" s="166">
        <f t="shared" si="80"/>
        <v>0</v>
      </c>
      <c r="AP178" s="166">
        <f t="shared" si="80"/>
        <v>0</v>
      </c>
      <c r="AQ178" s="166">
        <f t="shared" si="80"/>
        <v>0</v>
      </c>
      <c r="AR178" s="166">
        <f t="shared" si="80"/>
        <v>0</v>
      </c>
      <c r="AS178" s="166">
        <f t="shared" si="80"/>
        <v>0</v>
      </c>
      <c r="AT178" s="166">
        <f t="shared" si="80"/>
        <v>0</v>
      </c>
      <c r="AU178" s="166">
        <f t="shared" si="80"/>
        <v>0</v>
      </c>
      <c r="AV178" s="166">
        <f t="shared" si="80"/>
        <v>0</v>
      </c>
    </row>
    <row r="179" spans="1:48">
      <c r="A179" s="194" t="s">
        <v>16</v>
      </c>
      <c r="B179" s="92" t="str">
        <f t="shared" si="76"/>
        <v>CNW</v>
      </c>
      <c r="C179" s="92" t="str">
        <f t="shared" si="77"/>
        <v>Commercial - Water Heating</v>
      </c>
      <c r="E179" s="111"/>
      <c r="F179" s="111"/>
      <c r="I179" s="164"/>
      <c r="J179" s="166">
        <f t="shared" si="78"/>
        <v>0</v>
      </c>
      <c r="K179" s="166">
        <f t="shared" si="78"/>
        <v>0</v>
      </c>
      <c r="L179" s="166">
        <f t="shared" si="78"/>
        <v>0</v>
      </c>
      <c r="M179" s="166">
        <f t="shared" si="78"/>
        <v>0</v>
      </c>
      <c r="N179" s="166">
        <f t="shared" si="78"/>
        <v>0</v>
      </c>
      <c r="O179" s="166">
        <f t="shared" si="78"/>
        <v>0</v>
      </c>
      <c r="P179" s="166">
        <f t="shared" si="78"/>
        <v>0</v>
      </c>
      <c r="Q179" s="166">
        <f t="shared" si="78"/>
        <v>0</v>
      </c>
      <c r="R179" s="166">
        <f t="shared" si="78"/>
        <v>0</v>
      </c>
      <c r="S179" s="166">
        <f t="shared" si="78"/>
        <v>0</v>
      </c>
      <c r="T179" s="166">
        <f t="shared" si="78"/>
        <v>0</v>
      </c>
      <c r="U179" s="166">
        <f t="shared" si="78"/>
        <v>0</v>
      </c>
      <c r="V179" s="166">
        <f t="shared" si="78"/>
        <v>0</v>
      </c>
      <c r="W179" s="166">
        <f t="shared" si="78"/>
        <v>0</v>
      </c>
      <c r="X179" s="166">
        <f t="shared" si="78"/>
        <v>0</v>
      </c>
      <c r="Y179" s="166">
        <f t="shared" si="78"/>
        <v>0</v>
      </c>
      <c r="Z179" s="166">
        <f t="shared" si="79"/>
        <v>0</v>
      </c>
      <c r="AA179" s="166">
        <f t="shared" si="79"/>
        <v>0</v>
      </c>
      <c r="AB179" s="166">
        <f t="shared" si="79"/>
        <v>0</v>
      </c>
      <c r="AC179" s="166">
        <f t="shared" si="79"/>
        <v>0</v>
      </c>
      <c r="AD179" s="166">
        <f t="shared" si="79"/>
        <v>0</v>
      </c>
      <c r="AE179" s="166">
        <f t="shared" si="79"/>
        <v>0</v>
      </c>
      <c r="AF179" s="166">
        <f t="shared" si="79"/>
        <v>0</v>
      </c>
      <c r="AG179" s="166">
        <f t="shared" si="79"/>
        <v>0</v>
      </c>
      <c r="AH179" s="166">
        <f t="shared" si="79"/>
        <v>0</v>
      </c>
      <c r="AI179" s="166">
        <f t="shared" si="79"/>
        <v>0</v>
      </c>
      <c r="AJ179" s="166">
        <f t="shared" si="79"/>
        <v>0</v>
      </c>
      <c r="AK179" s="166">
        <f t="shared" si="79"/>
        <v>0</v>
      </c>
      <c r="AL179" s="166">
        <f t="shared" si="79"/>
        <v>0</v>
      </c>
      <c r="AM179" s="166">
        <f t="shared" si="79"/>
        <v>0</v>
      </c>
      <c r="AN179" s="166">
        <f t="shared" si="80"/>
        <v>0</v>
      </c>
      <c r="AO179" s="166">
        <f t="shared" si="80"/>
        <v>0</v>
      </c>
      <c r="AP179" s="166">
        <f t="shared" si="80"/>
        <v>0</v>
      </c>
      <c r="AQ179" s="166">
        <f t="shared" si="80"/>
        <v>0</v>
      </c>
      <c r="AR179" s="166">
        <f t="shared" si="80"/>
        <v>0</v>
      </c>
      <c r="AS179" s="166">
        <f t="shared" si="80"/>
        <v>0</v>
      </c>
      <c r="AT179" s="166">
        <f t="shared" si="80"/>
        <v>0</v>
      </c>
      <c r="AU179" s="166">
        <f t="shared" si="80"/>
        <v>0</v>
      </c>
      <c r="AV179" s="166">
        <f t="shared" si="80"/>
        <v>0</v>
      </c>
    </row>
    <row r="180" spans="1:48">
      <c r="A180" s="194" t="s">
        <v>16</v>
      </c>
      <c r="B180" s="92" t="str">
        <f t="shared" si="76"/>
        <v>CNG</v>
      </c>
      <c r="C180" s="92" t="str">
        <f t="shared" si="77"/>
        <v>Commercial - Public lights</v>
      </c>
      <c r="E180" s="111"/>
      <c r="F180" s="111"/>
      <c r="I180" s="164"/>
      <c r="J180" s="166">
        <f t="shared" si="78"/>
        <v>0</v>
      </c>
      <c r="K180" s="166">
        <f t="shared" si="78"/>
        <v>0</v>
      </c>
      <c r="L180" s="166">
        <f t="shared" si="78"/>
        <v>0</v>
      </c>
      <c r="M180" s="166">
        <f t="shared" si="78"/>
        <v>0</v>
      </c>
      <c r="N180" s="166">
        <f t="shared" si="78"/>
        <v>0</v>
      </c>
      <c r="O180" s="166">
        <f t="shared" si="78"/>
        <v>0</v>
      </c>
      <c r="P180" s="166">
        <f t="shared" si="78"/>
        <v>0</v>
      </c>
      <c r="Q180" s="166">
        <f t="shared" si="78"/>
        <v>0</v>
      </c>
      <c r="R180" s="166">
        <f t="shared" si="78"/>
        <v>0</v>
      </c>
      <c r="S180" s="166">
        <f t="shared" si="78"/>
        <v>0</v>
      </c>
      <c r="T180" s="166">
        <f t="shared" si="78"/>
        <v>0</v>
      </c>
      <c r="U180" s="166">
        <f t="shared" si="78"/>
        <v>0</v>
      </c>
      <c r="V180" s="166">
        <f t="shared" si="78"/>
        <v>0</v>
      </c>
      <c r="W180" s="166">
        <f t="shared" si="78"/>
        <v>0</v>
      </c>
      <c r="X180" s="166">
        <f t="shared" si="78"/>
        <v>0</v>
      </c>
      <c r="Y180" s="166">
        <f t="shared" si="78"/>
        <v>0</v>
      </c>
      <c r="Z180" s="166">
        <f t="shared" si="79"/>
        <v>0</v>
      </c>
      <c r="AA180" s="166">
        <f t="shared" si="79"/>
        <v>0</v>
      </c>
      <c r="AB180" s="166">
        <f t="shared" si="79"/>
        <v>0</v>
      </c>
      <c r="AC180" s="166">
        <f t="shared" si="79"/>
        <v>0</v>
      </c>
      <c r="AD180" s="166">
        <f t="shared" si="79"/>
        <v>0</v>
      </c>
      <c r="AE180" s="166">
        <f t="shared" si="79"/>
        <v>0</v>
      </c>
      <c r="AF180" s="166">
        <f t="shared" si="79"/>
        <v>0</v>
      </c>
      <c r="AG180" s="166">
        <f t="shared" si="79"/>
        <v>0</v>
      </c>
      <c r="AH180" s="166">
        <f t="shared" si="79"/>
        <v>0</v>
      </c>
      <c r="AI180" s="166">
        <f t="shared" si="79"/>
        <v>0</v>
      </c>
      <c r="AJ180" s="166">
        <f t="shared" si="79"/>
        <v>0</v>
      </c>
      <c r="AK180" s="166">
        <f t="shared" si="79"/>
        <v>0</v>
      </c>
      <c r="AL180" s="166">
        <f t="shared" si="79"/>
        <v>0</v>
      </c>
      <c r="AM180" s="166">
        <f t="shared" si="79"/>
        <v>0</v>
      </c>
      <c r="AN180" s="166">
        <f t="shared" si="80"/>
        <v>0</v>
      </c>
      <c r="AO180" s="166">
        <f t="shared" si="80"/>
        <v>0</v>
      </c>
      <c r="AP180" s="166">
        <f t="shared" si="80"/>
        <v>0</v>
      </c>
      <c r="AQ180" s="166">
        <f t="shared" si="80"/>
        <v>0</v>
      </c>
      <c r="AR180" s="166">
        <f t="shared" si="80"/>
        <v>0</v>
      </c>
      <c r="AS180" s="166">
        <f t="shared" si="80"/>
        <v>0</v>
      </c>
      <c r="AT180" s="166">
        <f t="shared" si="80"/>
        <v>0</v>
      </c>
      <c r="AU180" s="166">
        <f t="shared" si="80"/>
        <v>0</v>
      </c>
      <c r="AV180" s="166">
        <f t="shared" si="80"/>
        <v>0</v>
      </c>
    </row>
    <row r="181" spans="1:48">
      <c r="A181" s="194" t="s">
        <v>16</v>
      </c>
      <c r="B181" s="92" t="str">
        <f t="shared" si="76"/>
        <v>CNT</v>
      </c>
      <c r="C181" s="92" t="str">
        <f t="shared" si="77"/>
        <v>Commercial - Public Water</v>
      </c>
      <c r="E181" s="111"/>
      <c r="F181" s="111"/>
      <c r="I181" s="164"/>
      <c r="J181" s="166">
        <f t="shared" si="78"/>
        <v>0</v>
      </c>
      <c r="K181" s="166">
        <f t="shared" si="78"/>
        <v>0</v>
      </c>
      <c r="L181" s="166">
        <f t="shared" si="78"/>
        <v>0</v>
      </c>
      <c r="M181" s="166">
        <f t="shared" si="78"/>
        <v>0</v>
      </c>
      <c r="N181" s="166">
        <f t="shared" si="78"/>
        <v>0</v>
      </c>
      <c r="O181" s="166">
        <f t="shared" si="78"/>
        <v>0</v>
      </c>
      <c r="P181" s="166">
        <f t="shared" si="78"/>
        <v>0</v>
      </c>
      <c r="Q181" s="166">
        <f t="shared" si="78"/>
        <v>0</v>
      </c>
      <c r="R181" s="166">
        <f t="shared" si="78"/>
        <v>0</v>
      </c>
      <c r="S181" s="166">
        <f t="shared" si="78"/>
        <v>0</v>
      </c>
      <c r="T181" s="166">
        <f t="shared" si="78"/>
        <v>0</v>
      </c>
      <c r="U181" s="166">
        <f t="shared" si="78"/>
        <v>0</v>
      </c>
      <c r="V181" s="166">
        <f t="shared" si="78"/>
        <v>0</v>
      </c>
      <c r="W181" s="166">
        <f t="shared" si="78"/>
        <v>0</v>
      </c>
      <c r="X181" s="166">
        <f t="shared" si="78"/>
        <v>0</v>
      </c>
      <c r="Y181" s="166">
        <f t="shared" si="78"/>
        <v>0</v>
      </c>
      <c r="Z181" s="166">
        <f t="shared" si="79"/>
        <v>0</v>
      </c>
      <c r="AA181" s="166">
        <f t="shared" si="79"/>
        <v>0</v>
      </c>
      <c r="AB181" s="166">
        <f t="shared" si="79"/>
        <v>0</v>
      </c>
      <c r="AC181" s="166">
        <f t="shared" si="79"/>
        <v>0</v>
      </c>
      <c r="AD181" s="166">
        <f t="shared" si="79"/>
        <v>0</v>
      </c>
      <c r="AE181" s="166">
        <f t="shared" si="79"/>
        <v>0</v>
      </c>
      <c r="AF181" s="166">
        <f t="shared" si="79"/>
        <v>0</v>
      </c>
      <c r="AG181" s="166">
        <f t="shared" si="79"/>
        <v>0</v>
      </c>
      <c r="AH181" s="166">
        <f t="shared" si="79"/>
        <v>0</v>
      </c>
      <c r="AI181" s="166">
        <f t="shared" si="79"/>
        <v>0</v>
      </c>
      <c r="AJ181" s="166">
        <f t="shared" si="79"/>
        <v>0</v>
      </c>
      <c r="AK181" s="166">
        <f t="shared" si="79"/>
        <v>0</v>
      </c>
      <c r="AL181" s="166">
        <f t="shared" si="79"/>
        <v>0</v>
      </c>
      <c r="AM181" s="166">
        <f t="shared" si="79"/>
        <v>0</v>
      </c>
      <c r="AN181" s="166">
        <f t="shared" si="80"/>
        <v>0</v>
      </c>
      <c r="AO181" s="166">
        <f t="shared" si="80"/>
        <v>0</v>
      </c>
      <c r="AP181" s="166">
        <f t="shared" si="80"/>
        <v>0</v>
      </c>
      <c r="AQ181" s="166">
        <f t="shared" si="80"/>
        <v>0</v>
      </c>
      <c r="AR181" s="166">
        <f t="shared" si="80"/>
        <v>0</v>
      </c>
      <c r="AS181" s="166">
        <f t="shared" si="80"/>
        <v>0</v>
      </c>
      <c r="AT181" s="166">
        <f t="shared" si="80"/>
        <v>0</v>
      </c>
      <c r="AU181" s="166">
        <f t="shared" si="80"/>
        <v>0</v>
      </c>
      <c r="AV181" s="166">
        <f t="shared" si="80"/>
        <v>0</v>
      </c>
    </row>
    <row r="182" spans="1:48">
      <c r="A182" s="194" t="s">
        <v>16</v>
      </c>
      <c r="B182" s="92" t="str">
        <f t="shared" si="76"/>
        <v>CNO</v>
      </c>
      <c r="C182" s="92" t="str">
        <f t="shared" si="77"/>
        <v>Commercial - Other</v>
      </c>
      <c r="E182" s="111"/>
      <c r="F182" s="111"/>
      <c r="I182" s="164"/>
      <c r="J182" s="166">
        <f t="shared" si="78"/>
        <v>0</v>
      </c>
      <c r="K182" s="166">
        <f t="shared" si="78"/>
        <v>0</v>
      </c>
      <c r="L182" s="166">
        <f t="shared" si="78"/>
        <v>0</v>
      </c>
      <c r="M182" s="166">
        <f t="shared" si="78"/>
        <v>0</v>
      </c>
      <c r="N182" s="166">
        <f t="shared" si="78"/>
        <v>0</v>
      </c>
      <c r="O182" s="166">
        <f t="shared" si="78"/>
        <v>0</v>
      </c>
      <c r="P182" s="166">
        <f t="shared" si="78"/>
        <v>0</v>
      </c>
      <c r="Q182" s="166">
        <f t="shared" si="78"/>
        <v>0</v>
      </c>
      <c r="R182" s="166">
        <f t="shared" si="78"/>
        <v>0</v>
      </c>
      <c r="S182" s="166">
        <f t="shared" si="78"/>
        <v>0</v>
      </c>
      <c r="T182" s="166">
        <f t="shared" si="78"/>
        <v>0</v>
      </c>
      <c r="U182" s="166">
        <f t="shared" si="78"/>
        <v>0</v>
      </c>
      <c r="V182" s="166">
        <f t="shared" si="78"/>
        <v>0</v>
      </c>
      <c r="W182" s="166">
        <f t="shared" si="78"/>
        <v>0</v>
      </c>
      <c r="X182" s="166">
        <f t="shared" si="78"/>
        <v>0</v>
      </c>
      <c r="Y182" s="166">
        <f t="shared" si="78"/>
        <v>0</v>
      </c>
      <c r="Z182" s="166">
        <f t="shared" si="79"/>
        <v>0</v>
      </c>
      <c r="AA182" s="166">
        <f t="shared" si="79"/>
        <v>0</v>
      </c>
      <c r="AB182" s="166">
        <f t="shared" si="79"/>
        <v>0</v>
      </c>
      <c r="AC182" s="166">
        <f t="shared" si="79"/>
        <v>0</v>
      </c>
      <c r="AD182" s="166">
        <f t="shared" si="79"/>
        <v>0</v>
      </c>
      <c r="AE182" s="166">
        <f t="shared" si="79"/>
        <v>0</v>
      </c>
      <c r="AF182" s="166">
        <f t="shared" si="79"/>
        <v>0</v>
      </c>
      <c r="AG182" s="166">
        <f t="shared" si="79"/>
        <v>0</v>
      </c>
      <c r="AH182" s="166">
        <f t="shared" si="79"/>
        <v>0</v>
      </c>
      <c r="AI182" s="166">
        <f t="shared" si="79"/>
        <v>0</v>
      </c>
      <c r="AJ182" s="166">
        <f t="shared" si="79"/>
        <v>0</v>
      </c>
      <c r="AK182" s="166">
        <f t="shared" si="79"/>
        <v>0</v>
      </c>
      <c r="AL182" s="166">
        <f t="shared" si="79"/>
        <v>0</v>
      </c>
      <c r="AM182" s="166">
        <f t="shared" si="79"/>
        <v>0</v>
      </c>
      <c r="AN182" s="166">
        <f t="shared" si="80"/>
        <v>0</v>
      </c>
      <c r="AO182" s="166">
        <f t="shared" si="80"/>
        <v>0</v>
      </c>
      <c r="AP182" s="166">
        <f t="shared" si="80"/>
        <v>0</v>
      </c>
      <c r="AQ182" s="166">
        <f t="shared" si="80"/>
        <v>0</v>
      </c>
      <c r="AR182" s="166">
        <f t="shared" si="80"/>
        <v>0</v>
      </c>
      <c r="AS182" s="166">
        <f t="shared" si="80"/>
        <v>0</v>
      </c>
      <c r="AT182" s="166">
        <f t="shared" si="80"/>
        <v>0</v>
      </c>
      <c r="AU182" s="166">
        <f t="shared" si="80"/>
        <v>0</v>
      </c>
      <c r="AV182" s="166">
        <f t="shared" si="80"/>
        <v>0</v>
      </c>
    </row>
    <row r="183" spans="1:48">
      <c r="A183" s="194" t="s">
        <v>16</v>
      </c>
      <c r="E183" s="111"/>
      <c r="F183" s="111"/>
      <c r="I183" s="164"/>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row>
    <row r="184" spans="1:48">
      <c r="A184" s="194" t="s">
        <v>16</v>
      </c>
      <c r="E184" s="111"/>
      <c r="F184" s="111"/>
      <c r="I184" s="164"/>
      <c r="J184" s="166"/>
      <c r="K184" s="166"/>
      <c r="L184" s="166"/>
      <c r="M184" s="166"/>
      <c r="N184" s="166"/>
      <c r="O184" s="166"/>
      <c r="P184" s="166"/>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row>
    <row r="185" spans="1:48" ht="15.75" thickBot="1">
      <c r="A185" s="194" t="s">
        <v>16</v>
      </c>
      <c r="B185" s="90" t="s">
        <v>484</v>
      </c>
      <c r="C185" s="90"/>
      <c r="D185" s="90"/>
      <c r="E185" s="90"/>
      <c r="F185" s="90"/>
      <c r="G185" s="90"/>
      <c r="H185" s="90"/>
      <c r="I185" s="164" t="s">
        <v>231</v>
      </c>
      <c r="J185" s="166"/>
      <c r="K185" s="166"/>
      <c r="L185" s="166"/>
      <c r="M185" s="166"/>
      <c r="N185" s="166"/>
      <c r="O185" s="166"/>
      <c r="P185" s="166"/>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row>
    <row r="186" spans="1:48">
      <c r="A186" s="194" t="s">
        <v>16</v>
      </c>
      <c r="B186" s="92" t="str">
        <f t="shared" ref="B186:C194" si="81">B174</f>
        <v>CNC</v>
      </c>
      <c r="C186" s="92" t="str">
        <f t="shared" si="81"/>
        <v>Commercial - Cooling</v>
      </c>
      <c r="E186" s="111"/>
      <c r="F186" s="111"/>
      <c r="I186" s="164"/>
      <c r="J186" s="166">
        <f t="shared" ref="J186:Y194" si="82">INDEX(J$49:J$52,MATCH($I$185,$B$49:$B$52,0),1)*INDEX(J$81:J$89,MATCH($B186,$B$81:$B$89,0))*INDEX(J$116:J$124,MATCH($B186,$B$116:$B$124,0))/1000</f>
        <v>0</v>
      </c>
      <c r="K186" s="166">
        <f t="shared" si="82"/>
        <v>0</v>
      </c>
      <c r="L186" s="166">
        <f t="shared" si="82"/>
        <v>0</v>
      </c>
      <c r="M186" s="166">
        <f t="shared" si="82"/>
        <v>0</v>
      </c>
      <c r="N186" s="166">
        <f t="shared" si="82"/>
        <v>0</v>
      </c>
      <c r="O186" s="166">
        <f t="shared" si="82"/>
        <v>0</v>
      </c>
      <c r="P186" s="166">
        <f>INDEX(P$49:P$52,MATCH($I$185,$B$49:$B$52,0),1)*INDEX(P$81:P$89,MATCH($B186,$B$81:$B$89,0))*INDEX(P$116:P$124,MATCH($B186,$B$116:$B$124,0))/1000</f>
        <v>1.5826011087333609</v>
      </c>
      <c r="Q186" s="166">
        <f t="shared" si="82"/>
        <v>3.2727888378763019</v>
      </c>
      <c r="R186" s="166">
        <f t="shared" si="82"/>
        <v>4.2350555604682834</v>
      </c>
      <c r="S186" s="166">
        <f t="shared" si="82"/>
        <v>6.2039116504232403</v>
      </c>
      <c r="T186" s="166">
        <f t="shared" si="82"/>
        <v>8.1477592630354909</v>
      </c>
      <c r="U186" s="166">
        <f t="shared" si="82"/>
        <v>10.076074458524694</v>
      </c>
      <c r="V186" s="166">
        <f>INDEX(V$49:V$52,MATCH($I$185,$B$49:$B$52,0),1)*INDEX(V$81:V$89,MATCH($B186,$B$81:$B$89,0))*INDEX(V$116:V$124,MATCH($B186,$B$116:$B$124,0))/1000</f>
        <v>11.974810016910205</v>
      </c>
      <c r="W186" s="166">
        <f t="shared" si="82"/>
        <v>13.899367079787028</v>
      </c>
      <c r="X186" s="166">
        <f t="shared" si="82"/>
        <v>15.97889515698475</v>
      </c>
      <c r="Y186" s="166">
        <f t="shared" si="82"/>
        <v>18.03362410843485</v>
      </c>
      <c r="Z186" s="166">
        <f t="shared" ref="Z186:AO194" si="83">INDEX(Z$49:Z$52,MATCH($I$185,$B$49:$B$52,0),1)*INDEX(Z$81:Z$89,MATCH($B186,$B$81:$B$89,0))*INDEX(Z$116:Z$124,MATCH($B186,$B$116:$B$124,0))/1000</f>
        <v>20.125330003602787</v>
      </c>
      <c r="AA186" s="166">
        <f t="shared" si="83"/>
        <v>22.240274327759533</v>
      </c>
      <c r="AB186" s="166">
        <f t="shared" si="83"/>
        <v>24.375278393979318</v>
      </c>
      <c r="AC186" s="166">
        <f t="shared" si="83"/>
        <v>24.375278393979318</v>
      </c>
      <c r="AD186" s="166">
        <f t="shared" si="83"/>
        <v>24.375278393979318</v>
      </c>
      <c r="AE186" s="166">
        <f t="shared" si="83"/>
        <v>24.375278393979318</v>
      </c>
      <c r="AF186" s="166">
        <f t="shared" si="83"/>
        <v>24.375278393979318</v>
      </c>
      <c r="AG186" s="166">
        <f t="shared" si="83"/>
        <v>24.375278393979318</v>
      </c>
      <c r="AH186" s="166">
        <f t="shared" si="83"/>
        <v>24.375278393979318</v>
      </c>
      <c r="AI186" s="166">
        <f t="shared" si="83"/>
        <v>24.375278393979318</v>
      </c>
      <c r="AJ186" s="166">
        <f t="shared" si="83"/>
        <v>24.375278393979318</v>
      </c>
      <c r="AK186" s="166">
        <f t="shared" si="83"/>
        <v>24.375278393979318</v>
      </c>
      <c r="AL186" s="166">
        <f t="shared" si="83"/>
        <v>24.375278393979318</v>
      </c>
      <c r="AM186" s="166">
        <f t="shared" si="83"/>
        <v>24.375278393979318</v>
      </c>
      <c r="AN186" s="166">
        <f t="shared" si="83"/>
        <v>24.375278393979318</v>
      </c>
      <c r="AO186" s="166">
        <f t="shared" si="83"/>
        <v>24.375278393979318</v>
      </c>
      <c r="AP186" s="166">
        <f t="shared" ref="AN186:AV194" si="84">INDEX(AP$49:AP$52,MATCH($I$185,$B$49:$B$52,0),1)*INDEX(AP$81:AP$89,MATCH($B186,$B$81:$B$89,0))*INDEX(AP$116:AP$124,MATCH($B186,$B$116:$B$124,0))/1000</f>
        <v>24.375278393979318</v>
      </c>
      <c r="AQ186" s="166">
        <f t="shared" si="84"/>
        <v>24.375278393979318</v>
      </c>
      <c r="AR186" s="166">
        <f t="shared" si="84"/>
        <v>24.375278393979318</v>
      </c>
      <c r="AS186" s="166">
        <f t="shared" si="84"/>
        <v>24.375278393979318</v>
      </c>
      <c r="AT186" s="166">
        <f t="shared" si="84"/>
        <v>24.375278393979318</v>
      </c>
      <c r="AU186" s="166">
        <f t="shared" si="84"/>
        <v>24.375278393979318</v>
      </c>
      <c r="AV186" s="166">
        <f t="shared" si="84"/>
        <v>24.375278393979318</v>
      </c>
    </row>
    <row r="187" spans="1:48">
      <c r="A187" s="194" t="s">
        <v>16</v>
      </c>
      <c r="B187" s="92" t="str">
        <f t="shared" si="81"/>
        <v>CNH</v>
      </c>
      <c r="C187" s="92" t="str">
        <f t="shared" si="81"/>
        <v>Commercial - Space Heating</v>
      </c>
      <c r="E187" s="111"/>
      <c r="F187" s="111"/>
      <c r="I187" s="164"/>
      <c r="J187" s="166">
        <f t="shared" si="82"/>
        <v>0</v>
      </c>
      <c r="K187" s="166">
        <f t="shared" si="82"/>
        <v>0</v>
      </c>
      <c r="L187" s="166">
        <f t="shared" si="82"/>
        <v>0</v>
      </c>
      <c r="M187" s="166">
        <f t="shared" si="82"/>
        <v>0</v>
      </c>
      <c r="N187" s="166">
        <f t="shared" si="82"/>
        <v>0</v>
      </c>
      <c r="O187" s="166">
        <f t="shared" si="82"/>
        <v>0</v>
      </c>
      <c r="P187" s="166">
        <f t="shared" si="82"/>
        <v>0.15092687254753431</v>
      </c>
      <c r="Q187" s="166">
        <f t="shared" si="82"/>
        <v>0.31211388712123755</v>
      </c>
      <c r="R187" s="166">
        <f t="shared" si="82"/>
        <v>0.40388174081218448</v>
      </c>
      <c r="S187" s="166">
        <f t="shared" si="82"/>
        <v>0.59164433652456594</v>
      </c>
      <c r="T187" s="166">
        <f t="shared" si="82"/>
        <v>0.77702196532918899</v>
      </c>
      <c r="U187" s="166">
        <f t="shared" si="82"/>
        <v>0.96091832438962399</v>
      </c>
      <c r="V187" s="166">
        <f t="shared" si="82"/>
        <v>1.1419937817746368</v>
      </c>
      <c r="W187" s="166">
        <f t="shared" si="82"/>
        <v>1.3255317414894152</v>
      </c>
      <c r="X187" s="166">
        <f t="shared" si="82"/>
        <v>1.5238487193648038</v>
      </c>
      <c r="Y187" s="166">
        <f t="shared" si="82"/>
        <v>1.719800695427451</v>
      </c>
      <c r="Z187" s="166">
        <f t="shared" si="83"/>
        <v>1.9192790272097433</v>
      </c>
      <c r="AA187" s="166">
        <f t="shared" si="83"/>
        <v>2.1209735228698725</v>
      </c>
      <c r="AB187" s="166">
        <f t="shared" si="83"/>
        <v>2.3245810426754905</v>
      </c>
      <c r="AC187" s="166">
        <f t="shared" si="83"/>
        <v>2.3245810426754905</v>
      </c>
      <c r="AD187" s="166">
        <f t="shared" si="83"/>
        <v>2.3245810426754905</v>
      </c>
      <c r="AE187" s="166">
        <f t="shared" si="83"/>
        <v>2.3245810426754905</v>
      </c>
      <c r="AF187" s="166">
        <f t="shared" si="83"/>
        <v>2.3245810426754905</v>
      </c>
      <c r="AG187" s="166">
        <f t="shared" si="83"/>
        <v>2.3245810426754905</v>
      </c>
      <c r="AH187" s="166">
        <f t="shared" si="83"/>
        <v>2.3245810426754905</v>
      </c>
      <c r="AI187" s="166">
        <f t="shared" si="83"/>
        <v>2.3245810426754905</v>
      </c>
      <c r="AJ187" s="166">
        <f t="shared" si="83"/>
        <v>2.3245810426754905</v>
      </c>
      <c r="AK187" s="166">
        <f t="shared" si="83"/>
        <v>2.3245810426754905</v>
      </c>
      <c r="AL187" s="166">
        <f t="shared" si="83"/>
        <v>2.3245810426754905</v>
      </c>
      <c r="AM187" s="166">
        <f t="shared" si="83"/>
        <v>2.3245810426754905</v>
      </c>
      <c r="AN187" s="166">
        <f t="shared" si="84"/>
        <v>2.3245810426754905</v>
      </c>
      <c r="AO187" s="166">
        <f t="shared" si="84"/>
        <v>2.3245810426754905</v>
      </c>
      <c r="AP187" s="166">
        <f t="shared" si="84"/>
        <v>2.3245810426754905</v>
      </c>
      <c r="AQ187" s="166">
        <f t="shared" si="84"/>
        <v>2.3245810426754905</v>
      </c>
      <c r="AR187" s="166">
        <f t="shared" si="84"/>
        <v>2.3245810426754905</v>
      </c>
      <c r="AS187" s="166">
        <f t="shared" si="84"/>
        <v>2.3245810426754905</v>
      </c>
      <c r="AT187" s="166">
        <f t="shared" si="84"/>
        <v>2.3245810426754905</v>
      </c>
      <c r="AU187" s="166">
        <f t="shared" si="84"/>
        <v>2.3245810426754905</v>
      </c>
      <c r="AV187" s="166">
        <f t="shared" si="84"/>
        <v>2.3245810426754905</v>
      </c>
    </row>
    <row r="188" spans="1:48">
      <c r="A188" s="194" t="s">
        <v>16</v>
      </c>
      <c r="B188" s="92" t="str">
        <f t="shared" si="81"/>
        <v>CNK</v>
      </c>
      <c r="C188" s="92" t="str">
        <f t="shared" si="81"/>
        <v>Commercial - Cooking</v>
      </c>
      <c r="E188" s="111"/>
      <c r="F188" s="111"/>
      <c r="I188" s="164"/>
      <c r="J188" s="166">
        <f t="shared" si="82"/>
        <v>0</v>
      </c>
      <c r="K188" s="166">
        <f t="shared" si="82"/>
        <v>0</v>
      </c>
      <c r="L188" s="166">
        <f t="shared" si="82"/>
        <v>0</v>
      </c>
      <c r="M188" s="166">
        <f t="shared" si="82"/>
        <v>0</v>
      </c>
      <c r="N188" s="166">
        <f t="shared" si="82"/>
        <v>0</v>
      </c>
      <c r="O188" s="166">
        <f t="shared" si="82"/>
        <v>0</v>
      </c>
      <c r="P188" s="166">
        <f t="shared" si="82"/>
        <v>0.1128855701047503</v>
      </c>
      <c r="Q188" s="166">
        <f t="shared" si="82"/>
        <v>0.23344520091472726</v>
      </c>
      <c r="R188" s="166">
        <f t="shared" si="82"/>
        <v>0.30208285507355981</v>
      </c>
      <c r="S188" s="166">
        <f t="shared" si="82"/>
        <v>0.44251965935878973</v>
      </c>
      <c r="T188" s="166">
        <f t="shared" si="82"/>
        <v>0.58117263055638668</v>
      </c>
      <c r="U188" s="166">
        <f t="shared" si="82"/>
        <v>0.71871768785681511</v>
      </c>
      <c r="V188" s="166">
        <f t="shared" si="82"/>
        <v>0.85415285519222628</v>
      </c>
      <c r="W188" s="166">
        <f t="shared" si="82"/>
        <v>0.99142984813952317</v>
      </c>
      <c r="X188" s="166">
        <f t="shared" si="82"/>
        <v>1.1397607896811868</v>
      </c>
      <c r="Y188" s="166">
        <f t="shared" si="82"/>
        <v>1.2863228310036661</v>
      </c>
      <c r="Z188" s="166">
        <f t="shared" si="83"/>
        <v>1.4355224057824816</v>
      </c>
      <c r="AA188" s="166">
        <f t="shared" si="83"/>
        <v>1.5863795576287365</v>
      </c>
      <c r="AB188" s="166">
        <f t="shared" si="83"/>
        <v>1.7386675535496259</v>
      </c>
      <c r="AC188" s="166">
        <f t="shared" si="83"/>
        <v>1.7386675535496259</v>
      </c>
      <c r="AD188" s="166">
        <f t="shared" si="83"/>
        <v>1.7386675535496259</v>
      </c>
      <c r="AE188" s="166">
        <f t="shared" si="83"/>
        <v>1.7386675535496259</v>
      </c>
      <c r="AF188" s="166">
        <f t="shared" si="83"/>
        <v>1.7386675535496259</v>
      </c>
      <c r="AG188" s="166">
        <f t="shared" si="83"/>
        <v>1.7386675535496259</v>
      </c>
      <c r="AH188" s="166">
        <f t="shared" si="83"/>
        <v>1.7386675535496259</v>
      </c>
      <c r="AI188" s="166">
        <f t="shared" si="83"/>
        <v>1.7386675535496259</v>
      </c>
      <c r="AJ188" s="166">
        <f t="shared" si="83"/>
        <v>1.7386675535496259</v>
      </c>
      <c r="AK188" s="166">
        <f t="shared" si="83"/>
        <v>1.7386675535496259</v>
      </c>
      <c r="AL188" s="166">
        <f t="shared" si="83"/>
        <v>1.7386675535496259</v>
      </c>
      <c r="AM188" s="166">
        <f t="shared" si="83"/>
        <v>1.7386675535496259</v>
      </c>
      <c r="AN188" s="166">
        <f t="shared" si="84"/>
        <v>1.7386675535496259</v>
      </c>
      <c r="AO188" s="166">
        <f t="shared" si="84"/>
        <v>1.7386675535496259</v>
      </c>
      <c r="AP188" s="166">
        <f t="shared" si="84"/>
        <v>1.7386675535496259</v>
      </c>
      <c r="AQ188" s="166">
        <f t="shared" si="84"/>
        <v>1.7386675535496259</v>
      </c>
      <c r="AR188" s="166">
        <f t="shared" si="84"/>
        <v>1.7386675535496259</v>
      </c>
      <c r="AS188" s="166">
        <f t="shared" si="84"/>
        <v>1.7386675535496259</v>
      </c>
      <c r="AT188" s="166">
        <f t="shared" si="84"/>
        <v>1.7386675535496259</v>
      </c>
      <c r="AU188" s="166">
        <f t="shared" si="84"/>
        <v>1.7386675535496259</v>
      </c>
      <c r="AV188" s="166">
        <f t="shared" si="84"/>
        <v>1.7386675535496259</v>
      </c>
    </row>
    <row r="189" spans="1:48">
      <c r="A189" s="194" t="s">
        <v>16</v>
      </c>
      <c r="B189" s="92" t="str">
        <f t="shared" si="81"/>
        <v>CNL</v>
      </c>
      <c r="C189" s="92" t="str">
        <f t="shared" si="81"/>
        <v>Commercial - Lighting</v>
      </c>
      <c r="E189" s="111"/>
      <c r="F189" s="111"/>
      <c r="I189" s="164"/>
      <c r="J189" s="166">
        <f t="shared" si="82"/>
        <v>0</v>
      </c>
      <c r="K189" s="166">
        <f t="shared" si="82"/>
        <v>0</v>
      </c>
      <c r="L189" s="166">
        <f t="shared" si="82"/>
        <v>0</v>
      </c>
      <c r="M189" s="166">
        <f t="shared" si="82"/>
        <v>0</v>
      </c>
      <c r="N189" s="166">
        <f t="shared" si="82"/>
        <v>0</v>
      </c>
      <c r="O189" s="166">
        <f t="shared" si="82"/>
        <v>0</v>
      </c>
      <c r="P189" s="166">
        <f t="shared" si="82"/>
        <v>1.3772283906971867</v>
      </c>
      <c r="Q189" s="166">
        <f t="shared" si="82"/>
        <v>2.848081983139509</v>
      </c>
      <c r="R189" s="166">
        <f t="shared" si="82"/>
        <v>3.6854762213107977</v>
      </c>
      <c r="S189" s="166">
        <f t="shared" si="82"/>
        <v>5.3988356328009299</v>
      </c>
      <c r="T189" s="166">
        <f t="shared" si="82"/>
        <v>7.0904318944901314</v>
      </c>
      <c r="U189" s="166">
        <f t="shared" si="82"/>
        <v>8.7685113668127848</v>
      </c>
      <c r="V189" s="166">
        <f t="shared" si="82"/>
        <v>10.420849724851546</v>
      </c>
      <c r="W189" s="166">
        <f t="shared" si="82"/>
        <v>12.09565875404029</v>
      </c>
      <c r="X189" s="166">
        <f t="shared" si="82"/>
        <v>13.905328348838461</v>
      </c>
      <c r="Y189" s="166">
        <f t="shared" si="82"/>
        <v>15.693416978063171</v>
      </c>
      <c r="Z189" s="166">
        <f t="shared" si="83"/>
        <v>17.51368408638055</v>
      </c>
      <c r="AA189" s="166">
        <f t="shared" si="83"/>
        <v>19.354173993722885</v>
      </c>
      <c r="AB189" s="166">
        <f t="shared" si="83"/>
        <v>21.212120508498916</v>
      </c>
      <c r="AC189" s="166">
        <f t="shared" si="83"/>
        <v>21.212120508498916</v>
      </c>
      <c r="AD189" s="166">
        <f t="shared" si="83"/>
        <v>21.212120508498916</v>
      </c>
      <c r="AE189" s="166">
        <f t="shared" si="83"/>
        <v>21.212120508498916</v>
      </c>
      <c r="AF189" s="166">
        <f t="shared" si="83"/>
        <v>21.212120508498916</v>
      </c>
      <c r="AG189" s="166">
        <f t="shared" si="83"/>
        <v>21.212120508498916</v>
      </c>
      <c r="AH189" s="166">
        <f t="shared" si="83"/>
        <v>21.212120508498916</v>
      </c>
      <c r="AI189" s="166">
        <f t="shared" si="83"/>
        <v>21.212120508498916</v>
      </c>
      <c r="AJ189" s="166">
        <f t="shared" si="83"/>
        <v>21.212120508498916</v>
      </c>
      <c r="AK189" s="166">
        <f t="shared" si="83"/>
        <v>21.212120508498916</v>
      </c>
      <c r="AL189" s="166">
        <f t="shared" si="83"/>
        <v>21.212120508498916</v>
      </c>
      <c r="AM189" s="166">
        <f t="shared" si="83"/>
        <v>21.212120508498916</v>
      </c>
      <c r="AN189" s="166">
        <f t="shared" si="84"/>
        <v>21.212120508498916</v>
      </c>
      <c r="AO189" s="166">
        <f t="shared" si="84"/>
        <v>21.212120508498916</v>
      </c>
      <c r="AP189" s="166">
        <f t="shared" si="84"/>
        <v>21.212120508498916</v>
      </c>
      <c r="AQ189" s="166">
        <f t="shared" si="84"/>
        <v>21.212120508498916</v>
      </c>
      <c r="AR189" s="166">
        <f t="shared" si="84"/>
        <v>21.212120508498916</v>
      </c>
      <c r="AS189" s="166">
        <f t="shared" si="84"/>
        <v>21.212120508498916</v>
      </c>
      <c r="AT189" s="166">
        <f t="shared" si="84"/>
        <v>21.212120508498916</v>
      </c>
      <c r="AU189" s="166">
        <f t="shared" si="84"/>
        <v>21.212120508498916</v>
      </c>
      <c r="AV189" s="166">
        <f t="shared" si="84"/>
        <v>21.212120508498916</v>
      </c>
    </row>
    <row r="190" spans="1:48">
      <c r="A190" s="194" t="s">
        <v>16</v>
      </c>
      <c r="B190" s="92" t="str">
        <f t="shared" si="81"/>
        <v>CNR</v>
      </c>
      <c r="C190" s="92" t="str">
        <f t="shared" si="81"/>
        <v>Commercial - Refrigeration</v>
      </c>
      <c r="E190" s="111"/>
      <c r="F190" s="111"/>
      <c r="I190" s="164"/>
      <c r="J190" s="166">
        <f t="shared" si="82"/>
        <v>0</v>
      </c>
      <c r="K190" s="166">
        <f t="shared" si="82"/>
        <v>0</v>
      </c>
      <c r="L190" s="166">
        <f t="shared" si="82"/>
        <v>0</v>
      </c>
      <c r="M190" s="166">
        <f t="shared" si="82"/>
        <v>0</v>
      </c>
      <c r="N190" s="166">
        <f t="shared" si="82"/>
        <v>0</v>
      </c>
      <c r="O190" s="166">
        <f t="shared" si="82"/>
        <v>0</v>
      </c>
      <c r="P190" s="166">
        <f t="shared" si="82"/>
        <v>0.3350302874487357</v>
      </c>
      <c r="Q190" s="166">
        <f t="shared" si="82"/>
        <v>0.69283622958553637</v>
      </c>
      <c r="R190" s="166">
        <f t="shared" si="82"/>
        <v>0.89654422327597971</v>
      </c>
      <c r="S190" s="166">
        <f t="shared" si="82"/>
        <v>1.3133431362318395</v>
      </c>
      <c r="T190" s="166">
        <f t="shared" si="82"/>
        <v>1.724847855150714</v>
      </c>
      <c r="U190" s="166">
        <f t="shared" si="82"/>
        <v>2.1330644238561254</v>
      </c>
      <c r="V190" s="166">
        <f t="shared" si="82"/>
        <v>2.5350191023942732</v>
      </c>
      <c r="W190" s="166">
        <f t="shared" si="82"/>
        <v>2.9424400895457175</v>
      </c>
      <c r="X190" s="166">
        <f t="shared" si="82"/>
        <v>3.3826678169348883</v>
      </c>
      <c r="Y190" s="166">
        <f t="shared" si="82"/>
        <v>3.8176456691774705</v>
      </c>
      <c r="Z190" s="166">
        <f t="shared" si="83"/>
        <v>4.2604513916359892</v>
      </c>
      <c r="AA190" s="166">
        <f t="shared" si="83"/>
        <v>4.7081765960163988</v>
      </c>
      <c r="AB190" s="166">
        <f t="shared" si="83"/>
        <v>5.1601483670853066</v>
      </c>
      <c r="AC190" s="166">
        <f t="shared" si="83"/>
        <v>5.1601483670853066</v>
      </c>
      <c r="AD190" s="166">
        <f t="shared" si="83"/>
        <v>5.1601483670853066</v>
      </c>
      <c r="AE190" s="166">
        <f t="shared" si="83"/>
        <v>5.1601483670853066</v>
      </c>
      <c r="AF190" s="166">
        <f t="shared" si="83"/>
        <v>5.1601483670853066</v>
      </c>
      <c r="AG190" s="166">
        <f t="shared" si="83"/>
        <v>5.1601483670853066</v>
      </c>
      <c r="AH190" s="166">
        <f t="shared" si="83"/>
        <v>5.1601483670853066</v>
      </c>
      <c r="AI190" s="166">
        <f t="shared" si="83"/>
        <v>5.1601483670853066</v>
      </c>
      <c r="AJ190" s="166">
        <f t="shared" si="83"/>
        <v>5.1601483670853066</v>
      </c>
      <c r="AK190" s="166">
        <f t="shared" si="83"/>
        <v>5.1601483670853066</v>
      </c>
      <c r="AL190" s="166">
        <f t="shared" si="83"/>
        <v>5.1601483670853066</v>
      </c>
      <c r="AM190" s="166">
        <f t="shared" si="83"/>
        <v>5.1601483670853066</v>
      </c>
      <c r="AN190" s="166">
        <f t="shared" si="84"/>
        <v>5.1601483670853066</v>
      </c>
      <c r="AO190" s="166">
        <f t="shared" si="84"/>
        <v>5.1601483670853066</v>
      </c>
      <c r="AP190" s="166">
        <f t="shared" si="84"/>
        <v>5.1601483670853066</v>
      </c>
      <c r="AQ190" s="166">
        <f t="shared" si="84"/>
        <v>5.1601483670853066</v>
      </c>
      <c r="AR190" s="166">
        <f t="shared" si="84"/>
        <v>5.1601483670853066</v>
      </c>
      <c r="AS190" s="166">
        <f t="shared" si="84"/>
        <v>5.1601483670853066</v>
      </c>
      <c r="AT190" s="166">
        <f t="shared" si="84"/>
        <v>5.1601483670853066</v>
      </c>
      <c r="AU190" s="166">
        <f t="shared" si="84"/>
        <v>5.1601483670853066</v>
      </c>
      <c r="AV190" s="166">
        <f t="shared" si="84"/>
        <v>5.1601483670853066</v>
      </c>
    </row>
    <row r="191" spans="1:48">
      <c r="A191" s="194" t="s">
        <v>16</v>
      </c>
      <c r="B191" s="92" t="str">
        <f t="shared" si="81"/>
        <v>CNW</v>
      </c>
      <c r="C191" s="92" t="str">
        <f t="shared" si="81"/>
        <v>Commercial - Water Heating</v>
      </c>
      <c r="E191" s="111"/>
      <c r="F191" s="111"/>
      <c r="I191" s="164"/>
      <c r="J191" s="166">
        <f t="shared" si="82"/>
        <v>0</v>
      </c>
      <c r="K191" s="166">
        <f t="shared" si="82"/>
        <v>0</v>
      </c>
      <c r="L191" s="166">
        <f t="shared" si="82"/>
        <v>0</v>
      </c>
      <c r="M191" s="166">
        <f t="shared" si="82"/>
        <v>0</v>
      </c>
      <c r="N191" s="166">
        <f t="shared" si="82"/>
        <v>0</v>
      </c>
      <c r="O191" s="166">
        <f t="shared" si="82"/>
        <v>0</v>
      </c>
      <c r="P191" s="166">
        <f t="shared" si="82"/>
        <v>0.17464786244388691</v>
      </c>
      <c r="Q191" s="166">
        <f t="shared" si="82"/>
        <v>0.36116844074675197</v>
      </c>
      <c r="R191" s="166">
        <f t="shared" si="82"/>
        <v>0.46735933450650663</v>
      </c>
      <c r="S191" s="166">
        <f t="shared" si="82"/>
        <v>0.6846323451677141</v>
      </c>
      <c r="T191" s="166">
        <f t="shared" si="82"/>
        <v>0.89914554662192836</v>
      </c>
      <c r="U191" s="166">
        <f t="shared" si="82"/>
        <v>1.1119446689982515</v>
      </c>
      <c r="V191" s="166">
        <f t="shared" si="82"/>
        <v>1.321479532071635</v>
      </c>
      <c r="W191" s="166">
        <f t="shared" si="82"/>
        <v>1.5338639259204025</v>
      </c>
      <c r="X191" s="166">
        <f t="shared" si="82"/>
        <v>1.7633501379358263</v>
      </c>
      <c r="Y191" s="166">
        <f t="shared" si="82"/>
        <v>1.9900996437285645</v>
      </c>
      <c r="Z191" s="166">
        <f t="shared" si="83"/>
        <v>2.2209297382081115</v>
      </c>
      <c r="AA191" s="166">
        <f t="shared" si="83"/>
        <v>2.4543243083012873</v>
      </c>
      <c r="AB191" s="166">
        <f t="shared" si="83"/>
        <v>2.689932570178927</v>
      </c>
      <c r="AC191" s="166">
        <f t="shared" si="83"/>
        <v>2.689932570178927</v>
      </c>
      <c r="AD191" s="166">
        <f t="shared" si="83"/>
        <v>2.689932570178927</v>
      </c>
      <c r="AE191" s="166">
        <f t="shared" si="83"/>
        <v>2.689932570178927</v>
      </c>
      <c r="AF191" s="166">
        <f t="shared" si="83"/>
        <v>2.689932570178927</v>
      </c>
      <c r="AG191" s="166">
        <f t="shared" si="83"/>
        <v>2.689932570178927</v>
      </c>
      <c r="AH191" s="166">
        <f t="shared" si="83"/>
        <v>2.689932570178927</v>
      </c>
      <c r="AI191" s="166">
        <f t="shared" si="83"/>
        <v>2.689932570178927</v>
      </c>
      <c r="AJ191" s="166">
        <f t="shared" si="83"/>
        <v>2.689932570178927</v>
      </c>
      <c r="AK191" s="166">
        <f t="shared" si="83"/>
        <v>2.689932570178927</v>
      </c>
      <c r="AL191" s="166">
        <f t="shared" si="83"/>
        <v>2.689932570178927</v>
      </c>
      <c r="AM191" s="166">
        <f t="shared" si="83"/>
        <v>2.689932570178927</v>
      </c>
      <c r="AN191" s="166">
        <f t="shared" si="84"/>
        <v>2.689932570178927</v>
      </c>
      <c r="AO191" s="166">
        <f t="shared" si="84"/>
        <v>2.689932570178927</v>
      </c>
      <c r="AP191" s="166">
        <f t="shared" si="84"/>
        <v>2.689932570178927</v>
      </c>
      <c r="AQ191" s="166">
        <f t="shared" si="84"/>
        <v>2.689932570178927</v>
      </c>
      <c r="AR191" s="166">
        <f t="shared" si="84"/>
        <v>2.689932570178927</v>
      </c>
      <c r="AS191" s="166">
        <f t="shared" si="84"/>
        <v>2.689932570178927</v>
      </c>
      <c r="AT191" s="166">
        <f t="shared" si="84"/>
        <v>2.689932570178927</v>
      </c>
      <c r="AU191" s="166">
        <f t="shared" si="84"/>
        <v>2.689932570178927</v>
      </c>
      <c r="AV191" s="166">
        <f t="shared" si="84"/>
        <v>2.689932570178927</v>
      </c>
    </row>
    <row r="192" spans="1:48">
      <c r="A192" s="194" t="s">
        <v>16</v>
      </c>
      <c r="B192" s="92" t="str">
        <f t="shared" si="81"/>
        <v>CNG</v>
      </c>
      <c r="C192" s="92" t="str">
        <f t="shared" si="81"/>
        <v>Commercial - Public lights</v>
      </c>
      <c r="E192" s="111"/>
      <c r="F192" s="111"/>
      <c r="I192" s="164"/>
      <c r="J192" s="166">
        <f t="shared" si="82"/>
        <v>0</v>
      </c>
      <c r="K192" s="166">
        <f t="shared" si="82"/>
        <v>0</v>
      </c>
      <c r="L192" s="166">
        <f t="shared" si="82"/>
        <v>0</v>
      </c>
      <c r="M192" s="166">
        <f t="shared" si="82"/>
        <v>0</v>
      </c>
      <c r="N192" s="166">
        <f t="shared" si="82"/>
        <v>0</v>
      </c>
      <c r="O192" s="166">
        <f t="shared" si="82"/>
        <v>0</v>
      </c>
      <c r="P192" s="166">
        <f t="shared" si="82"/>
        <v>0</v>
      </c>
      <c r="Q192" s="166">
        <f t="shared" si="82"/>
        <v>0</v>
      </c>
      <c r="R192" s="166">
        <f t="shared" si="82"/>
        <v>0</v>
      </c>
      <c r="S192" s="166">
        <f t="shared" si="82"/>
        <v>0</v>
      </c>
      <c r="T192" s="166">
        <f t="shared" si="82"/>
        <v>0</v>
      </c>
      <c r="U192" s="166">
        <f t="shared" si="82"/>
        <v>0</v>
      </c>
      <c r="V192" s="166">
        <f t="shared" si="82"/>
        <v>0</v>
      </c>
      <c r="W192" s="166">
        <f t="shared" si="82"/>
        <v>0</v>
      </c>
      <c r="X192" s="166">
        <f t="shared" si="82"/>
        <v>0</v>
      </c>
      <c r="Y192" s="166">
        <f t="shared" si="82"/>
        <v>0</v>
      </c>
      <c r="Z192" s="166">
        <f t="shared" si="83"/>
        <v>0</v>
      </c>
      <c r="AA192" s="166">
        <f t="shared" si="83"/>
        <v>0</v>
      </c>
      <c r="AB192" s="166">
        <f t="shared" si="83"/>
        <v>0</v>
      </c>
      <c r="AC192" s="166">
        <f t="shared" si="83"/>
        <v>0</v>
      </c>
      <c r="AD192" s="166">
        <f t="shared" si="83"/>
        <v>0</v>
      </c>
      <c r="AE192" s="166">
        <f t="shared" si="83"/>
        <v>0</v>
      </c>
      <c r="AF192" s="166">
        <f t="shared" si="83"/>
        <v>0</v>
      </c>
      <c r="AG192" s="166">
        <f t="shared" si="83"/>
        <v>0</v>
      </c>
      <c r="AH192" s="166">
        <f t="shared" si="83"/>
        <v>0</v>
      </c>
      <c r="AI192" s="166">
        <f t="shared" si="83"/>
        <v>0</v>
      </c>
      <c r="AJ192" s="166">
        <f t="shared" si="83"/>
        <v>0</v>
      </c>
      <c r="AK192" s="166">
        <f t="shared" si="83"/>
        <v>0</v>
      </c>
      <c r="AL192" s="166">
        <f t="shared" si="83"/>
        <v>0</v>
      </c>
      <c r="AM192" s="166">
        <f t="shared" si="83"/>
        <v>0</v>
      </c>
      <c r="AN192" s="166">
        <f t="shared" si="84"/>
        <v>0</v>
      </c>
      <c r="AO192" s="166">
        <f t="shared" si="84"/>
        <v>0</v>
      </c>
      <c r="AP192" s="166">
        <f t="shared" si="84"/>
        <v>0</v>
      </c>
      <c r="AQ192" s="166">
        <f t="shared" si="84"/>
        <v>0</v>
      </c>
      <c r="AR192" s="166">
        <f t="shared" si="84"/>
        <v>0</v>
      </c>
      <c r="AS192" s="166">
        <f t="shared" si="84"/>
        <v>0</v>
      </c>
      <c r="AT192" s="166">
        <f t="shared" si="84"/>
        <v>0</v>
      </c>
      <c r="AU192" s="166">
        <f t="shared" si="84"/>
        <v>0</v>
      </c>
      <c r="AV192" s="166">
        <f t="shared" si="84"/>
        <v>0</v>
      </c>
    </row>
    <row r="193" spans="1:48">
      <c r="A193" s="194" t="s">
        <v>16</v>
      </c>
      <c r="B193" s="92" t="str">
        <f t="shared" si="81"/>
        <v>CNT</v>
      </c>
      <c r="C193" s="92" t="str">
        <f t="shared" si="81"/>
        <v>Commercial - Public Water</v>
      </c>
      <c r="E193" s="111"/>
      <c r="F193" s="111"/>
      <c r="I193" s="164"/>
      <c r="J193" s="166">
        <f t="shared" si="82"/>
        <v>0</v>
      </c>
      <c r="K193" s="166">
        <f t="shared" si="82"/>
        <v>0</v>
      </c>
      <c r="L193" s="166">
        <f t="shared" si="82"/>
        <v>0</v>
      </c>
      <c r="M193" s="166">
        <f t="shared" si="82"/>
        <v>0</v>
      </c>
      <c r="N193" s="166">
        <f t="shared" si="82"/>
        <v>0</v>
      </c>
      <c r="O193" s="166">
        <f t="shared" si="82"/>
        <v>0</v>
      </c>
      <c r="P193" s="166">
        <f t="shared" si="82"/>
        <v>0</v>
      </c>
      <c r="Q193" s="166">
        <f t="shared" si="82"/>
        <v>0</v>
      </c>
      <c r="R193" s="166">
        <f t="shared" si="82"/>
        <v>0</v>
      </c>
      <c r="S193" s="166">
        <f t="shared" si="82"/>
        <v>0</v>
      </c>
      <c r="T193" s="166">
        <f t="shared" si="82"/>
        <v>0</v>
      </c>
      <c r="U193" s="166">
        <f t="shared" si="82"/>
        <v>0</v>
      </c>
      <c r="V193" s="166">
        <f t="shared" si="82"/>
        <v>0</v>
      </c>
      <c r="W193" s="166">
        <f t="shared" si="82"/>
        <v>0</v>
      </c>
      <c r="X193" s="166">
        <f t="shared" si="82"/>
        <v>0</v>
      </c>
      <c r="Y193" s="166">
        <f t="shared" si="82"/>
        <v>0</v>
      </c>
      <c r="Z193" s="166">
        <f t="shared" si="83"/>
        <v>0</v>
      </c>
      <c r="AA193" s="166">
        <f t="shared" si="83"/>
        <v>0</v>
      </c>
      <c r="AB193" s="166">
        <f t="shared" si="83"/>
        <v>0</v>
      </c>
      <c r="AC193" s="166">
        <f t="shared" si="83"/>
        <v>0</v>
      </c>
      <c r="AD193" s="166">
        <f t="shared" si="83"/>
        <v>0</v>
      </c>
      <c r="AE193" s="166">
        <f t="shared" si="83"/>
        <v>0</v>
      </c>
      <c r="AF193" s="166">
        <f t="shared" si="83"/>
        <v>0</v>
      </c>
      <c r="AG193" s="166">
        <f t="shared" si="83"/>
        <v>0</v>
      </c>
      <c r="AH193" s="166">
        <f t="shared" si="83"/>
        <v>0</v>
      </c>
      <c r="AI193" s="166">
        <f t="shared" si="83"/>
        <v>0</v>
      </c>
      <c r="AJ193" s="166">
        <f t="shared" si="83"/>
        <v>0</v>
      </c>
      <c r="AK193" s="166">
        <f t="shared" si="83"/>
        <v>0</v>
      </c>
      <c r="AL193" s="166">
        <f t="shared" si="83"/>
        <v>0</v>
      </c>
      <c r="AM193" s="166">
        <f t="shared" si="83"/>
        <v>0</v>
      </c>
      <c r="AN193" s="166">
        <f t="shared" si="84"/>
        <v>0</v>
      </c>
      <c r="AO193" s="166">
        <f t="shared" si="84"/>
        <v>0</v>
      </c>
      <c r="AP193" s="166">
        <f t="shared" si="84"/>
        <v>0</v>
      </c>
      <c r="AQ193" s="166">
        <f t="shared" si="84"/>
        <v>0</v>
      </c>
      <c r="AR193" s="166">
        <f t="shared" si="84"/>
        <v>0</v>
      </c>
      <c r="AS193" s="166">
        <f t="shared" si="84"/>
        <v>0</v>
      </c>
      <c r="AT193" s="166">
        <f t="shared" si="84"/>
        <v>0</v>
      </c>
      <c r="AU193" s="166">
        <f t="shared" si="84"/>
        <v>0</v>
      </c>
      <c r="AV193" s="166">
        <f t="shared" si="84"/>
        <v>0</v>
      </c>
    </row>
    <row r="194" spans="1:48">
      <c r="A194" s="194" t="s">
        <v>16</v>
      </c>
      <c r="B194" s="92" t="str">
        <f t="shared" si="81"/>
        <v>CNO</v>
      </c>
      <c r="C194" s="92" t="str">
        <f t="shared" si="81"/>
        <v>Commercial - Other</v>
      </c>
      <c r="E194" s="111"/>
      <c r="F194" s="111"/>
      <c r="I194" s="164"/>
      <c r="J194" s="166">
        <f t="shared" si="82"/>
        <v>0</v>
      </c>
      <c r="K194" s="166">
        <f t="shared" si="82"/>
        <v>0</v>
      </c>
      <c r="L194" s="166">
        <f t="shared" si="82"/>
        <v>0</v>
      </c>
      <c r="M194" s="166">
        <f t="shared" si="82"/>
        <v>0</v>
      </c>
      <c r="N194" s="166">
        <f t="shared" si="82"/>
        <v>0</v>
      </c>
      <c r="O194" s="166">
        <f t="shared" si="82"/>
        <v>0</v>
      </c>
      <c r="P194" s="166">
        <f t="shared" si="82"/>
        <v>0.22366371570704255</v>
      </c>
      <c r="Q194" s="166">
        <f t="shared" si="82"/>
        <v>0.46253228824653669</v>
      </c>
      <c r="R194" s="166">
        <f t="shared" si="82"/>
        <v>0.59852622221288887</v>
      </c>
      <c r="S194" s="166">
        <f t="shared" si="82"/>
        <v>0.87677806112649204</v>
      </c>
      <c r="T194" s="166">
        <f t="shared" si="82"/>
        <v>1.1514955356726129</v>
      </c>
      <c r="U194" s="166">
        <f t="shared" si="82"/>
        <v>1.4240178657136013</v>
      </c>
      <c r="V194" s="166">
        <f t="shared" si="82"/>
        <v>1.6923598046836066</v>
      </c>
      <c r="W194" s="166">
        <f t="shared" si="82"/>
        <v>1.9643510104257644</v>
      </c>
      <c r="X194" s="166">
        <f t="shared" si="82"/>
        <v>2.2582437507356836</v>
      </c>
      <c r="Y194" s="166">
        <f t="shared" si="82"/>
        <v>2.5486317136380867</v>
      </c>
      <c r="Z194" s="166">
        <f t="shared" si="83"/>
        <v>2.8442455041870032</v>
      </c>
      <c r="AA194" s="166">
        <f t="shared" si="83"/>
        <v>3.1431435040961606</v>
      </c>
      <c r="AB194" s="166">
        <f t="shared" si="83"/>
        <v>3.444876480185473</v>
      </c>
      <c r="AC194" s="166">
        <f t="shared" si="83"/>
        <v>3.444876480185473</v>
      </c>
      <c r="AD194" s="166">
        <f t="shared" si="83"/>
        <v>3.444876480185473</v>
      </c>
      <c r="AE194" s="166">
        <f t="shared" si="83"/>
        <v>3.444876480185473</v>
      </c>
      <c r="AF194" s="166">
        <f t="shared" si="83"/>
        <v>3.444876480185473</v>
      </c>
      <c r="AG194" s="166">
        <f t="shared" si="83"/>
        <v>3.444876480185473</v>
      </c>
      <c r="AH194" s="166">
        <f t="shared" si="83"/>
        <v>3.444876480185473</v>
      </c>
      <c r="AI194" s="166">
        <f t="shared" si="83"/>
        <v>3.444876480185473</v>
      </c>
      <c r="AJ194" s="166">
        <f t="shared" si="83"/>
        <v>3.444876480185473</v>
      </c>
      <c r="AK194" s="166">
        <f t="shared" si="83"/>
        <v>3.444876480185473</v>
      </c>
      <c r="AL194" s="166">
        <f t="shared" si="83"/>
        <v>3.444876480185473</v>
      </c>
      <c r="AM194" s="166">
        <f t="shared" si="83"/>
        <v>3.444876480185473</v>
      </c>
      <c r="AN194" s="166">
        <f t="shared" si="84"/>
        <v>3.444876480185473</v>
      </c>
      <c r="AO194" s="166">
        <f t="shared" si="84"/>
        <v>3.444876480185473</v>
      </c>
      <c r="AP194" s="166">
        <f t="shared" si="84"/>
        <v>3.444876480185473</v>
      </c>
      <c r="AQ194" s="166">
        <f t="shared" si="84"/>
        <v>3.444876480185473</v>
      </c>
      <c r="AR194" s="166">
        <f t="shared" si="84"/>
        <v>3.444876480185473</v>
      </c>
      <c r="AS194" s="166">
        <f t="shared" si="84"/>
        <v>3.444876480185473</v>
      </c>
      <c r="AT194" s="166">
        <f t="shared" si="84"/>
        <v>3.444876480185473</v>
      </c>
      <c r="AU194" s="166">
        <f t="shared" si="84"/>
        <v>3.444876480185473</v>
      </c>
      <c r="AV194" s="166">
        <f t="shared" si="84"/>
        <v>3.444876480185473</v>
      </c>
    </row>
    <row r="195" spans="1:48">
      <c r="A195" s="194" t="s">
        <v>16</v>
      </c>
      <c r="E195" s="111"/>
      <c r="F195" s="111"/>
      <c r="I195" s="164"/>
      <c r="J195" s="166"/>
      <c r="K195" s="166"/>
      <c r="L195" s="166"/>
      <c r="M195" s="166"/>
      <c r="N195" s="166"/>
      <c r="O195" s="166"/>
      <c r="P195" s="166"/>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row>
    <row r="196" spans="1:48">
      <c r="A196" s="194" t="s">
        <v>16</v>
      </c>
      <c r="E196" s="111"/>
      <c r="F196" s="111"/>
      <c r="I196" s="164" t="s">
        <v>112</v>
      </c>
      <c r="J196" s="166"/>
      <c r="K196" s="166"/>
      <c r="L196" s="166"/>
      <c r="M196" s="166"/>
      <c r="N196" s="166"/>
      <c r="O196" s="166"/>
      <c r="P196" s="166"/>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row>
    <row r="197" spans="1:48">
      <c r="A197" s="194" t="s">
        <v>16</v>
      </c>
      <c r="B197" s="92" t="str">
        <f t="shared" ref="B197:C205" si="85">B186</f>
        <v>CNC</v>
      </c>
      <c r="C197" s="92" t="str">
        <f t="shared" si="85"/>
        <v>Commercial - Cooling</v>
      </c>
      <c r="E197" s="111"/>
      <c r="F197" s="111"/>
      <c r="I197" s="164"/>
      <c r="J197" s="166">
        <f t="shared" ref="J197:Y205" si="86">INDEX(J$49:J$52,MATCH($I$196,$B$49:$B$52,0),1)*INDEX(J$81:J$89,MATCH($B197,$B$81:$B$89,0))*INDEX(J$127:J$135,MATCH($B197,$B$127:$B$135,0))/1000</f>
        <v>0</v>
      </c>
      <c r="K197" s="166">
        <f t="shared" si="86"/>
        <v>0</v>
      </c>
      <c r="L197" s="166">
        <f t="shared" si="86"/>
        <v>0</v>
      </c>
      <c r="M197" s="166">
        <f t="shared" si="86"/>
        <v>0</v>
      </c>
      <c r="N197" s="166">
        <f t="shared" si="86"/>
        <v>0</v>
      </c>
      <c r="O197" s="166">
        <f t="shared" si="86"/>
        <v>0</v>
      </c>
      <c r="P197" s="166">
        <f t="shared" si="86"/>
        <v>0</v>
      </c>
      <c r="Q197" s="166">
        <f t="shared" si="86"/>
        <v>0</v>
      </c>
      <c r="R197" s="166">
        <f t="shared" si="86"/>
        <v>0</v>
      </c>
      <c r="S197" s="166">
        <f t="shared" si="86"/>
        <v>0</v>
      </c>
      <c r="T197" s="166">
        <f t="shared" si="86"/>
        <v>0</v>
      </c>
      <c r="U197" s="166">
        <f t="shared" si="86"/>
        <v>0</v>
      </c>
      <c r="V197" s="166">
        <f t="shared" si="86"/>
        <v>0</v>
      </c>
      <c r="W197" s="166">
        <f t="shared" si="86"/>
        <v>0</v>
      </c>
      <c r="X197" s="166">
        <f t="shared" si="86"/>
        <v>0</v>
      </c>
      <c r="Y197" s="166">
        <f t="shared" si="86"/>
        <v>0</v>
      </c>
      <c r="Z197" s="166">
        <f t="shared" ref="Z197:AO205" si="87">INDEX(Z$49:Z$52,MATCH($I$196,$B$49:$B$52,0),1)*INDEX(Z$81:Z$89,MATCH($B197,$B$81:$B$89,0))*INDEX(Z$127:Z$135,MATCH($B197,$B$127:$B$135,0))/1000</f>
        <v>0</v>
      </c>
      <c r="AA197" s="166">
        <f t="shared" si="87"/>
        <v>0</v>
      </c>
      <c r="AB197" s="166">
        <f t="shared" si="87"/>
        <v>0</v>
      </c>
      <c r="AC197" s="166">
        <f t="shared" si="87"/>
        <v>2.2863817738144188</v>
      </c>
      <c r="AD197" s="166">
        <f t="shared" si="87"/>
        <v>4.532681232998784</v>
      </c>
      <c r="AE197" s="166">
        <f t="shared" si="87"/>
        <v>6.8800150292623083</v>
      </c>
      <c r="AF197" s="166">
        <f t="shared" si="87"/>
        <v>9.3055122892236817</v>
      </c>
      <c r="AG197" s="166">
        <f t="shared" si="87"/>
        <v>11.800768552231213</v>
      </c>
      <c r="AH197" s="166">
        <f t="shared" si="87"/>
        <v>14.341906259114523</v>
      </c>
      <c r="AI197" s="166">
        <f t="shared" si="87"/>
        <v>16.920814709739982</v>
      </c>
      <c r="AJ197" s="166">
        <f t="shared" si="87"/>
        <v>19.501218092649449</v>
      </c>
      <c r="AK197" s="166">
        <f t="shared" si="87"/>
        <v>22.121296583835356</v>
      </c>
      <c r="AL197" s="166">
        <f t="shared" si="87"/>
        <v>24.814607499899793</v>
      </c>
      <c r="AM197" s="166">
        <f t="shared" si="87"/>
        <v>24.814607499899793</v>
      </c>
      <c r="AN197" s="166">
        <f t="shared" si="87"/>
        <v>24.814607499899793</v>
      </c>
      <c r="AO197" s="166">
        <f t="shared" si="87"/>
        <v>24.814607499899793</v>
      </c>
      <c r="AP197" s="166">
        <f t="shared" ref="AN197:AV205" si="88">INDEX(AP$49:AP$52,MATCH($I$196,$B$49:$B$52,0),1)*INDEX(AP$81:AP$89,MATCH($B197,$B$81:$B$89,0))*INDEX(AP$127:AP$135,MATCH($B197,$B$127:$B$135,0))/1000</f>
        <v>24.814607499899793</v>
      </c>
      <c r="AQ197" s="166">
        <f t="shared" si="88"/>
        <v>24.814607499899793</v>
      </c>
      <c r="AR197" s="166">
        <f t="shared" si="88"/>
        <v>24.814607499899793</v>
      </c>
      <c r="AS197" s="166">
        <f t="shared" si="88"/>
        <v>24.814607499899793</v>
      </c>
      <c r="AT197" s="166">
        <f t="shared" si="88"/>
        <v>24.814607499899793</v>
      </c>
      <c r="AU197" s="166">
        <f t="shared" si="88"/>
        <v>24.814607499899793</v>
      </c>
      <c r="AV197" s="166">
        <f t="shared" si="88"/>
        <v>24.814607499899793</v>
      </c>
    </row>
    <row r="198" spans="1:48">
      <c r="A198" s="194" t="s">
        <v>16</v>
      </c>
      <c r="B198" s="92" t="str">
        <f t="shared" si="85"/>
        <v>CNH</v>
      </c>
      <c r="C198" s="92" t="str">
        <f t="shared" si="85"/>
        <v>Commercial - Space Heating</v>
      </c>
      <c r="E198" s="111"/>
      <c r="F198" s="111"/>
      <c r="I198" s="164"/>
      <c r="J198" s="166">
        <f t="shared" si="86"/>
        <v>0</v>
      </c>
      <c r="K198" s="166">
        <f t="shared" si="86"/>
        <v>0</v>
      </c>
      <c r="L198" s="166">
        <f t="shared" si="86"/>
        <v>0</v>
      </c>
      <c r="M198" s="166">
        <f t="shared" si="86"/>
        <v>0</v>
      </c>
      <c r="N198" s="166">
        <f t="shared" si="86"/>
        <v>0</v>
      </c>
      <c r="O198" s="166">
        <f t="shared" si="86"/>
        <v>0</v>
      </c>
      <c r="P198" s="166">
        <f t="shared" si="86"/>
        <v>0</v>
      </c>
      <c r="Q198" s="166">
        <f t="shared" si="86"/>
        <v>0</v>
      </c>
      <c r="R198" s="166">
        <f t="shared" si="86"/>
        <v>0</v>
      </c>
      <c r="S198" s="166">
        <f t="shared" si="86"/>
        <v>0</v>
      </c>
      <c r="T198" s="166">
        <f t="shared" si="86"/>
        <v>0</v>
      </c>
      <c r="U198" s="166">
        <f t="shared" si="86"/>
        <v>0</v>
      </c>
      <c r="V198" s="166">
        <f t="shared" si="86"/>
        <v>0</v>
      </c>
      <c r="W198" s="166">
        <f t="shared" si="86"/>
        <v>0</v>
      </c>
      <c r="X198" s="166">
        <f t="shared" si="86"/>
        <v>0</v>
      </c>
      <c r="Y198" s="166">
        <f t="shared" si="86"/>
        <v>0</v>
      </c>
      <c r="Z198" s="166">
        <f t="shared" si="87"/>
        <v>0</v>
      </c>
      <c r="AA198" s="166">
        <f t="shared" si="87"/>
        <v>0</v>
      </c>
      <c r="AB198" s="166">
        <f t="shared" si="87"/>
        <v>0</v>
      </c>
      <c r="AC198" s="166">
        <f t="shared" si="87"/>
        <v>0.2180438574617688</v>
      </c>
      <c r="AD198" s="166">
        <f t="shared" si="87"/>
        <v>0.43226521135128748</v>
      </c>
      <c r="AE198" s="166">
        <f t="shared" si="87"/>
        <v>0.65612183999900175</v>
      </c>
      <c r="AF198" s="166">
        <f t="shared" si="87"/>
        <v>0.88743263195944166</v>
      </c>
      <c r="AG198" s="166">
        <f t="shared" si="87"/>
        <v>1.1253960845958348</v>
      </c>
      <c r="AH198" s="166">
        <f t="shared" si="87"/>
        <v>1.367735082525305</v>
      </c>
      <c r="AI198" s="166">
        <f t="shared" si="87"/>
        <v>1.6136761379759903</v>
      </c>
      <c r="AJ198" s="166">
        <f t="shared" si="87"/>
        <v>1.8597597596444362</v>
      </c>
      <c r="AK198" s="166">
        <f t="shared" si="87"/>
        <v>2.1096270511063024</v>
      </c>
      <c r="AL198" s="166">
        <f t="shared" si="87"/>
        <v>2.3664782507652475</v>
      </c>
      <c r="AM198" s="166">
        <f t="shared" si="87"/>
        <v>2.3664782507652475</v>
      </c>
      <c r="AN198" s="166">
        <f t="shared" si="88"/>
        <v>2.3664782507652475</v>
      </c>
      <c r="AO198" s="166">
        <f t="shared" si="88"/>
        <v>2.3664782507652475</v>
      </c>
      <c r="AP198" s="166">
        <f t="shared" si="88"/>
        <v>2.3664782507652475</v>
      </c>
      <c r="AQ198" s="166">
        <f t="shared" si="88"/>
        <v>2.3664782507652475</v>
      </c>
      <c r="AR198" s="166">
        <f t="shared" si="88"/>
        <v>2.3664782507652475</v>
      </c>
      <c r="AS198" s="166">
        <f t="shared" si="88"/>
        <v>2.3664782507652475</v>
      </c>
      <c r="AT198" s="166">
        <f t="shared" si="88"/>
        <v>2.3664782507652475</v>
      </c>
      <c r="AU198" s="166">
        <f t="shared" si="88"/>
        <v>2.3664782507652475</v>
      </c>
      <c r="AV198" s="166">
        <f t="shared" si="88"/>
        <v>2.3664782507652475</v>
      </c>
    </row>
    <row r="199" spans="1:48">
      <c r="A199" s="194" t="s">
        <v>16</v>
      </c>
      <c r="B199" s="92" t="str">
        <f t="shared" si="85"/>
        <v>CNK</v>
      </c>
      <c r="C199" s="92" t="str">
        <f t="shared" si="85"/>
        <v>Commercial - Cooking</v>
      </c>
      <c r="E199" s="111"/>
      <c r="F199" s="111"/>
      <c r="I199" s="164"/>
      <c r="J199" s="166">
        <f t="shared" si="86"/>
        <v>0</v>
      </c>
      <c r="K199" s="166">
        <f t="shared" si="86"/>
        <v>0</v>
      </c>
      <c r="L199" s="166">
        <f t="shared" si="86"/>
        <v>0</v>
      </c>
      <c r="M199" s="166">
        <f t="shared" si="86"/>
        <v>0</v>
      </c>
      <c r="N199" s="166">
        <f t="shared" si="86"/>
        <v>0</v>
      </c>
      <c r="O199" s="166">
        <f t="shared" si="86"/>
        <v>0</v>
      </c>
      <c r="P199" s="166">
        <f t="shared" si="86"/>
        <v>0</v>
      </c>
      <c r="Q199" s="166">
        <f t="shared" si="86"/>
        <v>0</v>
      </c>
      <c r="R199" s="166">
        <f t="shared" si="86"/>
        <v>0</v>
      </c>
      <c r="S199" s="166">
        <f t="shared" si="86"/>
        <v>0</v>
      </c>
      <c r="T199" s="166">
        <f t="shared" si="86"/>
        <v>0</v>
      </c>
      <c r="U199" s="166">
        <f t="shared" si="86"/>
        <v>0</v>
      </c>
      <c r="V199" s="166">
        <f t="shared" si="86"/>
        <v>0</v>
      </c>
      <c r="W199" s="166">
        <f t="shared" si="86"/>
        <v>0</v>
      </c>
      <c r="X199" s="166">
        <f t="shared" si="86"/>
        <v>0</v>
      </c>
      <c r="Y199" s="166">
        <f t="shared" si="86"/>
        <v>0</v>
      </c>
      <c r="Z199" s="166">
        <f t="shared" si="87"/>
        <v>0</v>
      </c>
      <c r="AA199" s="166">
        <f t="shared" si="87"/>
        <v>0</v>
      </c>
      <c r="AB199" s="166">
        <f t="shared" si="87"/>
        <v>0</v>
      </c>
      <c r="AC199" s="166">
        <f t="shared" si="87"/>
        <v>0.16308563705021129</v>
      </c>
      <c r="AD199" s="166">
        <f t="shared" si="87"/>
        <v>0.3233122372192006</v>
      </c>
      <c r="AE199" s="166">
        <f t="shared" si="87"/>
        <v>0.49074552938303162</v>
      </c>
      <c r="AF199" s="166">
        <f t="shared" si="87"/>
        <v>0.66375415389826964</v>
      </c>
      <c r="AG199" s="166">
        <f t="shared" si="87"/>
        <v>0.84173862784603271</v>
      </c>
      <c r="AH199" s="166">
        <f t="shared" si="87"/>
        <v>1.0229957855550831</v>
      </c>
      <c r="AI199" s="166">
        <f t="shared" si="87"/>
        <v>1.2069470977905539</v>
      </c>
      <c r="AJ199" s="166">
        <f t="shared" si="87"/>
        <v>1.3910050422545865</v>
      </c>
      <c r="AK199" s="166">
        <f t="shared" si="87"/>
        <v>1.5778929779223649</v>
      </c>
      <c r="AL199" s="166">
        <f t="shared" si="87"/>
        <v>1.7700045192017828</v>
      </c>
      <c r="AM199" s="166">
        <f t="shared" si="87"/>
        <v>1.7700045192017828</v>
      </c>
      <c r="AN199" s="166">
        <f t="shared" si="88"/>
        <v>1.7700045192017828</v>
      </c>
      <c r="AO199" s="166">
        <f t="shared" si="88"/>
        <v>1.7700045192017828</v>
      </c>
      <c r="AP199" s="166">
        <f t="shared" si="88"/>
        <v>1.7700045192017828</v>
      </c>
      <c r="AQ199" s="166">
        <f t="shared" si="88"/>
        <v>1.7700045192017828</v>
      </c>
      <c r="AR199" s="166">
        <f t="shared" si="88"/>
        <v>1.7700045192017828</v>
      </c>
      <c r="AS199" s="166">
        <f t="shared" si="88"/>
        <v>1.7700045192017828</v>
      </c>
      <c r="AT199" s="166">
        <f t="shared" si="88"/>
        <v>1.7700045192017828</v>
      </c>
      <c r="AU199" s="166">
        <f t="shared" si="88"/>
        <v>1.7700045192017828</v>
      </c>
      <c r="AV199" s="166">
        <f t="shared" si="88"/>
        <v>1.7700045192017828</v>
      </c>
    </row>
    <row r="200" spans="1:48">
      <c r="A200" s="194" t="s">
        <v>16</v>
      </c>
      <c r="B200" s="92" t="str">
        <f t="shared" si="85"/>
        <v>CNL</v>
      </c>
      <c r="C200" s="92" t="str">
        <f t="shared" si="85"/>
        <v>Commercial - Lighting</v>
      </c>
      <c r="E200" s="111"/>
      <c r="F200" s="111"/>
      <c r="I200" s="164"/>
      <c r="J200" s="166">
        <f t="shared" si="86"/>
        <v>0</v>
      </c>
      <c r="K200" s="166">
        <f t="shared" si="86"/>
        <v>0</v>
      </c>
      <c r="L200" s="166">
        <f t="shared" si="86"/>
        <v>0</v>
      </c>
      <c r="M200" s="166">
        <f t="shared" si="86"/>
        <v>0</v>
      </c>
      <c r="N200" s="166">
        <f t="shared" si="86"/>
        <v>0</v>
      </c>
      <c r="O200" s="166">
        <f t="shared" si="86"/>
        <v>0</v>
      </c>
      <c r="P200" s="166">
        <f t="shared" si="86"/>
        <v>0</v>
      </c>
      <c r="Q200" s="166">
        <f t="shared" si="86"/>
        <v>0</v>
      </c>
      <c r="R200" s="166">
        <f t="shared" si="86"/>
        <v>0</v>
      </c>
      <c r="S200" s="166">
        <f t="shared" si="86"/>
        <v>0</v>
      </c>
      <c r="T200" s="166">
        <f t="shared" si="86"/>
        <v>0</v>
      </c>
      <c r="U200" s="166">
        <f t="shared" si="86"/>
        <v>0</v>
      </c>
      <c r="V200" s="166">
        <f t="shared" si="86"/>
        <v>0</v>
      </c>
      <c r="W200" s="166">
        <f t="shared" si="86"/>
        <v>0</v>
      </c>
      <c r="X200" s="166">
        <f t="shared" si="86"/>
        <v>0</v>
      </c>
      <c r="Y200" s="166">
        <f t="shared" si="86"/>
        <v>0</v>
      </c>
      <c r="Z200" s="166">
        <f t="shared" si="87"/>
        <v>0</v>
      </c>
      <c r="AA200" s="166">
        <f t="shared" si="87"/>
        <v>0</v>
      </c>
      <c r="AB200" s="166">
        <f t="shared" si="87"/>
        <v>0</v>
      </c>
      <c r="AC200" s="166">
        <f t="shared" si="87"/>
        <v>1.9896800738311233</v>
      </c>
      <c r="AD200" s="166">
        <f t="shared" si="87"/>
        <v>3.9444792788389282</v>
      </c>
      <c r="AE200" s="166">
        <f t="shared" si="87"/>
        <v>5.987201686157678</v>
      </c>
      <c r="AF200" s="166">
        <f t="shared" si="87"/>
        <v>8.0979443550103412</v>
      </c>
      <c r="AG200" s="166">
        <f t="shared" si="87"/>
        <v>10.269393464021379</v>
      </c>
      <c r="AH200" s="166">
        <f t="shared" si="87"/>
        <v>12.480770023331299</v>
      </c>
      <c r="AI200" s="166">
        <f t="shared" si="87"/>
        <v>14.725015851045223</v>
      </c>
      <c r="AJ200" s="166">
        <f t="shared" si="87"/>
        <v>16.970562615029404</v>
      </c>
      <c r="AK200" s="166">
        <f t="shared" si="87"/>
        <v>19.250635884284417</v>
      </c>
      <c r="AL200" s="166">
        <f t="shared" si="87"/>
        <v>21.594438272712761</v>
      </c>
      <c r="AM200" s="166">
        <f t="shared" si="87"/>
        <v>21.594438272712761</v>
      </c>
      <c r="AN200" s="166">
        <f t="shared" si="88"/>
        <v>21.594438272712761</v>
      </c>
      <c r="AO200" s="166">
        <f t="shared" si="88"/>
        <v>21.594438272712761</v>
      </c>
      <c r="AP200" s="166">
        <f t="shared" si="88"/>
        <v>21.594438272712761</v>
      </c>
      <c r="AQ200" s="166">
        <f t="shared" si="88"/>
        <v>21.594438272712761</v>
      </c>
      <c r="AR200" s="166">
        <f t="shared" si="88"/>
        <v>21.594438272712761</v>
      </c>
      <c r="AS200" s="166">
        <f t="shared" si="88"/>
        <v>21.594438272712761</v>
      </c>
      <c r="AT200" s="166">
        <f t="shared" si="88"/>
        <v>21.594438272712761</v>
      </c>
      <c r="AU200" s="166">
        <f t="shared" si="88"/>
        <v>21.594438272712761</v>
      </c>
      <c r="AV200" s="166">
        <f t="shared" si="88"/>
        <v>21.594438272712761</v>
      </c>
    </row>
    <row r="201" spans="1:48">
      <c r="A201" s="194" t="s">
        <v>16</v>
      </c>
      <c r="B201" s="92" t="str">
        <f t="shared" si="85"/>
        <v>CNR</v>
      </c>
      <c r="C201" s="92" t="str">
        <f t="shared" si="85"/>
        <v>Commercial - Refrigeration</v>
      </c>
      <c r="E201" s="111"/>
      <c r="F201" s="111"/>
      <c r="I201" s="164"/>
      <c r="J201" s="166">
        <f t="shared" si="86"/>
        <v>0</v>
      </c>
      <c r="K201" s="166">
        <f t="shared" si="86"/>
        <v>0</v>
      </c>
      <c r="L201" s="166">
        <f t="shared" si="86"/>
        <v>0</v>
      </c>
      <c r="M201" s="166">
        <f t="shared" si="86"/>
        <v>0</v>
      </c>
      <c r="N201" s="166">
        <f t="shared" si="86"/>
        <v>0</v>
      </c>
      <c r="O201" s="166">
        <f t="shared" si="86"/>
        <v>0</v>
      </c>
      <c r="P201" s="166">
        <f t="shared" si="86"/>
        <v>0</v>
      </c>
      <c r="Q201" s="166">
        <f t="shared" si="86"/>
        <v>0</v>
      </c>
      <c r="R201" s="166">
        <f t="shared" si="86"/>
        <v>0</v>
      </c>
      <c r="S201" s="166">
        <f t="shared" si="86"/>
        <v>0</v>
      </c>
      <c r="T201" s="166">
        <f t="shared" si="86"/>
        <v>0</v>
      </c>
      <c r="U201" s="166">
        <f t="shared" si="86"/>
        <v>0</v>
      </c>
      <c r="V201" s="166">
        <f t="shared" si="86"/>
        <v>0</v>
      </c>
      <c r="W201" s="166">
        <f t="shared" si="86"/>
        <v>0</v>
      </c>
      <c r="X201" s="166">
        <f t="shared" si="86"/>
        <v>0</v>
      </c>
      <c r="Y201" s="166">
        <f t="shared" si="86"/>
        <v>0</v>
      </c>
      <c r="Z201" s="166">
        <f t="shared" si="87"/>
        <v>0</v>
      </c>
      <c r="AA201" s="166">
        <f t="shared" si="87"/>
        <v>0</v>
      </c>
      <c r="AB201" s="166">
        <f t="shared" si="87"/>
        <v>0</v>
      </c>
      <c r="AC201" s="166">
        <f t="shared" si="87"/>
        <v>0.4840178227296143</v>
      </c>
      <c r="AD201" s="166">
        <f t="shared" si="87"/>
        <v>0.95955038071499665</v>
      </c>
      <c r="AE201" s="166">
        <f t="shared" si="87"/>
        <v>1.4564715013691585</v>
      </c>
      <c r="AF201" s="166">
        <f t="shared" si="87"/>
        <v>1.969939512813532</v>
      </c>
      <c r="AG201" s="166">
        <f t="shared" si="87"/>
        <v>2.4981752245417739</v>
      </c>
      <c r="AH201" s="166">
        <f t="shared" si="87"/>
        <v>3.0361238533439634</v>
      </c>
      <c r="AI201" s="166">
        <f t="shared" si="87"/>
        <v>3.5820683966335456</v>
      </c>
      <c r="AJ201" s="166">
        <f t="shared" si="87"/>
        <v>4.128329411073099</v>
      </c>
      <c r="AK201" s="166">
        <f t="shared" si="87"/>
        <v>4.6829894863101362</v>
      </c>
      <c r="AL201" s="166">
        <f t="shared" si="87"/>
        <v>5.2531525712583571</v>
      </c>
      <c r="AM201" s="166">
        <f t="shared" si="87"/>
        <v>5.2531525712583571</v>
      </c>
      <c r="AN201" s="166">
        <f t="shared" si="88"/>
        <v>5.2531525712583571</v>
      </c>
      <c r="AO201" s="166">
        <f t="shared" si="88"/>
        <v>5.2531525712583571</v>
      </c>
      <c r="AP201" s="166">
        <f t="shared" si="88"/>
        <v>5.2531525712583571</v>
      </c>
      <c r="AQ201" s="166">
        <f t="shared" si="88"/>
        <v>5.2531525712583571</v>
      </c>
      <c r="AR201" s="166">
        <f t="shared" si="88"/>
        <v>5.2531525712583571</v>
      </c>
      <c r="AS201" s="166">
        <f t="shared" si="88"/>
        <v>5.2531525712583571</v>
      </c>
      <c r="AT201" s="166">
        <f t="shared" si="88"/>
        <v>5.2531525712583571</v>
      </c>
      <c r="AU201" s="166">
        <f t="shared" si="88"/>
        <v>5.2531525712583571</v>
      </c>
      <c r="AV201" s="166">
        <f t="shared" si="88"/>
        <v>5.2531525712583571</v>
      </c>
    </row>
    <row r="202" spans="1:48">
      <c r="A202" s="194" t="s">
        <v>16</v>
      </c>
      <c r="B202" s="92" t="str">
        <f t="shared" si="85"/>
        <v>CNW</v>
      </c>
      <c r="C202" s="92" t="str">
        <f t="shared" si="85"/>
        <v>Commercial - Water Heating</v>
      </c>
      <c r="E202" s="111"/>
      <c r="F202" s="111"/>
      <c r="I202" s="164"/>
      <c r="J202" s="166">
        <f t="shared" si="86"/>
        <v>0</v>
      </c>
      <c r="K202" s="166">
        <f t="shared" si="86"/>
        <v>0</v>
      </c>
      <c r="L202" s="166">
        <f t="shared" si="86"/>
        <v>0</v>
      </c>
      <c r="M202" s="166">
        <f t="shared" si="86"/>
        <v>0</v>
      </c>
      <c r="N202" s="166">
        <f t="shared" si="86"/>
        <v>0</v>
      </c>
      <c r="O202" s="166">
        <f t="shared" si="86"/>
        <v>0</v>
      </c>
      <c r="P202" s="166">
        <f t="shared" si="86"/>
        <v>0</v>
      </c>
      <c r="Q202" s="166">
        <f t="shared" si="86"/>
        <v>0</v>
      </c>
      <c r="R202" s="166">
        <f t="shared" si="86"/>
        <v>0</v>
      </c>
      <c r="S202" s="166">
        <f t="shared" si="86"/>
        <v>0</v>
      </c>
      <c r="T202" s="166">
        <f t="shared" si="86"/>
        <v>0</v>
      </c>
      <c r="U202" s="166">
        <f t="shared" si="86"/>
        <v>0</v>
      </c>
      <c r="V202" s="166">
        <f t="shared" si="86"/>
        <v>0</v>
      </c>
      <c r="W202" s="166">
        <f t="shared" si="86"/>
        <v>0</v>
      </c>
      <c r="X202" s="166">
        <f t="shared" si="86"/>
        <v>0</v>
      </c>
      <c r="Y202" s="166">
        <f t="shared" si="86"/>
        <v>0</v>
      </c>
      <c r="Z202" s="166">
        <f t="shared" si="87"/>
        <v>0</v>
      </c>
      <c r="AA202" s="166">
        <f t="shared" si="87"/>
        <v>0</v>
      </c>
      <c r="AB202" s="166">
        <f t="shared" si="87"/>
        <v>0</v>
      </c>
      <c r="AC202" s="166">
        <f t="shared" si="87"/>
        <v>0.25231354086876695</v>
      </c>
      <c r="AD202" s="166">
        <f t="shared" si="87"/>
        <v>0.50020380000639397</v>
      </c>
      <c r="AE202" s="166">
        <f t="shared" si="87"/>
        <v>0.7592436981193359</v>
      </c>
      <c r="AF202" s="166">
        <f t="shared" si="87"/>
        <v>1.0269093211737734</v>
      </c>
      <c r="AG202" s="166">
        <f t="shared" si="87"/>
        <v>1.3022731953547872</v>
      </c>
      <c r="AH202" s="166">
        <f t="shared" si="87"/>
        <v>1.5827003138710447</v>
      </c>
      <c r="AI202" s="166">
        <f t="shared" si="87"/>
        <v>1.8672956208342075</v>
      </c>
      <c r="AJ202" s="166">
        <f t="shared" si="87"/>
        <v>2.1520559009712543</v>
      </c>
      <c r="AK202" s="166">
        <f t="shared" si="87"/>
        <v>2.4411945256036214</v>
      </c>
      <c r="AL202" s="166">
        <f t="shared" si="87"/>
        <v>2.738414710646909</v>
      </c>
      <c r="AM202" s="166">
        <f t="shared" si="87"/>
        <v>2.738414710646909</v>
      </c>
      <c r="AN202" s="166">
        <f t="shared" si="88"/>
        <v>2.738414710646909</v>
      </c>
      <c r="AO202" s="166">
        <f t="shared" si="88"/>
        <v>2.738414710646909</v>
      </c>
      <c r="AP202" s="166">
        <f t="shared" si="88"/>
        <v>2.738414710646909</v>
      </c>
      <c r="AQ202" s="166">
        <f t="shared" si="88"/>
        <v>2.738414710646909</v>
      </c>
      <c r="AR202" s="166">
        <f t="shared" si="88"/>
        <v>2.738414710646909</v>
      </c>
      <c r="AS202" s="166">
        <f t="shared" si="88"/>
        <v>2.738414710646909</v>
      </c>
      <c r="AT202" s="166">
        <f t="shared" si="88"/>
        <v>2.738414710646909</v>
      </c>
      <c r="AU202" s="166">
        <f t="shared" si="88"/>
        <v>2.738414710646909</v>
      </c>
      <c r="AV202" s="166">
        <f t="shared" si="88"/>
        <v>2.738414710646909</v>
      </c>
    </row>
    <row r="203" spans="1:48">
      <c r="A203" s="194" t="s">
        <v>16</v>
      </c>
      <c r="B203" s="92" t="str">
        <f t="shared" si="85"/>
        <v>CNG</v>
      </c>
      <c r="C203" s="92" t="str">
        <f t="shared" si="85"/>
        <v>Commercial - Public lights</v>
      </c>
      <c r="E203" s="111"/>
      <c r="F203" s="111"/>
      <c r="I203" s="164"/>
      <c r="J203" s="166">
        <f t="shared" si="86"/>
        <v>0</v>
      </c>
      <c r="K203" s="166">
        <f t="shared" si="86"/>
        <v>0</v>
      </c>
      <c r="L203" s="166">
        <f t="shared" si="86"/>
        <v>0</v>
      </c>
      <c r="M203" s="166">
        <f t="shared" si="86"/>
        <v>0</v>
      </c>
      <c r="N203" s="166">
        <f t="shared" si="86"/>
        <v>0</v>
      </c>
      <c r="O203" s="166">
        <f t="shared" si="86"/>
        <v>0</v>
      </c>
      <c r="P203" s="166">
        <f t="shared" si="86"/>
        <v>0</v>
      </c>
      <c r="Q203" s="166">
        <f t="shared" si="86"/>
        <v>0</v>
      </c>
      <c r="R203" s="166">
        <f t="shared" si="86"/>
        <v>0</v>
      </c>
      <c r="S203" s="166">
        <f t="shared" si="86"/>
        <v>0</v>
      </c>
      <c r="T203" s="166">
        <f t="shared" si="86"/>
        <v>0</v>
      </c>
      <c r="U203" s="166">
        <f t="shared" si="86"/>
        <v>0</v>
      </c>
      <c r="V203" s="166">
        <f t="shared" si="86"/>
        <v>0</v>
      </c>
      <c r="W203" s="166">
        <f t="shared" si="86"/>
        <v>0</v>
      </c>
      <c r="X203" s="166">
        <f t="shared" si="86"/>
        <v>0</v>
      </c>
      <c r="Y203" s="166">
        <f t="shared" si="86"/>
        <v>0</v>
      </c>
      <c r="Z203" s="166">
        <f t="shared" si="87"/>
        <v>0</v>
      </c>
      <c r="AA203" s="166">
        <f t="shared" si="87"/>
        <v>0</v>
      </c>
      <c r="AB203" s="166">
        <f t="shared" si="87"/>
        <v>0</v>
      </c>
      <c r="AC203" s="166">
        <f t="shared" si="87"/>
        <v>0</v>
      </c>
      <c r="AD203" s="166">
        <f t="shared" si="87"/>
        <v>0</v>
      </c>
      <c r="AE203" s="166">
        <f t="shared" si="87"/>
        <v>0</v>
      </c>
      <c r="AF203" s="166">
        <f t="shared" si="87"/>
        <v>0</v>
      </c>
      <c r="AG203" s="166">
        <f t="shared" si="87"/>
        <v>0</v>
      </c>
      <c r="AH203" s="166">
        <f t="shared" si="87"/>
        <v>0</v>
      </c>
      <c r="AI203" s="166">
        <f t="shared" si="87"/>
        <v>0</v>
      </c>
      <c r="AJ203" s="166">
        <f t="shared" si="87"/>
        <v>0</v>
      </c>
      <c r="AK203" s="166">
        <f t="shared" si="87"/>
        <v>0</v>
      </c>
      <c r="AL203" s="166">
        <f t="shared" si="87"/>
        <v>0</v>
      </c>
      <c r="AM203" s="166">
        <f t="shared" si="87"/>
        <v>0</v>
      </c>
      <c r="AN203" s="166">
        <f t="shared" si="88"/>
        <v>0</v>
      </c>
      <c r="AO203" s="166">
        <f t="shared" si="88"/>
        <v>0</v>
      </c>
      <c r="AP203" s="166">
        <f t="shared" si="88"/>
        <v>0</v>
      </c>
      <c r="AQ203" s="166">
        <f t="shared" si="88"/>
        <v>0</v>
      </c>
      <c r="AR203" s="166">
        <f t="shared" si="88"/>
        <v>0</v>
      </c>
      <c r="AS203" s="166">
        <f t="shared" si="88"/>
        <v>0</v>
      </c>
      <c r="AT203" s="166">
        <f t="shared" si="88"/>
        <v>0</v>
      </c>
      <c r="AU203" s="166">
        <f t="shared" si="88"/>
        <v>0</v>
      </c>
      <c r="AV203" s="166">
        <f t="shared" si="88"/>
        <v>0</v>
      </c>
    </row>
    <row r="204" spans="1:48">
      <c r="A204" s="194" t="s">
        <v>16</v>
      </c>
      <c r="B204" s="92" t="str">
        <f t="shared" si="85"/>
        <v>CNT</v>
      </c>
      <c r="C204" s="92" t="str">
        <f t="shared" si="85"/>
        <v>Commercial - Public Water</v>
      </c>
      <c r="E204" s="111"/>
      <c r="F204" s="111"/>
      <c r="I204" s="164"/>
      <c r="J204" s="166">
        <f t="shared" si="86"/>
        <v>0</v>
      </c>
      <c r="K204" s="166">
        <f t="shared" si="86"/>
        <v>0</v>
      </c>
      <c r="L204" s="166">
        <f t="shared" si="86"/>
        <v>0</v>
      </c>
      <c r="M204" s="166">
        <f t="shared" si="86"/>
        <v>0</v>
      </c>
      <c r="N204" s="166">
        <f t="shared" si="86"/>
        <v>0</v>
      </c>
      <c r="O204" s="166">
        <f t="shared" si="86"/>
        <v>0</v>
      </c>
      <c r="P204" s="166">
        <f t="shared" si="86"/>
        <v>0</v>
      </c>
      <c r="Q204" s="166">
        <f t="shared" si="86"/>
        <v>0</v>
      </c>
      <c r="R204" s="166">
        <f t="shared" si="86"/>
        <v>0</v>
      </c>
      <c r="S204" s="166">
        <f t="shared" si="86"/>
        <v>0</v>
      </c>
      <c r="T204" s="166">
        <f t="shared" si="86"/>
        <v>0</v>
      </c>
      <c r="U204" s="166">
        <f t="shared" si="86"/>
        <v>0</v>
      </c>
      <c r="V204" s="166">
        <f t="shared" si="86"/>
        <v>0</v>
      </c>
      <c r="W204" s="166">
        <f t="shared" si="86"/>
        <v>0</v>
      </c>
      <c r="X204" s="166">
        <f t="shared" si="86"/>
        <v>0</v>
      </c>
      <c r="Y204" s="166">
        <f t="shared" si="86"/>
        <v>0</v>
      </c>
      <c r="Z204" s="166">
        <f t="shared" si="87"/>
        <v>0</v>
      </c>
      <c r="AA204" s="166">
        <f t="shared" si="87"/>
        <v>0</v>
      </c>
      <c r="AB204" s="166">
        <f t="shared" si="87"/>
        <v>0</v>
      </c>
      <c r="AC204" s="166">
        <f t="shared" si="87"/>
        <v>0</v>
      </c>
      <c r="AD204" s="166">
        <f t="shared" si="87"/>
        <v>0</v>
      </c>
      <c r="AE204" s="166">
        <f t="shared" si="87"/>
        <v>0</v>
      </c>
      <c r="AF204" s="166">
        <f t="shared" si="87"/>
        <v>0</v>
      </c>
      <c r="AG204" s="166">
        <f t="shared" si="87"/>
        <v>0</v>
      </c>
      <c r="AH204" s="166">
        <f t="shared" si="87"/>
        <v>0</v>
      </c>
      <c r="AI204" s="166">
        <f t="shared" si="87"/>
        <v>0</v>
      </c>
      <c r="AJ204" s="166">
        <f t="shared" si="87"/>
        <v>0</v>
      </c>
      <c r="AK204" s="166">
        <f t="shared" si="87"/>
        <v>0</v>
      </c>
      <c r="AL204" s="166">
        <f t="shared" si="87"/>
        <v>0</v>
      </c>
      <c r="AM204" s="166">
        <f t="shared" si="87"/>
        <v>0</v>
      </c>
      <c r="AN204" s="166">
        <f t="shared" si="88"/>
        <v>0</v>
      </c>
      <c r="AO204" s="166">
        <f t="shared" si="88"/>
        <v>0</v>
      </c>
      <c r="AP204" s="166">
        <f t="shared" si="88"/>
        <v>0</v>
      </c>
      <c r="AQ204" s="166">
        <f t="shared" si="88"/>
        <v>0</v>
      </c>
      <c r="AR204" s="166">
        <f t="shared" si="88"/>
        <v>0</v>
      </c>
      <c r="AS204" s="166">
        <f t="shared" si="88"/>
        <v>0</v>
      </c>
      <c r="AT204" s="166">
        <f t="shared" si="88"/>
        <v>0</v>
      </c>
      <c r="AU204" s="166">
        <f t="shared" si="88"/>
        <v>0</v>
      </c>
      <c r="AV204" s="166">
        <f t="shared" si="88"/>
        <v>0</v>
      </c>
    </row>
    <row r="205" spans="1:48">
      <c r="A205" s="194" t="s">
        <v>16</v>
      </c>
      <c r="B205" s="92" t="str">
        <f t="shared" si="85"/>
        <v>CNO</v>
      </c>
      <c r="C205" s="92" t="str">
        <f t="shared" si="85"/>
        <v>Commercial - Other</v>
      </c>
      <c r="E205" s="111"/>
      <c r="F205" s="111"/>
      <c r="I205" s="164"/>
      <c r="J205" s="166">
        <f t="shared" si="86"/>
        <v>0</v>
      </c>
      <c r="K205" s="166">
        <f t="shared" si="86"/>
        <v>0</v>
      </c>
      <c r="L205" s="166">
        <f t="shared" si="86"/>
        <v>0</v>
      </c>
      <c r="M205" s="166">
        <f t="shared" si="86"/>
        <v>0</v>
      </c>
      <c r="N205" s="166">
        <f t="shared" si="86"/>
        <v>0</v>
      </c>
      <c r="O205" s="166">
        <f t="shared" si="86"/>
        <v>0</v>
      </c>
      <c r="P205" s="166">
        <f t="shared" si="86"/>
        <v>0</v>
      </c>
      <c r="Q205" s="166">
        <f t="shared" si="86"/>
        <v>0</v>
      </c>
      <c r="R205" s="166">
        <f t="shared" si="86"/>
        <v>0</v>
      </c>
      <c r="S205" s="166">
        <f t="shared" si="86"/>
        <v>0</v>
      </c>
      <c r="T205" s="166">
        <f t="shared" si="86"/>
        <v>0</v>
      </c>
      <c r="U205" s="166">
        <f t="shared" si="86"/>
        <v>0</v>
      </c>
      <c r="V205" s="166">
        <f t="shared" si="86"/>
        <v>0</v>
      </c>
      <c r="W205" s="166">
        <f t="shared" si="86"/>
        <v>0</v>
      </c>
      <c r="X205" s="166">
        <f t="shared" si="86"/>
        <v>0</v>
      </c>
      <c r="Y205" s="166">
        <f t="shared" si="86"/>
        <v>0</v>
      </c>
      <c r="Z205" s="166">
        <f t="shared" si="87"/>
        <v>0</v>
      </c>
      <c r="AA205" s="166">
        <f t="shared" si="87"/>
        <v>0</v>
      </c>
      <c r="AB205" s="166">
        <f t="shared" si="87"/>
        <v>0</v>
      </c>
      <c r="AC205" s="166">
        <f t="shared" si="87"/>
        <v>0.32312668064884442</v>
      </c>
      <c r="AD205" s="166">
        <f t="shared" si="87"/>
        <v>0.64058866197780051</v>
      </c>
      <c r="AE205" s="166">
        <f t="shared" si="87"/>
        <v>0.97232948787499296</v>
      </c>
      <c r="AF205" s="166">
        <f t="shared" si="87"/>
        <v>1.3151168943835094</v>
      </c>
      <c r="AG205" s="166">
        <f t="shared" si="87"/>
        <v>1.6677631072199259</v>
      </c>
      <c r="AH205" s="166">
        <f t="shared" si="87"/>
        <v>2.0268935908954262</v>
      </c>
      <c r="AI205" s="166">
        <f t="shared" si="87"/>
        <v>2.3913620873170123</v>
      </c>
      <c r="AJ205" s="166">
        <f t="shared" si="87"/>
        <v>2.7560418575128449</v>
      </c>
      <c r="AK205" s="166">
        <f t="shared" si="87"/>
        <v>3.1263287779180522</v>
      </c>
      <c r="AL205" s="166">
        <f t="shared" si="87"/>
        <v>3.5069653917287433</v>
      </c>
      <c r="AM205" s="166">
        <f t="shared" si="87"/>
        <v>3.5069653917287433</v>
      </c>
      <c r="AN205" s="166">
        <f t="shared" si="88"/>
        <v>3.5069653917287433</v>
      </c>
      <c r="AO205" s="166">
        <f t="shared" si="88"/>
        <v>3.5069653917287433</v>
      </c>
      <c r="AP205" s="166">
        <f t="shared" si="88"/>
        <v>3.5069653917287433</v>
      </c>
      <c r="AQ205" s="166">
        <f t="shared" si="88"/>
        <v>3.5069653917287433</v>
      </c>
      <c r="AR205" s="166">
        <f t="shared" si="88"/>
        <v>3.5069653917287433</v>
      </c>
      <c r="AS205" s="166">
        <f t="shared" si="88"/>
        <v>3.5069653917287433</v>
      </c>
      <c r="AT205" s="166">
        <f t="shared" si="88"/>
        <v>3.5069653917287433</v>
      </c>
      <c r="AU205" s="166">
        <f t="shared" si="88"/>
        <v>3.5069653917287433</v>
      </c>
      <c r="AV205" s="166">
        <f t="shared" si="88"/>
        <v>3.5069653917287433</v>
      </c>
    </row>
    <row r="206" spans="1:48">
      <c r="A206" s="194" t="s">
        <v>16</v>
      </c>
      <c r="E206" s="111"/>
      <c r="F206" s="111"/>
      <c r="I206" s="164"/>
      <c r="J206" s="166"/>
      <c r="K206" s="166"/>
      <c r="L206" s="166"/>
      <c r="M206" s="166"/>
      <c r="N206" s="166"/>
      <c r="O206" s="166"/>
      <c r="P206" s="166"/>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row>
    <row r="207" spans="1:48">
      <c r="A207" s="194" t="s">
        <v>16</v>
      </c>
      <c r="E207" s="111"/>
      <c r="F207" s="111"/>
      <c r="I207" s="164" t="s">
        <v>232</v>
      </c>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row>
    <row r="208" spans="1:48">
      <c r="A208" s="194" t="s">
        <v>16</v>
      </c>
      <c r="B208" s="92" t="str">
        <f t="shared" ref="B208:C216" si="89">B197</f>
        <v>CNC</v>
      </c>
      <c r="C208" s="92" t="str">
        <f t="shared" si="89"/>
        <v>Commercial - Cooling</v>
      </c>
      <c r="E208" s="94"/>
      <c r="F208" s="111"/>
      <c r="I208" s="164"/>
      <c r="J208" s="166">
        <f t="shared" ref="J208:Y216" si="90">INDEX(J$49:J$52,MATCH($I$207,$B$49:$B$52,0),1)*INDEX(J$81:J$89,MATCH($B208,$B$81:$B$89,0))*INDEX(J$138:J$146,MATCH($B208,$B$138:$B$146,0))/1000</f>
        <v>0</v>
      </c>
      <c r="K208" s="166">
        <f t="shared" si="90"/>
        <v>0</v>
      </c>
      <c r="L208" s="166">
        <f t="shared" si="90"/>
        <v>0</v>
      </c>
      <c r="M208" s="166">
        <f t="shared" si="90"/>
        <v>0</v>
      </c>
      <c r="N208" s="166">
        <f t="shared" si="90"/>
        <v>0</v>
      </c>
      <c r="O208" s="166">
        <f t="shared" si="90"/>
        <v>0</v>
      </c>
      <c r="P208" s="166">
        <f t="shared" si="90"/>
        <v>0</v>
      </c>
      <c r="Q208" s="166">
        <f t="shared" si="90"/>
        <v>0</v>
      </c>
      <c r="R208" s="166">
        <f t="shared" si="90"/>
        <v>0</v>
      </c>
      <c r="S208" s="166">
        <f t="shared" si="90"/>
        <v>0</v>
      </c>
      <c r="T208" s="166">
        <f t="shared" si="90"/>
        <v>0</v>
      </c>
      <c r="U208" s="166">
        <f t="shared" si="90"/>
        <v>0</v>
      </c>
      <c r="V208" s="166">
        <f t="shared" si="90"/>
        <v>0</v>
      </c>
      <c r="W208" s="166">
        <f t="shared" si="90"/>
        <v>0</v>
      </c>
      <c r="X208" s="166">
        <f t="shared" si="90"/>
        <v>0</v>
      </c>
      <c r="Y208" s="166">
        <f t="shared" si="90"/>
        <v>0</v>
      </c>
      <c r="Z208" s="166">
        <f t="shared" ref="Z208:AO216" si="91">INDEX(Z$49:Z$52,MATCH($I$207,$B$49:$B$52,0),1)*INDEX(Z$81:Z$89,MATCH($B208,$B$81:$B$89,0))*INDEX(Z$138:Z$146,MATCH($B208,$B$138:$B$146,0))/1000</f>
        <v>0</v>
      </c>
      <c r="AA208" s="166">
        <f t="shared" si="91"/>
        <v>0</v>
      </c>
      <c r="AB208" s="166">
        <f t="shared" si="91"/>
        <v>0</v>
      </c>
      <c r="AC208" s="166">
        <f t="shared" si="91"/>
        <v>0</v>
      </c>
      <c r="AD208" s="166">
        <f t="shared" si="91"/>
        <v>0</v>
      </c>
      <c r="AE208" s="166">
        <f t="shared" si="91"/>
        <v>0</v>
      </c>
      <c r="AF208" s="166">
        <f t="shared" si="91"/>
        <v>0</v>
      </c>
      <c r="AG208" s="166">
        <f t="shared" si="91"/>
        <v>0</v>
      </c>
      <c r="AH208" s="166">
        <f t="shared" si="91"/>
        <v>0</v>
      </c>
      <c r="AI208" s="166">
        <f t="shared" si="91"/>
        <v>0</v>
      </c>
      <c r="AJ208" s="166">
        <f t="shared" si="91"/>
        <v>0</v>
      </c>
      <c r="AK208" s="166">
        <f t="shared" si="91"/>
        <v>0</v>
      </c>
      <c r="AL208" s="166">
        <f t="shared" si="91"/>
        <v>0</v>
      </c>
      <c r="AM208" s="166">
        <f t="shared" si="91"/>
        <v>2.8377992551634539</v>
      </c>
      <c r="AN208" s="166">
        <f t="shared" si="91"/>
        <v>5.6389029958893779</v>
      </c>
      <c r="AO208" s="166">
        <f t="shared" si="91"/>
        <v>8.4052222177922875</v>
      </c>
      <c r="AP208" s="166">
        <f t="shared" ref="AN208:AV216" si="92">INDEX(AP$49:AP$52,MATCH($I$207,$B$49:$B$52,0),1)*INDEX(AP$81:AP$89,MATCH($B208,$B$81:$B$89,0))*INDEX(AP$138:AP$146,MATCH($B208,$B$138:$B$146,0))/1000</f>
        <v>11.138509763127002</v>
      </c>
      <c r="AQ208" s="166">
        <f t="shared" si="92"/>
        <v>13.840377957772807</v>
      </c>
      <c r="AR208" s="166">
        <f t="shared" si="92"/>
        <v>16.948825232199447</v>
      </c>
      <c r="AS208" s="166">
        <f t="shared" si="92"/>
        <v>20.012901009379924</v>
      </c>
      <c r="AT208" s="166">
        <f t="shared" si="92"/>
        <v>23.035046885107452</v>
      </c>
      <c r="AU208" s="166">
        <f t="shared" si="92"/>
        <v>26.017491337174022</v>
      </c>
      <c r="AV208" s="166">
        <f t="shared" si="92"/>
        <v>29.104447128774524</v>
      </c>
    </row>
    <row r="209" spans="1:48">
      <c r="A209" s="194" t="s">
        <v>16</v>
      </c>
      <c r="B209" s="92" t="str">
        <f t="shared" si="89"/>
        <v>CNH</v>
      </c>
      <c r="C209" s="92" t="str">
        <f t="shared" si="89"/>
        <v>Commercial - Space Heating</v>
      </c>
      <c r="E209" s="111"/>
      <c r="F209" s="111"/>
      <c r="I209" s="164"/>
      <c r="J209" s="166">
        <f t="shared" si="90"/>
        <v>0</v>
      </c>
      <c r="K209" s="166">
        <f t="shared" si="90"/>
        <v>0</v>
      </c>
      <c r="L209" s="166">
        <f t="shared" si="90"/>
        <v>0</v>
      </c>
      <c r="M209" s="166">
        <f t="shared" si="90"/>
        <v>0</v>
      </c>
      <c r="N209" s="166">
        <f t="shared" si="90"/>
        <v>0</v>
      </c>
      <c r="O209" s="166">
        <f t="shared" si="90"/>
        <v>0</v>
      </c>
      <c r="P209" s="166">
        <f t="shared" si="90"/>
        <v>0</v>
      </c>
      <c r="Q209" s="166">
        <f t="shared" si="90"/>
        <v>0</v>
      </c>
      <c r="R209" s="166">
        <f t="shared" si="90"/>
        <v>0</v>
      </c>
      <c r="S209" s="166">
        <f t="shared" si="90"/>
        <v>0</v>
      </c>
      <c r="T209" s="166">
        <f t="shared" si="90"/>
        <v>0</v>
      </c>
      <c r="U209" s="166">
        <f t="shared" si="90"/>
        <v>0</v>
      </c>
      <c r="V209" s="166">
        <f t="shared" si="90"/>
        <v>0</v>
      </c>
      <c r="W209" s="166">
        <f t="shared" si="90"/>
        <v>0</v>
      </c>
      <c r="X209" s="166">
        <f t="shared" si="90"/>
        <v>0</v>
      </c>
      <c r="Y209" s="166">
        <f t="shared" si="90"/>
        <v>0</v>
      </c>
      <c r="Z209" s="166">
        <f t="shared" si="91"/>
        <v>0</v>
      </c>
      <c r="AA209" s="166">
        <f t="shared" si="91"/>
        <v>0</v>
      </c>
      <c r="AB209" s="166">
        <f t="shared" si="91"/>
        <v>0</v>
      </c>
      <c r="AC209" s="166">
        <f t="shared" si="91"/>
        <v>0</v>
      </c>
      <c r="AD209" s="166">
        <f t="shared" si="91"/>
        <v>0</v>
      </c>
      <c r="AE209" s="166">
        <f t="shared" si="91"/>
        <v>0</v>
      </c>
      <c r="AF209" s="166">
        <f t="shared" si="91"/>
        <v>0</v>
      </c>
      <c r="AG209" s="166">
        <f t="shared" si="91"/>
        <v>0</v>
      </c>
      <c r="AH209" s="166">
        <f t="shared" si="91"/>
        <v>0</v>
      </c>
      <c r="AI209" s="166">
        <f t="shared" si="91"/>
        <v>0</v>
      </c>
      <c r="AJ209" s="166">
        <f t="shared" si="91"/>
        <v>0</v>
      </c>
      <c r="AK209" s="166">
        <f t="shared" si="91"/>
        <v>0</v>
      </c>
      <c r="AL209" s="166">
        <f t="shared" si="91"/>
        <v>0</v>
      </c>
      <c r="AM209" s="166">
        <f t="shared" si="91"/>
        <v>0.27063052346926103</v>
      </c>
      <c r="AN209" s="166">
        <f t="shared" si="92"/>
        <v>0.53776153009879746</v>
      </c>
      <c r="AO209" s="166">
        <f t="shared" si="92"/>
        <v>0.80157526454265327</v>
      </c>
      <c r="AP209" s="166">
        <f t="shared" si="92"/>
        <v>1.0622388889480869</v>
      </c>
      <c r="AQ209" s="166">
        <f t="shared" si="92"/>
        <v>1.3199061649301667</v>
      </c>
      <c r="AR209" s="166">
        <f t="shared" si="92"/>
        <v>1.6163473989336001</v>
      </c>
      <c r="AS209" s="166">
        <f t="shared" si="92"/>
        <v>1.9085570857248784</v>
      </c>
      <c r="AT209" s="166">
        <f t="shared" si="92"/>
        <v>2.196768071354128</v>
      </c>
      <c r="AU209" s="166">
        <f t="shared" si="92"/>
        <v>2.4811928775880974</v>
      </c>
      <c r="AV209" s="166">
        <f t="shared" si="92"/>
        <v>2.7755845475722358</v>
      </c>
    </row>
    <row r="210" spans="1:48">
      <c r="A210" s="194" t="s">
        <v>16</v>
      </c>
      <c r="B210" s="92" t="str">
        <f t="shared" si="89"/>
        <v>CNK</v>
      </c>
      <c r="C210" s="92" t="str">
        <f t="shared" si="89"/>
        <v>Commercial - Cooking</v>
      </c>
      <c r="E210" s="111"/>
      <c r="F210" s="111"/>
      <c r="I210" s="164"/>
      <c r="J210" s="166">
        <f t="shared" si="90"/>
        <v>0</v>
      </c>
      <c r="K210" s="166">
        <f t="shared" si="90"/>
        <v>0</v>
      </c>
      <c r="L210" s="166">
        <f t="shared" si="90"/>
        <v>0</v>
      </c>
      <c r="M210" s="166">
        <f t="shared" si="90"/>
        <v>0</v>
      </c>
      <c r="N210" s="166">
        <f t="shared" si="90"/>
        <v>0</v>
      </c>
      <c r="O210" s="166">
        <f t="shared" si="90"/>
        <v>0</v>
      </c>
      <c r="P210" s="166">
        <f t="shared" si="90"/>
        <v>0</v>
      </c>
      <c r="Q210" s="166">
        <f t="shared" si="90"/>
        <v>0</v>
      </c>
      <c r="R210" s="166">
        <f t="shared" si="90"/>
        <v>0</v>
      </c>
      <c r="S210" s="166">
        <f t="shared" si="90"/>
        <v>0</v>
      </c>
      <c r="T210" s="166">
        <f t="shared" si="90"/>
        <v>0</v>
      </c>
      <c r="U210" s="166">
        <f t="shared" si="90"/>
        <v>0</v>
      </c>
      <c r="V210" s="166">
        <f t="shared" si="90"/>
        <v>0</v>
      </c>
      <c r="W210" s="166">
        <f t="shared" si="90"/>
        <v>0</v>
      </c>
      <c r="X210" s="166">
        <f t="shared" si="90"/>
        <v>0</v>
      </c>
      <c r="Y210" s="166">
        <f t="shared" si="90"/>
        <v>0</v>
      </c>
      <c r="Z210" s="166">
        <f t="shared" si="91"/>
        <v>0</v>
      </c>
      <c r="AA210" s="166">
        <f t="shared" si="91"/>
        <v>0</v>
      </c>
      <c r="AB210" s="166">
        <f t="shared" si="91"/>
        <v>0</v>
      </c>
      <c r="AC210" s="166">
        <f t="shared" si="91"/>
        <v>0</v>
      </c>
      <c r="AD210" s="166">
        <f t="shared" si="91"/>
        <v>0</v>
      </c>
      <c r="AE210" s="166">
        <f t="shared" si="91"/>
        <v>0</v>
      </c>
      <c r="AF210" s="166">
        <f t="shared" si="91"/>
        <v>0</v>
      </c>
      <c r="AG210" s="166">
        <f t="shared" si="91"/>
        <v>0</v>
      </c>
      <c r="AH210" s="166">
        <f t="shared" si="91"/>
        <v>0</v>
      </c>
      <c r="AI210" s="166">
        <f t="shared" si="91"/>
        <v>0</v>
      </c>
      <c r="AJ210" s="166">
        <f t="shared" si="91"/>
        <v>0</v>
      </c>
      <c r="AK210" s="166">
        <f t="shared" si="91"/>
        <v>0</v>
      </c>
      <c r="AL210" s="166">
        <f t="shared" si="91"/>
        <v>0</v>
      </c>
      <c r="AM210" s="166">
        <f t="shared" si="91"/>
        <v>0.20241776970468098</v>
      </c>
      <c r="AN210" s="166">
        <f t="shared" si="92"/>
        <v>0.4022180800605038</v>
      </c>
      <c r="AO210" s="166">
        <f t="shared" si="92"/>
        <v>0.59953724073401737</v>
      </c>
      <c r="AP210" s="166">
        <f t="shared" si="92"/>
        <v>0.79450028044923082</v>
      </c>
      <c r="AQ210" s="166">
        <f t="shared" si="92"/>
        <v>0.9872222050184567</v>
      </c>
      <c r="AR210" s="166">
        <f t="shared" si="92"/>
        <v>1.208945064163331</v>
      </c>
      <c r="AS210" s="166">
        <f t="shared" si="92"/>
        <v>1.4275029427357826</v>
      </c>
      <c r="AT210" s="166">
        <f t="shared" si="92"/>
        <v>1.6430699976547998</v>
      </c>
      <c r="AU210" s="166">
        <f t="shared" si="92"/>
        <v>1.8558051843164241</v>
      </c>
      <c r="AV210" s="166">
        <f t="shared" si="92"/>
        <v>2.0759950745547071</v>
      </c>
    </row>
    <row r="211" spans="1:48">
      <c r="A211" s="194" t="s">
        <v>16</v>
      </c>
      <c r="B211" s="92" t="str">
        <f t="shared" si="89"/>
        <v>CNL</v>
      </c>
      <c r="C211" s="92" t="str">
        <f t="shared" si="89"/>
        <v>Commercial - Lighting</v>
      </c>
      <c r="E211" s="111"/>
      <c r="F211" s="111"/>
      <c r="I211" s="164"/>
      <c r="J211" s="166">
        <f t="shared" si="90"/>
        <v>0</v>
      </c>
      <c r="K211" s="166">
        <f t="shared" si="90"/>
        <v>0</v>
      </c>
      <c r="L211" s="166">
        <f t="shared" si="90"/>
        <v>0</v>
      </c>
      <c r="M211" s="166">
        <f t="shared" si="90"/>
        <v>0</v>
      </c>
      <c r="N211" s="166">
        <f t="shared" si="90"/>
        <v>0</v>
      </c>
      <c r="O211" s="166">
        <f t="shared" si="90"/>
        <v>0</v>
      </c>
      <c r="P211" s="166">
        <f t="shared" si="90"/>
        <v>0</v>
      </c>
      <c r="Q211" s="166">
        <f t="shared" si="90"/>
        <v>0</v>
      </c>
      <c r="R211" s="166">
        <f t="shared" si="90"/>
        <v>0</v>
      </c>
      <c r="S211" s="166">
        <f t="shared" si="90"/>
        <v>0</v>
      </c>
      <c r="T211" s="166">
        <f t="shared" si="90"/>
        <v>0</v>
      </c>
      <c r="U211" s="166">
        <f t="shared" si="90"/>
        <v>0</v>
      </c>
      <c r="V211" s="166">
        <f t="shared" si="90"/>
        <v>0</v>
      </c>
      <c r="W211" s="166">
        <f t="shared" si="90"/>
        <v>0</v>
      </c>
      <c r="X211" s="166">
        <f t="shared" si="90"/>
        <v>0</v>
      </c>
      <c r="Y211" s="166">
        <f t="shared" si="90"/>
        <v>0</v>
      </c>
      <c r="Z211" s="166">
        <f t="shared" si="91"/>
        <v>0</v>
      </c>
      <c r="AA211" s="166">
        <f t="shared" si="91"/>
        <v>0</v>
      </c>
      <c r="AB211" s="166">
        <f t="shared" si="91"/>
        <v>0</v>
      </c>
      <c r="AC211" s="166">
        <f t="shared" si="91"/>
        <v>0</v>
      </c>
      <c r="AD211" s="166">
        <f t="shared" si="91"/>
        <v>0</v>
      </c>
      <c r="AE211" s="166">
        <f t="shared" si="91"/>
        <v>0</v>
      </c>
      <c r="AF211" s="166">
        <f t="shared" si="91"/>
        <v>0</v>
      </c>
      <c r="AG211" s="166">
        <f t="shared" si="91"/>
        <v>0</v>
      </c>
      <c r="AH211" s="166">
        <f t="shared" si="91"/>
        <v>0</v>
      </c>
      <c r="AI211" s="166">
        <f t="shared" si="91"/>
        <v>0</v>
      </c>
      <c r="AJ211" s="166">
        <f t="shared" si="91"/>
        <v>0</v>
      </c>
      <c r="AK211" s="166">
        <f t="shared" si="91"/>
        <v>0</v>
      </c>
      <c r="AL211" s="166">
        <f t="shared" si="91"/>
        <v>0</v>
      </c>
      <c r="AM211" s="166">
        <f t="shared" si="91"/>
        <v>2.4695406061218139</v>
      </c>
      <c r="AN211" s="166">
        <f t="shared" si="92"/>
        <v>4.9071476416074677</v>
      </c>
      <c r="AO211" s="166">
        <f t="shared" si="92"/>
        <v>7.3144841138947019</v>
      </c>
      <c r="AP211" s="166">
        <f t="shared" si="92"/>
        <v>9.6930754004803727</v>
      </c>
      <c r="AQ211" s="166">
        <f t="shared" si="92"/>
        <v>12.044324597169071</v>
      </c>
      <c r="AR211" s="166">
        <f t="shared" si="92"/>
        <v>14.749391473276596</v>
      </c>
      <c r="AS211" s="166">
        <f t="shared" si="92"/>
        <v>17.415844901303025</v>
      </c>
      <c r="AT211" s="166">
        <f t="shared" si="92"/>
        <v>20.045809633358331</v>
      </c>
      <c r="AU211" s="166">
        <f t="shared" si="92"/>
        <v>22.641224959681995</v>
      </c>
      <c r="AV211" s="166">
        <f t="shared" si="92"/>
        <v>25.327589283299833</v>
      </c>
    </row>
    <row r="212" spans="1:48">
      <c r="A212" s="194" t="s">
        <v>16</v>
      </c>
      <c r="B212" s="92" t="str">
        <f t="shared" si="89"/>
        <v>CNR</v>
      </c>
      <c r="C212" s="92" t="str">
        <f t="shared" si="89"/>
        <v>Commercial - Refrigeration</v>
      </c>
      <c r="E212" s="111"/>
      <c r="F212" s="111"/>
      <c r="I212" s="164"/>
      <c r="J212" s="166">
        <f t="shared" si="90"/>
        <v>0</v>
      </c>
      <c r="K212" s="166">
        <f t="shared" si="90"/>
        <v>0</v>
      </c>
      <c r="L212" s="166">
        <f t="shared" si="90"/>
        <v>0</v>
      </c>
      <c r="M212" s="166">
        <f t="shared" si="90"/>
        <v>0</v>
      </c>
      <c r="N212" s="166">
        <f t="shared" si="90"/>
        <v>0</v>
      </c>
      <c r="O212" s="166">
        <f t="shared" si="90"/>
        <v>0</v>
      </c>
      <c r="P212" s="166">
        <f t="shared" si="90"/>
        <v>0</v>
      </c>
      <c r="Q212" s="166">
        <f t="shared" si="90"/>
        <v>0</v>
      </c>
      <c r="R212" s="166">
        <f t="shared" si="90"/>
        <v>0</v>
      </c>
      <c r="S212" s="166">
        <f t="shared" si="90"/>
        <v>0</v>
      </c>
      <c r="T212" s="166">
        <f t="shared" si="90"/>
        <v>0</v>
      </c>
      <c r="U212" s="166">
        <f t="shared" si="90"/>
        <v>0</v>
      </c>
      <c r="V212" s="166">
        <f t="shared" si="90"/>
        <v>0</v>
      </c>
      <c r="W212" s="166">
        <f t="shared" si="90"/>
        <v>0</v>
      </c>
      <c r="X212" s="166">
        <f t="shared" si="90"/>
        <v>0</v>
      </c>
      <c r="Y212" s="166">
        <f t="shared" si="90"/>
        <v>0</v>
      </c>
      <c r="Z212" s="166">
        <f t="shared" si="91"/>
        <v>0</v>
      </c>
      <c r="AA212" s="166">
        <f t="shared" si="91"/>
        <v>0</v>
      </c>
      <c r="AB212" s="166">
        <f t="shared" si="91"/>
        <v>0</v>
      </c>
      <c r="AC212" s="166">
        <f t="shared" si="91"/>
        <v>0</v>
      </c>
      <c r="AD212" s="166">
        <f t="shared" si="91"/>
        <v>0</v>
      </c>
      <c r="AE212" s="166">
        <f t="shared" si="91"/>
        <v>0</v>
      </c>
      <c r="AF212" s="166">
        <f t="shared" si="91"/>
        <v>0</v>
      </c>
      <c r="AG212" s="166">
        <f t="shared" si="91"/>
        <v>0</v>
      </c>
      <c r="AH212" s="166">
        <f t="shared" si="91"/>
        <v>0</v>
      </c>
      <c r="AI212" s="166">
        <f t="shared" si="91"/>
        <v>0</v>
      </c>
      <c r="AJ212" s="166">
        <f t="shared" si="91"/>
        <v>0</v>
      </c>
      <c r="AK212" s="166">
        <f t="shared" si="91"/>
        <v>0</v>
      </c>
      <c r="AL212" s="166">
        <f t="shared" si="91"/>
        <v>0</v>
      </c>
      <c r="AM212" s="166">
        <f t="shared" si="91"/>
        <v>0.60075068501636153</v>
      </c>
      <c r="AN212" s="166">
        <f t="shared" si="92"/>
        <v>1.1937330772631547</v>
      </c>
      <c r="AO212" s="166">
        <f t="shared" si="92"/>
        <v>1.7793517268234735</v>
      </c>
      <c r="AP212" s="166">
        <f t="shared" si="92"/>
        <v>2.3579777033504641</v>
      </c>
      <c r="AQ212" s="166">
        <f t="shared" si="92"/>
        <v>2.9299523297459089</v>
      </c>
      <c r="AR212" s="166">
        <f t="shared" si="92"/>
        <v>3.5879981115436372</v>
      </c>
      <c r="AS212" s="166">
        <f t="shared" si="92"/>
        <v>4.2366506258939474</v>
      </c>
      <c r="AT212" s="166">
        <f t="shared" si="92"/>
        <v>4.8764267488030049</v>
      </c>
      <c r="AU212" s="166">
        <f t="shared" si="92"/>
        <v>5.5077982400535506</v>
      </c>
      <c r="AV212" s="166">
        <f t="shared" si="92"/>
        <v>6.1612943614035478</v>
      </c>
    </row>
    <row r="213" spans="1:48">
      <c r="A213" s="194" t="s">
        <v>16</v>
      </c>
      <c r="B213" s="92" t="str">
        <f t="shared" si="89"/>
        <v>CNW</v>
      </c>
      <c r="C213" s="92" t="str">
        <f t="shared" si="89"/>
        <v>Commercial - Water Heating</v>
      </c>
      <c r="E213" s="111"/>
      <c r="F213" s="111"/>
      <c r="I213" s="160"/>
      <c r="J213" s="166">
        <f t="shared" si="90"/>
        <v>0</v>
      </c>
      <c r="K213" s="166">
        <f t="shared" si="90"/>
        <v>0</v>
      </c>
      <c r="L213" s="166">
        <f t="shared" si="90"/>
        <v>0</v>
      </c>
      <c r="M213" s="166">
        <f t="shared" si="90"/>
        <v>0</v>
      </c>
      <c r="N213" s="166">
        <f t="shared" si="90"/>
        <v>0</v>
      </c>
      <c r="O213" s="166">
        <f t="shared" si="90"/>
        <v>0</v>
      </c>
      <c r="P213" s="166">
        <f t="shared" si="90"/>
        <v>0</v>
      </c>
      <c r="Q213" s="166">
        <f t="shared" si="90"/>
        <v>0</v>
      </c>
      <c r="R213" s="166">
        <f t="shared" si="90"/>
        <v>0</v>
      </c>
      <c r="S213" s="166">
        <f t="shared" si="90"/>
        <v>0</v>
      </c>
      <c r="T213" s="166">
        <f t="shared" si="90"/>
        <v>0</v>
      </c>
      <c r="U213" s="166">
        <f t="shared" si="90"/>
        <v>0</v>
      </c>
      <c r="V213" s="166">
        <f t="shared" si="90"/>
        <v>0</v>
      </c>
      <c r="W213" s="166">
        <f t="shared" si="90"/>
        <v>0</v>
      </c>
      <c r="X213" s="166">
        <f t="shared" si="90"/>
        <v>0</v>
      </c>
      <c r="Y213" s="166">
        <f t="shared" si="90"/>
        <v>0</v>
      </c>
      <c r="Z213" s="166">
        <f t="shared" si="91"/>
        <v>0</v>
      </c>
      <c r="AA213" s="166">
        <f t="shared" si="91"/>
        <v>0</v>
      </c>
      <c r="AB213" s="166">
        <f t="shared" si="91"/>
        <v>0</v>
      </c>
      <c r="AC213" s="166">
        <f t="shared" si="91"/>
        <v>0</v>
      </c>
      <c r="AD213" s="166">
        <f t="shared" si="91"/>
        <v>0</v>
      </c>
      <c r="AE213" s="166">
        <f t="shared" si="91"/>
        <v>0</v>
      </c>
      <c r="AF213" s="166">
        <f t="shared" si="91"/>
        <v>0</v>
      </c>
      <c r="AG213" s="166">
        <f t="shared" si="91"/>
        <v>0</v>
      </c>
      <c r="AH213" s="166">
        <f t="shared" si="91"/>
        <v>0</v>
      </c>
      <c r="AI213" s="166">
        <f t="shared" si="91"/>
        <v>0</v>
      </c>
      <c r="AJ213" s="166">
        <f t="shared" si="91"/>
        <v>0</v>
      </c>
      <c r="AK213" s="166">
        <f t="shared" si="91"/>
        <v>0</v>
      </c>
      <c r="AL213" s="166">
        <f t="shared" si="91"/>
        <v>0</v>
      </c>
      <c r="AM213" s="166">
        <f t="shared" si="91"/>
        <v>0.31316518813500566</v>
      </c>
      <c r="AN213" s="166">
        <f t="shared" si="92"/>
        <v>0.62228084469668754</v>
      </c>
      <c r="AO213" s="166">
        <f t="shared" si="92"/>
        <v>0.92755785750597008</v>
      </c>
      <c r="AP213" s="166">
        <f t="shared" si="92"/>
        <v>1.2291896613780562</v>
      </c>
      <c r="AQ213" s="166">
        <f t="shared" si="92"/>
        <v>1.5273541844508853</v>
      </c>
      <c r="AR213" s="166">
        <f t="shared" si="92"/>
        <v>1.8703867205727875</v>
      </c>
      <c r="AS213" s="166">
        <f t="shared" si="92"/>
        <v>2.2085226424406534</v>
      </c>
      <c r="AT213" s="166">
        <f t="shared" si="92"/>
        <v>2.5420313922303315</v>
      </c>
      <c r="AU213" s="166">
        <f t="shared" si="92"/>
        <v>2.8711588934918093</v>
      </c>
      <c r="AV213" s="166">
        <f t="shared" si="92"/>
        <v>3.2118197381523443</v>
      </c>
    </row>
    <row r="214" spans="1:48">
      <c r="A214" s="194" t="s">
        <v>16</v>
      </c>
      <c r="B214" s="92" t="str">
        <f t="shared" si="89"/>
        <v>CNG</v>
      </c>
      <c r="C214" s="92" t="str">
        <f t="shared" si="89"/>
        <v>Commercial - Public lights</v>
      </c>
      <c r="E214" s="111"/>
      <c r="F214" s="111"/>
      <c r="I214" s="160"/>
      <c r="J214" s="166">
        <f t="shared" si="90"/>
        <v>0</v>
      </c>
      <c r="K214" s="166">
        <f t="shared" si="90"/>
        <v>0</v>
      </c>
      <c r="L214" s="166">
        <f t="shared" si="90"/>
        <v>0</v>
      </c>
      <c r="M214" s="166">
        <f t="shared" si="90"/>
        <v>0</v>
      </c>
      <c r="N214" s="166">
        <f t="shared" si="90"/>
        <v>0</v>
      </c>
      <c r="O214" s="166">
        <f t="shared" si="90"/>
        <v>0</v>
      </c>
      <c r="P214" s="166">
        <f t="shared" si="90"/>
        <v>0</v>
      </c>
      <c r="Q214" s="166">
        <f t="shared" si="90"/>
        <v>0</v>
      </c>
      <c r="R214" s="166">
        <f t="shared" si="90"/>
        <v>0</v>
      </c>
      <c r="S214" s="166">
        <f t="shared" si="90"/>
        <v>0</v>
      </c>
      <c r="T214" s="166">
        <f t="shared" si="90"/>
        <v>0</v>
      </c>
      <c r="U214" s="166">
        <f t="shared" si="90"/>
        <v>0</v>
      </c>
      <c r="V214" s="166">
        <f t="shared" si="90"/>
        <v>0</v>
      </c>
      <c r="W214" s="166">
        <f t="shared" si="90"/>
        <v>0</v>
      </c>
      <c r="X214" s="166">
        <f t="shared" si="90"/>
        <v>0</v>
      </c>
      <c r="Y214" s="166">
        <f t="shared" si="90"/>
        <v>0</v>
      </c>
      <c r="Z214" s="166">
        <f t="shared" si="91"/>
        <v>0</v>
      </c>
      <c r="AA214" s="166">
        <f t="shared" si="91"/>
        <v>0</v>
      </c>
      <c r="AB214" s="166">
        <f t="shared" si="91"/>
        <v>0</v>
      </c>
      <c r="AC214" s="166">
        <f t="shared" si="91"/>
        <v>0</v>
      </c>
      <c r="AD214" s="166">
        <f t="shared" si="91"/>
        <v>0</v>
      </c>
      <c r="AE214" s="166">
        <f t="shared" si="91"/>
        <v>0</v>
      </c>
      <c r="AF214" s="166">
        <f t="shared" si="91"/>
        <v>0</v>
      </c>
      <c r="AG214" s="166">
        <f t="shared" si="91"/>
        <v>0</v>
      </c>
      <c r="AH214" s="166">
        <f t="shared" si="91"/>
        <v>0</v>
      </c>
      <c r="AI214" s="166">
        <f t="shared" si="91"/>
        <v>0</v>
      </c>
      <c r="AJ214" s="166">
        <f t="shared" si="91"/>
        <v>0</v>
      </c>
      <c r="AK214" s="166">
        <f t="shared" si="91"/>
        <v>0</v>
      </c>
      <c r="AL214" s="166">
        <f t="shared" si="91"/>
        <v>0</v>
      </c>
      <c r="AM214" s="166">
        <f t="shared" si="91"/>
        <v>0</v>
      </c>
      <c r="AN214" s="166">
        <f t="shared" si="92"/>
        <v>0</v>
      </c>
      <c r="AO214" s="166">
        <f t="shared" si="92"/>
        <v>0</v>
      </c>
      <c r="AP214" s="166">
        <f t="shared" si="92"/>
        <v>0</v>
      </c>
      <c r="AQ214" s="166">
        <f t="shared" si="92"/>
        <v>0</v>
      </c>
      <c r="AR214" s="166">
        <f t="shared" si="92"/>
        <v>0</v>
      </c>
      <c r="AS214" s="166">
        <f t="shared" si="92"/>
        <v>0</v>
      </c>
      <c r="AT214" s="166">
        <f t="shared" si="92"/>
        <v>0</v>
      </c>
      <c r="AU214" s="166">
        <f t="shared" si="92"/>
        <v>0</v>
      </c>
      <c r="AV214" s="166">
        <f t="shared" si="92"/>
        <v>0</v>
      </c>
    </row>
    <row r="215" spans="1:48">
      <c r="A215" s="194" t="s">
        <v>16</v>
      </c>
      <c r="B215" s="92" t="str">
        <f t="shared" si="89"/>
        <v>CNT</v>
      </c>
      <c r="C215" s="92" t="str">
        <f t="shared" si="89"/>
        <v>Commercial - Public Water</v>
      </c>
      <c r="E215" s="111"/>
      <c r="F215" s="111"/>
      <c r="I215" s="160"/>
      <c r="J215" s="166">
        <f t="shared" si="90"/>
        <v>0</v>
      </c>
      <c r="K215" s="166">
        <f t="shared" si="90"/>
        <v>0</v>
      </c>
      <c r="L215" s="166">
        <f t="shared" si="90"/>
        <v>0</v>
      </c>
      <c r="M215" s="166">
        <f t="shared" si="90"/>
        <v>0</v>
      </c>
      <c r="N215" s="166">
        <f t="shared" si="90"/>
        <v>0</v>
      </c>
      <c r="O215" s="166">
        <f t="shared" si="90"/>
        <v>0</v>
      </c>
      <c r="P215" s="166">
        <f t="shared" si="90"/>
        <v>0</v>
      </c>
      <c r="Q215" s="166">
        <f t="shared" si="90"/>
        <v>0</v>
      </c>
      <c r="R215" s="166">
        <f t="shared" si="90"/>
        <v>0</v>
      </c>
      <c r="S215" s="166">
        <f t="shared" si="90"/>
        <v>0</v>
      </c>
      <c r="T215" s="166">
        <f t="shared" si="90"/>
        <v>0</v>
      </c>
      <c r="U215" s="166">
        <f t="shared" si="90"/>
        <v>0</v>
      </c>
      <c r="V215" s="166">
        <f t="shared" si="90"/>
        <v>0</v>
      </c>
      <c r="W215" s="166">
        <f t="shared" si="90"/>
        <v>0</v>
      </c>
      <c r="X215" s="166">
        <f t="shared" si="90"/>
        <v>0</v>
      </c>
      <c r="Y215" s="166">
        <f t="shared" si="90"/>
        <v>0</v>
      </c>
      <c r="Z215" s="166">
        <f t="shared" si="91"/>
        <v>0</v>
      </c>
      <c r="AA215" s="166">
        <f t="shared" si="91"/>
        <v>0</v>
      </c>
      <c r="AB215" s="166">
        <f t="shared" si="91"/>
        <v>0</v>
      </c>
      <c r="AC215" s="166">
        <f t="shared" si="91"/>
        <v>0</v>
      </c>
      <c r="AD215" s="166">
        <f t="shared" si="91"/>
        <v>0</v>
      </c>
      <c r="AE215" s="166">
        <f t="shared" si="91"/>
        <v>0</v>
      </c>
      <c r="AF215" s="166">
        <f t="shared" si="91"/>
        <v>0</v>
      </c>
      <c r="AG215" s="166">
        <f t="shared" si="91"/>
        <v>0</v>
      </c>
      <c r="AH215" s="166">
        <f t="shared" si="91"/>
        <v>0</v>
      </c>
      <c r="AI215" s="166">
        <f t="shared" si="91"/>
        <v>0</v>
      </c>
      <c r="AJ215" s="166">
        <f t="shared" si="91"/>
        <v>0</v>
      </c>
      <c r="AK215" s="166">
        <f t="shared" si="91"/>
        <v>0</v>
      </c>
      <c r="AL215" s="166">
        <f t="shared" si="91"/>
        <v>0</v>
      </c>
      <c r="AM215" s="166">
        <f t="shared" si="91"/>
        <v>0</v>
      </c>
      <c r="AN215" s="166">
        <f t="shared" si="92"/>
        <v>0</v>
      </c>
      <c r="AO215" s="166">
        <f t="shared" si="92"/>
        <v>0</v>
      </c>
      <c r="AP215" s="166">
        <f t="shared" si="92"/>
        <v>0</v>
      </c>
      <c r="AQ215" s="166">
        <f t="shared" si="92"/>
        <v>0</v>
      </c>
      <c r="AR215" s="166">
        <f t="shared" si="92"/>
        <v>0</v>
      </c>
      <c r="AS215" s="166">
        <f t="shared" si="92"/>
        <v>0</v>
      </c>
      <c r="AT215" s="166">
        <f t="shared" si="92"/>
        <v>0</v>
      </c>
      <c r="AU215" s="166">
        <f t="shared" si="92"/>
        <v>0</v>
      </c>
      <c r="AV215" s="166">
        <f t="shared" si="92"/>
        <v>0</v>
      </c>
    </row>
    <row r="216" spans="1:48">
      <c r="A216" s="194" t="s">
        <v>16</v>
      </c>
      <c r="B216" s="92" t="str">
        <f t="shared" si="89"/>
        <v>CNO</v>
      </c>
      <c r="C216" s="92" t="str">
        <f t="shared" si="89"/>
        <v>Commercial - Other</v>
      </c>
      <c r="E216" s="111"/>
      <c r="F216" s="111"/>
      <c r="I216" s="160"/>
      <c r="J216" s="166">
        <f t="shared" si="90"/>
        <v>0</v>
      </c>
      <c r="K216" s="166">
        <f t="shared" si="90"/>
        <v>0</v>
      </c>
      <c r="L216" s="166">
        <f t="shared" si="90"/>
        <v>0</v>
      </c>
      <c r="M216" s="166">
        <f t="shared" si="90"/>
        <v>0</v>
      </c>
      <c r="N216" s="166">
        <f t="shared" si="90"/>
        <v>0</v>
      </c>
      <c r="O216" s="166">
        <f t="shared" si="90"/>
        <v>0</v>
      </c>
      <c r="P216" s="166">
        <f t="shared" si="90"/>
        <v>0</v>
      </c>
      <c r="Q216" s="166">
        <f t="shared" si="90"/>
        <v>0</v>
      </c>
      <c r="R216" s="166">
        <f t="shared" si="90"/>
        <v>0</v>
      </c>
      <c r="S216" s="166">
        <f t="shared" si="90"/>
        <v>0</v>
      </c>
      <c r="T216" s="166">
        <f t="shared" si="90"/>
        <v>0</v>
      </c>
      <c r="U216" s="166">
        <f t="shared" si="90"/>
        <v>0</v>
      </c>
      <c r="V216" s="166">
        <f t="shared" si="90"/>
        <v>0</v>
      </c>
      <c r="W216" s="166">
        <f t="shared" si="90"/>
        <v>0</v>
      </c>
      <c r="X216" s="166">
        <f t="shared" si="90"/>
        <v>0</v>
      </c>
      <c r="Y216" s="166">
        <f t="shared" si="90"/>
        <v>0</v>
      </c>
      <c r="Z216" s="166">
        <f t="shared" si="91"/>
        <v>0</v>
      </c>
      <c r="AA216" s="166">
        <f t="shared" si="91"/>
        <v>0</v>
      </c>
      <c r="AB216" s="166">
        <f t="shared" si="91"/>
        <v>0</v>
      </c>
      <c r="AC216" s="166">
        <f t="shared" si="91"/>
        <v>0</v>
      </c>
      <c r="AD216" s="166">
        <f t="shared" si="91"/>
        <v>0</v>
      </c>
      <c r="AE216" s="166">
        <f t="shared" si="91"/>
        <v>0</v>
      </c>
      <c r="AF216" s="166">
        <f t="shared" si="91"/>
        <v>0</v>
      </c>
      <c r="AG216" s="166">
        <f t="shared" si="91"/>
        <v>0</v>
      </c>
      <c r="AH216" s="166">
        <f t="shared" si="91"/>
        <v>0</v>
      </c>
      <c r="AI216" s="166">
        <f t="shared" si="91"/>
        <v>0</v>
      </c>
      <c r="AJ216" s="166">
        <f t="shared" si="91"/>
        <v>0</v>
      </c>
      <c r="AK216" s="166">
        <f t="shared" si="91"/>
        <v>0</v>
      </c>
      <c r="AL216" s="166">
        <f t="shared" si="91"/>
        <v>0</v>
      </c>
      <c r="AM216" s="166">
        <f t="shared" si="91"/>
        <v>0.40105666698826586</v>
      </c>
      <c r="AN216" s="166">
        <f t="shared" si="92"/>
        <v>0.79692727978790046</v>
      </c>
      <c r="AO216" s="166">
        <f t="shared" si="92"/>
        <v>1.187881913010556</v>
      </c>
      <c r="AP216" s="166">
        <f t="shared" si="92"/>
        <v>1.5741682899831018</v>
      </c>
      <c r="AQ216" s="166">
        <f t="shared" si="92"/>
        <v>1.9560142753235399</v>
      </c>
      <c r="AR216" s="166">
        <f t="shared" si="92"/>
        <v>2.3953207206691602</v>
      </c>
      <c r="AS216" s="166">
        <f t="shared" si="92"/>
        <v>2.8283562908771387</v>
      </c>
      <c r="AT216" s="166">
        <f t="shared" si="92"/>
        <v>3.2554660485057854</v>
      </c>
      <c r="AU216" s="166">
        <f t="shared" si="92"/>
        <v>3.6769649368598762</v>
      </c>
      <c r="AV216" s="166">
        <f t="shared" si="92"/>
        <v>4.1132340628971633</v>
      </c>
    </row>
    <row r="217" spans="1:48">
      <c r="A217" s="194" t="s">
        <v>16</v>
      </c>
      <c r="E217" s="111"/>
      <c r="F217" s="111"/>
      <c r="I217" s="160"/>
      <c r="J217" s="166"/>
      <c r="K217" s="166"/>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row>
    <row r="218" spans="1:48" ht="15.75" thickBot="1">
      <c r="A218" s="194" t="s">
        <v>16</v>
      </c>
      <c r="B218" s="90" t="s">
        <v>482</v>
      </c>
      <c r="C218" s="90"/>
      <c r="D218" s="90"/>
      <c r="E218" s="90"/>
      <c r="F218" s="90"/>
      <c r="G218" s="90"/>
      <c r="H218" s="90"/>
      <c r="I218" s="161"/>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c r="AI218" s="90"/>
      <c r="AJ218" s="90"/>
      <c r="AK218" s="90"/>
      <c r="AL218" s="90"/>
      <c r="AM218" s="90"/>
      <c r="AN218" s="90"/>
      <c r="AO218" s="90"/>
      <c r="AP218" s="90"/>
      <c r="AQ218" s="90"/>
      <c r="AR218" s="90"/>
      <c r="AS218" s="90"/>
      <c r="AT218" s="90"/>
      <c r="AU218" s="90"/>
      <c r="AV218" s="90"/>
    </row>
    <row r="219" spans="1:48">
      <c r="A219" s="194" t="s">
        <v>16</v>
      </c>
      <c r="E219" s="111"/>
      <c r="F219" s="111"/>
      <c r="I219" s="160"/>
      <c r="J219" s="166"/>
      <c r="K219" s="166"/>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row>
    <row r="220" spans="1:48">
      <c r="A220" s="194" t="s">
        <v>16</v>
      </c>
      <c r="B220" s="92" t="str">
        <f t="shared" ref="B220:C228" si="93">B208</f>
        <v>CNC</v>
      </c>
      <c r="C220" s="92" t="str">
        <f t="shared" si="93"/>
        <v>Commercial - Cooling</v>
      </c>
      <c r="E220" s="111"/>
      <c r="F220" s="111"/>
      <c r="I220" s="160"/>
      <c r="J220" s="166">
        <f t="shared" ref="J220:AV226" si="94">J186+J197+J208</f>
        <v>0</v>
      </c>
      <c r="K220" s="166">
        <f t="shared" si="94"/>
        <v>0</v>
      </c>
      <c r="L220" s="166">
        <f t="shared" si="94"/>
        <v>0</v>
      </c>
      <c r="M220" s="166">
        <f t="shared" si="94"/>
        <v>0</v>
      </c>
      <c r="N220" s="166">
        <f t="shared" si="94"/>
        <v>0</v>
      </c>
      <c r="O220" s="166">
        <f t="shared" si="94"/>
        <v>0</v>
      </c>
      <c r="P220" s="166">
        <f t="shared" si="94"/>
        <v>1.5826011087333609</v>
      </c>
      <c r="Q220" s="166">
        <f t="shared" si="94"/>
        <v>3.2727888378763019</v>
      </c>
      <c r="R220" s="166">
        <f t="shared" si="94"/>
        <v>4.2350555604682834</v>
      </c>
      <c r="S220" s="166">
        <f t="shared" si="94"/>
        <v>6.2039116504232403</v>
      </c>
      <c r="T220" s="166">
        <f t="shared" si="94"/>
        <v>8.1477592630354909</v>
      </c>
      <c r="U220" s="166">
        <f t="shared" si="94"/>
        <v>10.076074458524694</v>
      </c>
      <c r="V220" s="166">
        <f t="shared" si="94"/>
        <v>11.974810016910205</v>
      </c>
      <c r="W220" s="166">
        <f t="shared" si="94"/>
        <v>13.899367079787028</v>
      </c>
      <c r="X220" s="166">
        <f t="shared" si="94"/>
        <v>15.97889515698475</v>
      </c>
      <c r="Y220" s="166">
        <f t="shared" si="94"/>
        <v>18.03362410843485</v>
      </c>
      <c r="Z220" s="166">
        <f t="shared" si="94"/>
        <v>20.125330003602787</v>
      </c>
      <c r="AA220" s="166">
        <f t="shared" si="94"/>
        <v>22.240274327759533</v>
      </c>
      <c r="AB220" s="166">
        <f t="shared" si="94"/>
        <v>24.375278393979318</v>
      </c>
      <c r="AC220" s="166">
        <f t="shared" si="94"/>
        <v>26.661660167793737</v>
      </c>
      <c r="AD220" s="166">
        <f t="shared" si="94"/>
        <v>28.907959626978101</v>
      </c>
      <c r="AE220" s="166">
        <f t="shared" si="94"/>
        <v>31.255293423241625</v>
      </c>
      <c r="AF220" s="166">
        <f t="shared" si="94"/>
        <v>33.680790683203</v>
      </c>
      <c r="AG220" s="166">
        <f t="shared" si="94"/>
        <v>36.176046946210533</v>
      </c>
      <c r="AH220" s="166">
        <f t="shared" si="94"/>
        <v>38.717184653093838</v>
      </c>
      <c r="AI220" s="166">
        <f t="shared" si="94"/>
        <v>41.296093103719301</v>
      </c>
      <c r="AJ220" s="166">
        <f t="shared" si="94"/>
        <v>43.876496486628767</v>
      </c>
      <c r="AK220" s="166">
        <f t="shared" si="94"/>
        <v>46.496574977814674</v>
      </c>
      <c r="AL220" s="166">
        <f t="shared" si="94"/>
        <v>49.189885893879108</v>
      </c>
      <c r="AM220" s="166">
        <f t="shared" si="94"/>
        <v>52.027685149042561</v>
      </c>
      <c r="AN220" s="166">
        <f t="shared" si="94"/>
        <v>54.828788889768489</v>
      </c>
      <c r="AO220" s="166">
        <f t="shared" si="94"/>
        <v>57.595108111671394</v>
      </c>
      <c r="AP220" s="166">
        <f t="shared" si="94"/>
        <v>60.328395657006112</v>
      </c>
      <c r="AQ220" s="166">
        <f t="shared" si="94"/>
        <v>63.030263851651917</v>
      </c>
      <c r="AR220" s="166">
        <f t="shared" si="94"/>
        <v>66.138711126078562</v>
      </c>
      <c r="AS220" s="166">
        <f t="shared" si="94"/>
        <v>69.202786903259039</v>
      </c>
      <c r="AT220" s="166">
        <f t="shared" si="94"/>
        <v>72.224932778986556</v>
      </c>
      <c r="AU220" s="166">
        <f t="shared" si="94"/>
        <v>75.20737723105313</v>
      </c>
      <c r="AV220" s="166">
        <f t="shared" si="94"/>
        <v>78.294333022653632</v>
      </c>
    </row>
    <row r="221" spans="1:48">
      <c r="A221" s="194" t="s">
        <v>16</v>
      </c>
      <c r="B221" s="92" t="str">
        <f t="shared" si="93"/>
        <v>CNH</v>
      </c>
      <c r="C221" s="92" t="str">
        <f t="shared" si="93"/>
        <v>Commercial - Space Heating</v>
      </c>
      <c r="E221" s="111"/>
      <c r="F221" s="111"/>
      <c r="I221" s="160"/>
      <c r="J221" s="166">
        <f t="shared" si="94"/>
        <v>0</v>
      </c>
      <c r="K221" s="166">
        <f t="shared" si="94"/>
        <v>0</v>
      </c>
      <c r="L221" s="166">
        <f t="shared" si="94"/>
        <v>0</v>
      </c>
      <c r="M221" s="166">
        <f t="shared" si="94"/>
        <v>0</v>
      </c>
      <c r="N221" s="166">
        <f t="shared" si="94"/>
        <v>0</v>
      </c>
      <c r="O221" s="166">
        <f t="shared" si="94"/>
        <v>0</v>
      </c>
      <c r="P221" s="166">
        <f t="shared" si="94"/>
        <v>0.15092687254753431</v>
      </c>
      <c r="Q221" s="166">
        <f t="shared" si="94"/>
        <v>0.31211388712123755</v>
      </c>
      <c r="R221" s="166">
        <f t="shared" si="94"/>
        <v>0.40388174081218448</v>
      </c>
      <c r="S221" s="166">
        <f t="shared" si="94"/>
        <v>0.59164433652456594</v>
      </c>
      <c r="T221" s="166">
        <f t="shared" si="94"/>
        <v>0.77702196532918899</v>
      </c>
      <c r="U221" s="166">
        <f t="shared" si="94"/>
        <v>0.96091832438962399</v>
      </c>
      <c r="V221" s="166">
        <f t="shared" si="94"/>
        <v>1.1419937817746368</v>
      </c>
      <c r="W221" s="166">
        <f t="shared" si="94"/>
        <v>1.3255317414894152</v>
      </c>
      <c r="X221" s="166">
        <f t="shared" si="94"/>
        <v>1.5238487193648038</v>
      </c>
      <c r="Y221" s="166">
        <f t="shared" si="94"/>
        <v>1.719800695427451</v>
      </c>
      <c r="Z221" s="166">
        <f t="shared" si="94"/>
        <v>1.9192790272097433</v>
      </c>
      <c r="AA221" s="166">
        <f t="shared" si="94"/>
        <v>2.1209735228698725</v>
      </c>
      <c r="AB221" s="166">
        <f t="shared" si="94"/>
        <v>2.3245810426754905</v>
      </c>
      <c r="AC221" s="166">
        <f t="shared" si="94"/>
        <v>2.5426249001372594</v>
      </c>
      <c r="AD221" s="166">
        <f t="shared" si="94"/>
        <v>2.7568462540267777</v>
      </c>
      <c r="AE221" s="166">
        <f t="shared" si="94"/>
        <v>2.9807028826744921</v>
      </c>
      <c r="AF221" s="166">
        <f t="shared" si="94"/>
        <v>3.2120136746349321</v>
      </c>
      <c r="AG221" s="166">
        <f t="shared" si="94"/>
        <v>3.4499771272713255</v>
      </c>
      <c r="AH221" s="166">
        <f t="shared" si="94"/>
        <v>3.6923161252007954</v>
      </c>
      <c r="AI221" s="166">
        <f t="shared" si="94"/>
        <v>3.9382571806514806</v>
      </c>
      <c r="AJ221" s="166">
        <f t="shared" si="94"/>
        <v>4.1843408023199267</v>
      </c>
      <c r="AK221" s="166">
        <f t="shared" si="94"/>
        <v>4.4342080937817929</v>
      </c>
      <c r="AL221" s="166">
        <f t="shared" si="94"/>
        <v>4.6910592934407376</v>
      </c>
      <c r="AM221" s="166">
        <f t="shared" si="94"/>
        <v>4.961689816909999</v>
      </c>
      <c r="AN221" s="166">
        <f t="shared" si="94"/>
        <v>5.228820823539535</v>
      </c>
      <c r="AO221" s="166">
        <f t="shared" si="94"/>
        <v>5.4926345579833908</v>
      </c>
      <c r="AP221" s="166">
        <f t="shared" si="94"/>
        <v>5.753298182388825</v>
      </c>
      <c r="AQ221" s="166">
        <f t="shared" si="94"/>
        <v>6.0109654583709045</v>
      </c>
      <c r="AR221" s="166">
        <f t="shared" si="94"/>
        <v>6.3074066923743377</v>
      </c>
      <c r="AS221" s="166">
        <f t="shared" si="94"/>
        <v>6.5996163791656155</v>
      </c>
      <c r="AT221" s="166">
        <f t="shared" si="94"/>
        <v>6.887827364794866</v>
      </c>
      <c r="AU221" s="166">
        <f t="shared" si="94"/>
        <v>7.1722521710288349</v>
      </c>
      <c r="AV221" s="166">
        <f t="shared" si="94"/>
        <v>7.4666438410129734</v>
      </c>
    </row>
    <row r="222" spans="1:48">
      <c r="A222" s="194" t="s">
        <v>16</v>
      </c>
      <c r="B222" s="92" t="str">
        <f t="shared" si="93"/>
        <v>CNK</v>
      </c>
      <c r="C222" s="92" t="str">
        <f t="shared" si="93"/>
        <v>Commercial - Cooking</v>
      </c>
      <c r="E222" s="111"/>
      <c r="F222" s="111"/>
      <c r="I222" s="160"/>
      <c r="J222" s="166">
        <f t="shared" si="94"/>
        <v>0</v>
      </c>
      <c r="K222" s="166">
        <f t="shared" si="94"/>
        <v>0</v>
      </c>
      <c r="L222" s="166">
        <f t="shared" si="94"/>
        <v>0</v>
      </c>
      <c r="M222" s="166">
        <f t="shared" si="94"/>
        <v>0</v>
      </c>
      <c r="N222" s="166">
        <f t="shared" si="94"/>
        <v>0</v>
      </c>
      <c r="O222" s="166">
        <f t="shared" si="94"/>
        <v>0</v>
      </c>
      <c r="P222" s="166">
        <f t="shared" si="94"/>
        <v>0.1128855701047503</v>
      </c>
      <c r="Q222" s="166">
        <f t="shared" si="94"/>
        <v>0.23344520091472726</v>
      </c>
      <c r="R222" s="166">
        <f t="shared" si="94"/>
        <v>0.30208285507355981</v>
      </c>
      <c r="S222" s="166">
        <f t="shared" si="94"/>
        <v>0.44251965935878973</v>
      </c>
      <c r="T222" s="166">
        <f t="shared" si="94"/>
        <v>0.58117263055638668</v>
      </c>
      <c r="U222" s="166">
        <f t="shared" si="94"/>
        <v>0.71871768785681511</v>
      </c>
      <c r="V222" s="166">
        <f t="shared" si="94"/>
        <v>0.85415285519222628</v>
      </c>
      <c r="W222" s="166">
        <f t="shared" si="94"/>
        <v>0.99142984813952317</v>
      </c>
      <c r="X222" s="166">
        <f t="shared" si="94"/>
        <v>1.1397607896811868</v>
      </c>
      <c r="Y222" s="166">
        <f t="shared" si="94"/>
        <v>1.2863228310036661</v>
      </c>
      <c r="Z222" s="166">
        <f t="shared" si="94"/>
        <v>1.4355224057824816</v>
      </c>
      <c r="AA222" s="166">
        <f t="shared" si="94"/>
        <v>1.5863795576287365</v>
      </c>
      <c r="AB222" s="166">
        <f t="shared" si="94"/>
        <v>1.7386675535496259</v>
      </c>
      <c r="AC222" s="166">
        <f t="shared" si="94"/>
        <v>1.9017531905998371</v>
      </c>
      <c r="AD222" s="166">
        <f t="shared" si="94"/>
        <v>2.0619797907688264</v>
      </c>
      <c r="AE222" s="166">
        <f t="shared" si="94"/>
        <v>2.2294130829326573</v>
      </c>
      <c r="AF222" s="166">
        <f t="shared" si="94"/>
        <v>2.4024217074478953</v>
      </c>
      <c r="AG222" s="166">
        <f t="shared" si="94"/>
        <v>2.5804061813956585</v>
      </c>
      <c r="AH222" s="166">
        <f t="shared" si="94"/>
        <v>2.7616633391047092</v>
      </c>
      <c r="AI222" s="166">
        <f t="shared" si="94"/>
        <v>2.94561465134018</v>
      </c>
      <c r="AJ222" s="166">
        <f t="shared" si="94"/>
        <v>3.1296725958042124</v>
      </c>
      <c r="AK222" s="166">
        <f t="shared" si="94"/>
        <v>3.3165605314719908</v>
      </c>
      <c r="AL222" s="166">
        <f t="shared" si="94"/>
        <v>3.5086720727514087</v>
      </c>
      <c r="AM222" s="166">
        <f t="shared" si="94"/>
        <v>3.7110898424560896</v>
      </c>
      <c r="AN222" s="166">
        <f t="shared" si="94"/>
        <v>3.9108901528119127</v>
      </c>
      <c r="AO222" s="166">
        <f t="shared" si="94"/>
        <v>4.1082093134854265</v>
      </c>
      <c r="AP222" s="166">
        <f t="shared" si="94"/>
        <v>4.3031723532006394</v>
      </c>
      <c r="AQ222" s="166">
        <f t="shared" si="94"/>
        <v>4.4958942777698656</v>
      </c>
      <c r="AR222" s="166">
        <f t="shared" si="94"/>
        <v>4.7176171369147397</v>
      </c>
      <c r="AS222" s="166">
        <f t="shared" si="94"/>
        <v>4.9361750154871915</v>
      </c>
      <c r="AT222" s="166">
        <f t="shared" si="94"/>
        <v>5.1517420704062085</v>
      </c>
      <c r="AU222" s="166">
        <f t="shared" si="94"/>
        <v>5.3644772570678327</v>
      </c>
      <c r="AV222" s="166">
        <f t="shared" si="94"/>
        <v>5.5846671473061154</v>
      </c>
    </row>
    <row r="223" spans="1:48">
      <c r="A223" s="194" t="s">
        <v>16</v>
      </c>
      <c r="B223" s="92" t="str">
        <f t="shared" si="93"/>
        <v>CNL</v>
      </c>
      <c r="C223" s="92" t="str">
        <f t="shared" si="93"/>
        <v>Commercial - Lighting</v>
      </c>
      <c r="E223" s="111"/>
      <c r="F223" s="111"/>
      <c r="I223" s="160"/>
      <c r="J223" s="166">
        <f t="shared" si="94"/>
        <v>0</v>
      </c>
      <c r="K223" s="166">
        <f t="shared" si="94"/>
        <v>0</v>
      </c>
      <c r="L223" s="166">
        <f t="shared" si="94"/>
        <v>0</v>
      </c>
      <c r="M223" s="166">
        <f t="shared" si="94"/>
        <v>0</v>
      </c>
      <c r="N223" s="166">
        <f t="shared" si="94"/>
        <v>0</v>
      </c>
      <c r="O223" s="166">
        <f t="shared" si="94"/>
        <v>0</v>
      </c>
      <c r="P223" s="166">
        <f t="shared" si="94"/>
        <v>1.3772283906971867</v>
      </c>
      <c r="Q223" s="166">
        <f t="shared" si="94"/>
        <v>2.848081983139509</v>
      </c>
      <c r="R223" s="166">
        <f t="shared" si="94"/>
        <v>3.6854762213107977</v>
      </c>
      <c r="S223" s="166">
        <f t="shared" si="94"/>
        <v>5.3988356328009299</v>
      </c>
      <c r="T223" s="166">
        <f t="shared" si="94"/>
        <v>7.0904318944901314</v>
      </c>
      <c r="U223" s="166">
        <f t="shared" si="94"/>
        <v>8.7685113668127848</v>
      </c>
      <c r="V223" s="166">
        <f t="shared" si="94"/>
        <v>10.420849724851546</v>
      </c>
      <c r="W223" s="166">
        <f t="shared" si="94"/>
        <v>12.09565875404029</v>
      </c>
      <c r="X223" s="166">
        <f t="shared" si="94"/>
        <v>13.905328348838461</v>
      </c>
      <c r="Y223" s="166">
        <f t="shared" si="94"/>
        <v>15.693416978063171</v>
      </c>
      <c r="Z223" s="166">
        <f t="shared" si="94"/>
        <v>17.51368408638055</v>
      </c>
      <c r="AA223" s="166">
        <f t="shared" si="94"/>
        <v>19.354173993722885</v>
      </c>
      <c r="AB223" s="166">
        <f t="shared" si="94"/>
        <v>21.212120508498916</v>
      </c>
      <c r="AC223" s="166">
        <f t="shared" si="94"/>
        <v>23.201800582330041</v>
      </c>
      <c r="AD223" s="166">
        <f t="shared" si="94"/>
        <v>25.156599787337846</v>
      </c>
      <c r="AE223" s="166">
        <f t="shared" si="94"/>
        <v>27.199322194656595</v>
      </c>
      <c r="AF223" s="166">
        <f t="shared" si="94"/>
        <v>29.310064863509258</v>
      </c>
      <c r="AG223" s="166">
        <f t="shared" si="94"/>
        <v>31.481513972520297</v>
      </c>
      <c r="AH223" s="166">
        <f t="shared" si="94"/>
        <v>33.692890531830216</v>
      </c>
      <c r="AI223" s="166">
        <f t="shared" si="94"/>
        <v>35.937136359544141</v>
      </c>
      <c r="AJ223" s="166">
        <f t="shared" si="94"/>
        <v>38.182683123528321</v>
      </c>
      <c r="AK223" s="166">
        <f t="shared" si="94"/>
        <v>40.462756392783334</v>
      </c>
      <c r="AL223" s="166">
        <f t="shared" si="94"/>
        <v>42.806558781211677</v>
      </c>
      <c r="AM223" s="166">
        <f t="shared" si="94"/>
        <v>45.276099387333488</v>
      </c>
      <c r="AN223" s="166">
        <f t="shared" si="94"/>
        <v>47.713706422819143</v>
      </c>
      <c r="AO223" s="166">
        <f t="shared" si="94"/>
        <v>50.121042895106378</v>
      </c>
      <c r="AP223" s="166">
        <f t="shared" si="94"/>
        <v>52.499634181692052</v>
      </c>
      <c r="AQ223" s="166">
        <f t="shared" si="94"/>
        <v>54.85088337838075</v>
      </c>
      <c r="AR223" s="166">
        <f t="shared" si="94"/>
        <v>57.555950254488273</v>
      </c>
      <c r="AS223" s="166">
        <f t="shared" si="94"/>
        <v>60.222403682514702</v>
      </c>
      <c r="AT223" s="166">
        <f t="shared" si="94"/>
        <v>62.852368414570009</v>
      </c>
      <c r="AU223" s="166">
        <f t="shared" si="94"/>
        <v>65.447783740893669</v>
      </c>
      <c r="AV223" s="166">
        <f t="shared" si="94"/>
        <v>68.134148064511507</v>
      </c>
    </row>
    <row r="224" spans="1:48">
      <c r="A224" s="194" t="s">
        <v>16</v>
      </c>
      <c r="B224" s="92" t="str">
        <f t="shared" si="93"/>
        <v>CNR</v>
      </c>
      <c r="C224" s="92" t="str">
        <f t="shared" si="93"/>
        <v>Commercial - Refrigeration</v>
      </c>
      <c r="E224" s="111"/>
      <c r="F224" s="111"/>
      <c r="I224" s="160"/>
      <c r="J224" s="166">
        <f t="shared" si="94"/>
        <v>0</v>
      </c>
      <c r="K224" s="166">
        <f t="shared" si="94"/>
        <v>0</v>
      </c>
      <c r="L224" s="166">
        <f t="shared" si="94"/>
        <v>0</v>
      </c>
      <c r="M224" s="166">
        <f t="shared" si="94"/>
        <v>0</v>
      </c>
      <c r="N224" s="166">
        <f t="shared" si="94"/>
        <v>0</v>
      </c>
      <c r="O224" s="166">
        <f t="shared" si="94"/>
        <v>0</v>
      </c>
      <c r="P224" s="166">
        <f t="shared" si="94"/>
        <v>0.3350302874487357</v>
      </c>
      <c r="Q224" s="166">
        <f t="shared" si="94"/>
        <v>0.69283622958553637</v>
      </c>
      <c r="R224" s="166">
        <f t="shared" si="94"/>
        <v>0.89654422327597971</v>
      </c>
      <c r="S224" s="166">
        <f t="shared" si="94"/>
        <v>1.3133431362318395</v>
      </c>
      <c r="T224" s="166">
        <f t="shared" si="94"/>
        <v>1.724847855150714</v>
      </c>
      <c r="U224" s="166">
        <f t="shared" si="94"/>
        <v>2.1330644238561254</v>
      </c>
      <c r="V224" s="166">
        <f t="shared" si="94"/>
        <v>2.5350191023942732</v>
      </c>
      <c r="W224" s="166">
        <f t="shared" si="94"/>
        <v>2.9424400895457175</v>
      </c>
      <c r="X224" s="166">
        <f t="shared" si="94"/>
        <v>3.3826678169348883</v>
      </c>
      <c r="Y224" s="166">
        <f t="shared" si="94"/>
        <v>3.8176456691774705</v>
      </c>
      <c r="Z224" s="166">
        <f t="shared" si="94"/>
        <v>4.2604513916359892</v>
      </c>
      <c r="AA224" s="166">
        <f t="shared" si="94"/>
        <v>4.7081765960163988</v>
      </c>
      <c r="AB224" s="166">
        <f t="shared" si="94"/>
        <v>5.1601483670853066</v>
      </c>
      <c r="AC224" s="166">
        <f t="shared" si="94"/>
        <v>5.6441661898149205</v>
      </c>
      <c r="AD224" s="166">
        <f t="shared" si="94"/>
        <v>6.1196987478003031</v>
      </c>
      <c r="AE224" s="166">
        <f t="shared" si="94"/>
        <v>6.6166198684544648</v>
      </c>
      <c r="AF224" s="166">
        <f t="shared" si="94"/>
        <v>7.1300878798988387</v>
      </c>
      <c r="AG224" s="166">
        <f t="shared" si="94"/>
        <v>7.6583235916270809</v>
      </c>
      <c r="AH224" s="166">
        <f t="shared" si="94"/>
        <v>8.19627222042927</v>
      </c>
      <c r="AI224" s="166">
        <f t="shared" si="94"/>
        <v>8.7422167637188526</v>
      </c>
      <c r="AJ224" s="166">
        <f t="shared" si="94"/>
        <v>9.2884777781584056</v>
      </c>
      <c r="AK224" s="166">
        <f t="shared" si="94"/>
        <v>9.8431378533954437</v>
      </c>
      <c r="AL224" s="166">
        <f t="shared" si="94"/>
        <v>10.413300938343664</v>
      </c>
      <c r="AM224" s="166">
        <f t="shared" si="94"/>
        <v>11.014051623360025</v>
      </c>
      <c r="AN224" s="166">
        <f t="shared" si="94"/>
        <v>11.607034015606818</v>
      </c>
      <c r="AO224" s="166">
        <f t="shared" si="94"/>
        <v>12.192652665167138</v>
      </c>
      <c r="AP224" s="166">
        <f t="shared" si="94"/>
        <v>12.771278641694128</v>
      </c>
      <c r="AQ224" s="166">
        <f t="shared" si="94"/>
        <v>13.343253268089573</v>
      </c>
      <c r="AR224" s="166">
        <f t="shared" si="94"/>
        <v>14.001299049887301</v>
      </c>
      <c r="AS224" s="166">
        <f t="shared" si="94"/>
        <v>14.649951564237611</v>
      </c>
      <c r="AT224" s="166">
        <f t="shared" si="94"/>
        <v>15.289727687146669</v>
      </c>
      <c r="AU224" s="166">
        <f t="shared" si="94"/>
        <v>15.921099178397213</v>
      </c>
      <c r="AV224" s="166">
        <f t="shared" si="94"/>
        <v>16.574595299747212</v>
      </c>
    </row>
    <row r="225" spans="1:48">
      <c r="A225" s="194" t="s">
        <v>16</v>
      </c>
      <c r="B225" s="92" t="str">
        <f t="shared" si="93"/>
        <v>CNW</v>
      </c>
      <c r="C225" s="92" t="str">
        <f t="shared" si="93"/>
        <v>Commercial - Water Heating</v>
      </c>
      <c r="E225" s="111"/>
      <c r="F225" s="111"/>
      <c r="I225" s="160"/>
      <c r="J225" s="166">
        <f t="shared" si="94"/>
        <v>0</v>
      </c>
      <c r="K225" s="166">
        <f t="shared" si="94"/>
        <v>0</v>
      </c>
      <c r="L225" s="166">
        <f t="shared" si="94"/>
        <v>0</v>
      </c>
      <c r="M225" s="166">
        <f t="shared" si="94"/>
        <v>0</v>
      </c>
      <c r="N225" s="166">
        <f t="shared" si="94"/>
        <v>0</v>
      </c>
      <c r="O225" s="166">
        <f t="shared" si="94"/>
        <v>0</v>
      </c>
      <c r="P225" s="166">
        <f t="shared" si="94"/>
        <v>0.17464786244388691</v>
      </c>
      <c r="Q225" s="166">
        <f t="shared" si="94"/>
        <v>0.36116844074675197</v>
      </c>
      <c r="R225" s="166">
        <f t="shared" si="94"/>
        <v>0.46735933450650663</v>
      </c>
      <c r="S225" s="166">
        <f t="shared" si="94"/>
        <v>0.6846323451677141</v>
      </c>
      <c r="T225" s="166">
        <f t="shared" si="94"/>
        <v>0.89914554662192836</v>
      </c>
      <c r="U225" s="166">
        <f t="shared" si="94"/>
        <v>1.1119446689982515</v>
      </c>
      <c r="V225" s="166">
        <f t="shared" si="94"/>
        <v>1.321479532071635</v>
      </c>
      <c r="W225" s="166">
        <f t="shared" si="94"/>
        <v>1.5338639259204025</v>
      </c>
      <c r="X225" s="166">
        <f t="shared" si="94"/>
        <v>1.7633501379358263</v>
      </c>
      <c r="Y225" s="166">
        <f t="shared" si="94"/>
        <v>1.9900996437285645</v>
      </c>
      <c r="Z225" s="166">
        <f t="shared" si="94"/>
        <v>2.2209297382081115</v>
      </c>
      <c r="AA225" s="166">
        <f t="shared" si="94"/>
        <v>2.4543243083012873</v>
      </c>
      <c r="AB225" s="166">
        <f t="shared" si="94"/>
        <v>2.689932570178927</v>
      </c>
      <c r="AC225" s="166">
        <f t="shared" si="94"/>
        <v>2.9422461110476941</v>
      </c>
      <c r="AD225" s="166">
        <f t="shared" si="94"/>
        <v>3.1901363701853209</v>
      </c>
      <c r="AE225" s="166">
        <f t="shared" si="94"/>
        <v>3.4491762682982627</v>
      </c>
      <c r="AF225" s="166">
        <f t="shared" si="94"/>
        <v>3.7168418913527006</v>
      </c>
      <c r="AG225" s="166">
        <f t="shared" si="94"/>
        <v>3.992205765533714</v>
      </c>
      <c r="AH225" s="166">
        <f t="shared" si="94"/>
        <v>4.2726328840499717</v>
      </c>
      <c r="AI225" s="166">
        <f t="shared" si="94"/>
        <v>4.5572281910131345</v>
      </c>
      <c r="AJ225" s="166">
        <f t="shared" si="94"/>
        <v>4.8419884711501808</v>
      </c>
      <c r="AK225" s="166">
        <f t="shared" si="94"/>
        <v>5.1311270957825483</v>
      </c>
      <c r="AL225" s="166">
        <f t="shared" si="94"/>
        <v>5.428347280825836</v>
      </c>
      <c r="AM225" s="166">
        <f t="shared" si="94"/>
        <v>5.7415124689608419</v>
      </c>
      <c r="AN225" s="166">
        <f t="shared" si="94"/>
        <v>6.0506281255225236</v>
      </c>
      <c r="AO225" s="166">
        <f t="shared" si="94"/>
        <v>6.3559051383318064</v>
      </c>
      <c r="AP225" s="166">
        <f t="shared" si="94"/>
        <v>6.6575369422038921</v>
      </c>
      <c r="AQ225" s="166">
        <f t="shared" si="94"/>
        <v>6.9557014652767215</v>
      </c>
      <c r="AR225" s="166">
        <f t="shared" si="94"/>
        <v>7.2987340013986231</v>
      </c>
      <c r="AS225" s="166">
        <f t="shared" si="94"/>
        <v>7.6368699232664898</v>
      </c>
      <c r="AT225" s="166">
        <f t="shared" si="94"/>
        <v>7.9703786730561674</v>
      </c>
      <c r="AU225" s="166">
        <f t="shared" si="94"/>
        <v>8.2995061743176457</v>
      </c>
      <c r="AV225" s="166">
        <f t="shared" si="94"/>
        <v>8.6401670189781807</v>
      </c>
    </row>
    <row r="226" spans="1:48">
      <c r="A226" s="194" t="s">
        <v>16</v>
      </c>
      <c r="B226" s="92" t="str">
        <f t="shared" si="93"/>
        <v>CNG</v>
      </c>
      <c r="C226" s="92" t="str">
        <f t="shared" si="93"/>
        <v>Commercial - Public lights</v>
      </c>
      <c r="E226" s="111"/>
      <c r="F226" s="111"/>
      <c r="I226" s="160"/>
      <c r="J226" s="166">
        <f t="shared" si="94"/>
        <v>0</v>
      </c>
      <c r="K226" s="166">
        <f t="shared" si="94"/>
        <v>0</v>
      </c>
      <c r="L226" s="166">
        <f t="shared" si="94"/>
        <v>0</v>
      </c>
      <c r="M226" s="166">
        <f t="shared" si="94"/>
        <v>0</v>
      </c>
      <c r="N226" s="166">
        <f t="shared" si="94"/>
        <v>0</v>
      </c>
      <c r="O226" s="166">
        <f t="shared" si="94"/>
        <v>0</v>
      </c>
      <c r="P226" s="166">
        <f t="shared" si="94"/>
        <v>0</v>
      </c>
      <c r="Q226" s="166">
        <f t="shared" si="94"/>
        <v>0</v>
      </c>
      <c r="R226" s="166">
        <f t="shared" si="94"/>
        <v>0</v>
      </c>
      <c r="S226" s="166">
        <f t="shared" si="94"/>
        <v>0</v>
      </c>
      <c r="T226" s="166">
        <f t="shared" si="94"/>
        <v>0</v>
      </c>
      <c r="U226" s="166">
        <f t="shared" si="94"/>
        <v>0</v>
      </c>
      <c r="V226" s="166">
        <f t="shared" si="94"/>
        <v>0</v>
      </c>
      <c r="W226" s="166">
        <f t="shared" si="94"/>
        <v>0</v>
      </c>
      <c r="X226" s="166">
        <f t="shared" si="94"/>
        <v>0</v>
      </c>
      <c r="Y226" s="166">
        <f t="shared" si="94"/>
        <v>0</v>
      </c>
      <c r="Z226" s="166">
        <f t="shared" si="94"/>
        <v>0</v>
      </c>
      <c r="AA226" s="166">
        <f t="shared" si="94"/>
        <v>0</v>
      </c>
      <c r="AB226" s="166">
        <f t="shared" si="94"/>
        <v>0</v>
      </c>
      <c r="AC226" s="166">
        <f t="shared" si="94"/>
        <v>0</v>
      </c>
      <c r="AD226" s="166">
        <f t="shared" si="94"/>
        <v>0</v>
      </c>
      <c r="AE226" s="166">
        <f t="shared" ref="AE226:AV228" si="95">AE192+AE203+AE214</f>
        <v>0</v>
      </c>
      <c r="AF226" s="166">
        <f t="shared" si="95"/>
        <v>0</v>
      </c>
      <c r="AG226" s="166">
        <f t="shared" si="95"/>
        <v>0</v>
      </c>
      <c r="AH226" s="166">
        <f t="shared" si="95"/>
        <v>0</v>
      </c>
      <c r="AI226" s="166">
        <f t="shared" si="95"/>
        <v>0</v>
      </c>
      <c r="AJ226" s="166">
        <f t="shared" si="95"/>
        <v>0</v>
      </c>
      <c r="AK226" s="166">
        <f t="shared" si="95"/>
        <v>0</v>
      </c>
      <c r="AL226" s="166">
        <f t="shared" si="95"/>
        <v>0</v>
      </c>
      <c r="AM226" s="166">
        <f t="shared" si="95"/>
        <v>0</v>
      </c>
      <c r="AN226" s="166">
        <f t="shared" si="95"/>
        <v>0</v>
      </c>
      <c r="AO226" s="166">
        <f t="shared" si="95"/>
        <v>0</v>
      </c>
      <c r="AP226" s="166">
        <f t="shared" si="95"/>
        <v>0</v>
      </c>
      <c r="AQ226" s="166">
        <f t="shared" si="95"/>
        <v>0</v>
      </c>
      <c r="AR226" s="166">
        <f t="shared" si="95"/>
        <v>0</v>
      </c>
      <c r="AS226" s="166">
        <f t="shared" si="95"/>
        <v>0</v>
      </c>
      <c r="AT226" s="166">
        <f t="shared" si="95"/>
        <v>0</v>
      </c>
      <c r="AU226" s="166">
        <f t="shared" si="95"/>
        <v>0</v>
      </c>
      <c r="AV226" s="166">
        <f t="shared" si="95"/>
        <v>0</v>
      </c>
    </row>
    <row r="227" spans="1:48">
      <c r="A227" s="194" t="s">
        <v>16</v>
      </c>
      <c r="B227" s="92" t="str">
        <f t="shared" si="93"/>
        <v>CNT</v>
      </c>
      <c r="C227" s="92" t="str">
        <f t="shared" si="93"/>
        <v>Commercial - Public Water</v>
      </c>
      <c r="E227" s="111"/>
      <c r="F227" s="111"/>
      <c r="I227" s="160"/>
      <c r="J227" s="166">
        <f t="shared" ref="J227:AV228" si="96">J193+J204+J215</f>
        <v>0</v>
      </c>
      <c r="K227" s="166">
        <f t="shared" si="96"/>
        <v>0</v>
      </c>
      <c r="L227" s="166">
        <f t="shared" si="96"/>
        <v>0</v>
      </c>
      <c r="M227" s="166">
        <f t="shared" si="96"/>
        <v>0</v>
      </c>
      <c r="N227" s="166">
        <f t="shared" si="96"/>
        <v>0</v>
      </c>
      <c r="O227" s="166">
        <f t="shared" si="96"/>
        <v>0</v>
      </c>
      <c r="P227" s="166">
        <f t="shared" si="96"/>
        <v>0</v>
      </c>
      <c r="Q227" s="166">
        <f t="shared" si="96"/>
        <v>0</v>
      </c>
      <c r="R227" s="166">
        <f t="shared" si="96"/>
        <v>0</v>
      </c>
      <c r="S227" s="166">
        <f t="shared" si="96"/>
        <v>0</v>
      </c>
      <c r="T227" s="166">
        <f t="shared" si="96"/>
        <v>0</v>
      </c>
      <c r="U227" s="166">
        <f t="shared" si="96"/>
        <v>0</v>
      </c>
      <c r="V227" s="166">
        <f t="shared" si="96"/>
        <v>0</v>
      </c>
      <c r="W227" s="166">
        <f t="shared" si="96"/>
        <v>0</v>
      </c>
      <c r="X227" s="166">
        <f t="shared" si="96"/>
        <v>0</v>
      </c>
      <c r="Y227" s="166">
        <f t="shared" si="96"/>
        <v>0</v>
      </c>
      <c r="Z227" s="166">
        <f t="shared" si="96"/>
        <v>0</v>
      </c>
      <c r="AA227" s="166">
        <f t="shared" si="96"/>
        <v>0</v>
      </c>
      <c r="AB227" s="166">
        <f t="shared" si="96"/>
        <v>0</v>
      </c>
      <c r="AC227" s="166">
        <f t="shared" si="96"/>
        <v>0</v>
      </c>
      <c r="AD227" s="166">
        <f t="shared" si="96"/>
        <v>0</v>
      </c>
      <c r="AE227" s="166">
        <f t="shared" si="96"/>
        <v>0</v>
      </c>
      <c r="AF227" s="166">
        <f t="shared" si="96"/>
        <v>0</v>
      </c>
      <c r="AG227" s="166">
        <f t="shared" si="96"/>
        <v>0</v>
      </c>
      <c r="AH227" s="166">
        <f t="shared" si="96"/>
        <v>0</v>
      </c>
      <c r="AI227" s="166">
        <f t="shared" si="95"/>
        <v>0</v>
      </c>
      <c r="AJ227" s="166">
        <f t="shared" si="95"/>
        <v>0</v>
      </c>
      <c r="AK227" s="166">
        <f t="shared" si="95"/>
        <v>0</v>
      </c>
      <c r="AL227" s="166">
        <f t="shared" si="95"/>
        <v>0</v>
      </c>
      <c r="AM227" s="166">
        <f t="shared" si="95"/>
        <v>0</v>
      </c>
      <c r="AN227" s="166">
        <f t="shared" si="95"/>
        <v>0</v>
      </c>
      <c r="AO227" s="166">
        <f t="shared" si="95"/>
        <v>0</v>
      </c>
      <c r="AP227" s="166">
        <f t="shared" si="95"/>
        <v>0</v>
      </c>
      <c r="AQ227" s="166">
        <f t="shared" si="95"/>
        <v>0</v>
      </c>
      <c r="AR227" s="166">
        <f t="shared" si="95"/>
        <v>0</v>
      </c>
      <c r="AS227" s="166">
        <f t="shared" si="96"/>
        <v>0</v>
      </c>
      <c r="AT227" s="166">
        <f t="shared" si="96"/>
        <v>0</v>
      </c>
      <c r="AU227" s="166">
        <f t="shared" si="96"/>
        <v>0</v>
      </c>
      <c r="AV227" s="166">
        <f t="shared" si="96"/>
        <v>0</v>
      </c>
    </row>
    <row r="228" spans="1:48">
      <c r="A228" s="194" t="s">
        <v>16</v>
      </c>
      <c r="B228" s="92" t="str">
        <f t="shared" si="93"/>
        <v>CNO</v>
      </c>
      <c r="C228" s="92" t="str">
        <f t="shared" si="93"/>
        <v>Commercial - Other</v>
      </c>
      <c r="E228" s="111"/>
      <c r="F228" s="111"/>
      <c r="I228" s="160"/>
      <c r="J228" s="166">
        <f t="shared" si="96"/>
        <v>0</v>
      </c>
      <c r="K228" s="166">
        <f t="shared" si="96"/>
        <v>0</v>
      </c>
      <c r="L228" s="166">
        <f t="shared" si="96"/>
        <v>0</v>
      </c>
      <c r="M228" s="166">
        <f t="shared" si="96"/>
        <v>0</v>
      </c>
      <c r="N228" s="166">
        <f t="shared" si="96"/>
        <v>0</v>
      </c>
      <c r="O228" s="166">
        <f t="shared" si="96"/>
        <v>0</v>
      </c>
      <c r="P228" s="166">
        <f t="shared" si="96"/>
        <v>0.22366371570704255</v>
      </c>
      <c r="Q228" s="166">
        <f t="shared" si="96"/>
        <v>0.46253228824653669</v>
      </c>
      <c r="R228" s="166">
        <f t="shared" si="96"/>
        <v>0.59852622221288887</v>
      </c>
      <c r="S228" s="166">
        <f t="shared" si="96"/>
        <v>0.87677806112649204</v>
      </c>
      <c r="T228" s="166">
        <f t="shared" si="96"/>
        <v>1.1514955356726129</v>
      </c>
      <c r="U228" s="166">
        <f t="shared" si="96"/>
        <v>1.4240178657136013</v>
      </c>
      <c r="V228" s="166">
        <f t="shared" si="96"/>
        <v>1.6923598046836066</v>
      </c>
      <c r="W228" s="166">
        <f t="shared" si="96"/>
        <v>1.9643510104257644</v>
      </c>
      <c r="X228" s="166">
        <f t="shared" si="96"/>
        <v>2.2582437507356836</v>
      </c>
      <c r="Y228" s="166">
        <f t="shared" si="96"/>
        <v>2.5486317136380867</v>
      </c>
      <c r="Z228" s="166">
        <f t="shared" si="96"/>
        <v>2.8442455041870032</v>
      </c>
      <c r="AA228" s="166">
        <f t="shared" si="96"/>
        <v>3.1431435040961606</v>
      </c>
      <c r="AB228" s="166">
        <f t="shared" si="96"/>
        <v>3.444876480185473</v>
      </c>
      <c r="AC228" s="166">
        <f t="shared" si="96"/>
        <v>3.7680031608343176</v>
      </c>
      <c r="AD228" s="166">
        <f t="shared" si="96"/>
        <v>4.0854651421632733</v>
      </c>
      <c r="AE228" s="166">
        <f t="shared" si="96"/>
        <v>4.4172059680604656</v>
      </c>
      <c r="AF228" s="166">
        <f t="shared" si="96"/>
        <v>4.7599933745689826</v>
      </c>
      <c r="AG228" s="166">
        <f t="shared" si="96"/>
        <v>5.1126395874053987</v>
      </c>
      <c r="AH228" s="166">
        <f t="shared" si="96"/>
        <v>5.4717700710808987</v>
      </c>
      <c r="AI228" s="166">
        <f t="shared" si="95"/>
        <v>5.8362385675024857</v>
      </c>
      <c r="AJ228" s="166">
        <f t="shared" si="95"/>
        <v>6.2009183376983179</v>
      </c>
      <c r="AK228" s="166">
        <f t="shared" si="95"/>
        <v>6.5712052581035252</v>
      </c>
      <c r="AL228" s="166">
        <f t="shared" si="95"/>
        <v>6.9518418719142163</v>
      </c>
      <c r="AM228" s="166">
        <f t="shared" si="95"/>
        <v>7.3528985389024824</v>
      </c>
      <c r="AN228" s="166">
        <f t="shared" si="95"/>
        <v>7.7487691517021169</v>
      </c>
      <c r="AO228" s="166">
        <f t="shared" si="95"/>
        <v>8.1397237849247723</v>
      </c>
      <c r="AP228" s="166">
        <f t="shared" si="95"/>
        <v>8.5260101618973181</v>
      </c>
      <c r="AQ228" s="166">
        <f t="shared" si="95"/>
        <v>8.9078561472377569</v>
      </c>
      <c r="AR228" s="166">
        <f t="shared" si="95"/>
        <v>9.347162592583377</v>
      </c>
      <c r="AS228" s="166">
        <f t="shared" si="96"/>
        <v>9.7801981627913541</v>
      </c>
      <c r="AT228" s="166">
        <f t="shared" si="96"/>
        <v>10.207307920420002</v>
      </c>
      <c r="AU228" s="166">
        <f t="shared" si="96"/>
        <v>10.628806808774092</v>
      </c>
      <c r="AV228" s="166">
        <f t="shared" si="96"/>
        <v>11.065075934811379</v>
      </c>
    </row>
    <row r="229" spans="1:48" ht="15.75" thickBot="1">
      <c r="A229" s="194" t="s">
        <v>16</v>
      </c>
      <c r="B229" s="90"/>
      <c r="C229" s="90"/>
      <c r="D229" s="90"/>
      <c r="E229" s="90"/>
      <c r="F229" s="90"/>
      <c r="G229" s="90"/>
      <c r="H229" s="90"/>
      <c r="I229" s="161"/>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row>
    <row r="230" spans="1:48">
      <c r="A230" s="194" t="s">
        <v>16</v>
      </c>
      <c r="E230" s="111"/>
      <c r="F230" s="111"/>
      <c r="I230" s="160"/>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9"/>
      <c r="AT230" s="99"/>
      <c r="AU230" s="99"/>
      <c r="AV230" s="99"/>
    </row>
    <row r="231" spans="1:48" ht="15.75" thickBot="1">
      <c r="A231" s="194" t="s">
        <v>16</v>
      </c>
      <c r="B231" s="90" t="s">
        <v>500</v>
      </c>
      <c r="C231" s="90"/>
      <c r="E231" s="111"/>
      <c r="F231" s="111"/>
      <c r="I231" s="160"/>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row>
    <row r="232" spans="1:48">
      <c r="A232" s="194" t="s">
        <v>16</v>
      </c>
      <c r="E232" s="111"/>
      <c r="F232" s="111"/>
      <c r="I232" s="160"/>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c r="AJ232" s="99"/>
      <c r="AK232" s="99"/>
      <c r="AL232" s="99"/>
      <c r="AM232" s="99"/>
      <c r="AN232" s="99"/>
      <c r="AO232" s="99"/>
      <c r="AP232" s="99"/>
      <c r="AQ232" s="99"/>
      <c r="AR232" s="99"/>
      <c r="AS232" s="99"/>
      <c r="AT232" s="99"/>
      <c r="AU232" s="99"/>
      <c r="AV232" s="99"/>
    </row>
    <row r="233" spans="1:48">
      <c r="A233" s="194" t="s">
        <v>16</v>
      </c>
      <c r="B233" s="92" t="str">
        <f t="shared" ref="B233:C241" si="97">B162</f>
        <v>CEC</v>
      </c>
      <c r="C233" s="92" t="str">
        <f t="shared" si="97"/>
        <v>Commercial - Cooling</v>
      </c>
      <c r="E233" s="111"/>
      <c r="F233" s="111"/>
      <c r="I233" s="160"/>
      <c r="J233" s="99">
        <f t="shared" ref="J233:AV239" si="98">J162+J174+J151</f>
        <v>139.66439435388435</v>
      </c>
      <c r="K233" s="99">
        <f t="shared" si="98"/>
        <v>135.91206875329351</v>
      </c>
      <c r="L233" s="99">
        <f t="shared" si="98"/>
        <v>132.46001856592557</v>
      </c>
      <c r="M233" s="99">
        <f t="shared" si="98"/>
        <v>128.70532315183087</v>
      </c>
      <c r="N233" s="99">
        <f t="shared" si="98"/>
        <v>124.79103145901988</v>
      </c>
      <c r="O233" s="99">
        <f t="shared" si="98"/>
        <v>120.28334032399778</v>
      </c>
      <c r="P233" s="99">
        <f t="shared" si="98"/>
        <v>119.47615719794113</v>
      </c>
      <c r="Q233" s="99">
        <f t="shared" si="98"/>
        <v>118.6958707269869</v>
      </c>
      <c r="R233" s="99">
        <f t="shared" si="98"/>
        <v>117.73360400439491</v>
      </c>
      <c r="S233" s="99">
        <f t="shared" si="98"/>
        <v>117.02298462364368</v>
      </c>
      <c r="T233" s="99">
        <f t="shared" si="98"/>
        <v>116.30611312355676</v>
      </c>
      <c r="U233" s="99">
        <f t="shared" si="98"/>
        <v>115.58535851918907</v>
      </c>
      <c r="V233" s="99">
        <f t="shared" si="98"/>
        <v>114.85720900554546</v>
      </c>
      <c r="W233" s="99">
        <f t="shared" si="98"/>
        <v>114.1355148680247</v>
      </c>
      <c r="X233" s="99">
        <f t="shared" si="98"/>
        <v>113.45256348408415</v>
      </c>
      <c r="Y233" s="99">
        <f t="shared" si="98"/>
        <v>112.76341231870671</v>
      </c>
      <c r="Z233" s="99">
        <f t="shared" si="98"/>
        <v>112.0835053892587</v>
      </c>
      <c r="AA233" s="99">
        <f t="shared" si="98"/>
        <v>111.40940806705792</v>
      </c>
      <c r="AB233" s="99">
        <f t="shared" si="98"/>
        <v>110.74032568037288</v>
      </c>
      <c r="AC233" s="99">
        <f t="shared" si="98"/>
        <v>110.11486141193454</v>
      </c>
      <c r="AD233" s="99">
        <f t="shared" si="98"/>
        <v>109.47927534687243</v>
      </c>
      <c r="AE233" s="99">
        <f t="shared" si="98"/>
        <v>108.86920300329494</v>
      </c>
      <c r="AF233" s="99">
        <f t="shared" si="98"/>
        <v>108.27886890812601</v>
      </c>
      <c r="AG233" s="99">
        <f t="shared" si="98"/>
        <v>107.70615072281723</v>
      </c>
      <c r="AH233" s="99">
        <f t="shared" si="98"/>
        <v>107.14501876070941</v>
      </c>
      <c r="AI233" s="99">
        <f t="shared" si="98"/>
        <v>106.59342486520313</v>
      </c>
      <c r="AJ233" s="99">
        <f t="shared" si="98"/>
        <v>106.04220847784939</v>
      </c>
      <c r="AK233" s="99">
        <f t="shared" si="98"/>
        <v>105.50101105723209</v>
      </c>
      <c r="AL233" s="99">
        <f t="shared" si="98"/>
        <v>104.97830667320031</v>
      </c>
      <c r="AM233" s="99">
        <f t="shared" si="98"/>
        <v>104.50671405927272</v>
      </c>
      <c r="AN233" s="99">
        <f t="shared" si="98"/>
        <v>104.02566578815134</v>
      </c>
      <c r="AO233" s="99">
        <f t="shared" si="98"/>
        <v>103.5356542829486</v>
      </c>
      <c r="AP233" s="99">
        <f t="shared" si="98"/>
        <v>103.0371312140043</v>
      </c>
      <c r="AQ233" s="99">
        <f t="shared" si="98"/>
        <v>102.53051204356318</v>
      </c>
      <c r="AR233" s="99">
        <f t="shared" si="98"/>
        <v>102.12865969433958</v>
      </c>
      <c r="AS233" s="99">
        <f t="shared" si="98"/>
        <v>101.7153737496598</v>
      </c>
      <c r="AT233" s="99">
        <f t="shared" si="98"/>
        <v>101.29128335706906</v>
      </c>
      <c r="AU233" s="99">
        <f t="shared" si="98"/>
        <v>100.85696274811545</v>
      </c>
      <c r="AV233" s="99">
        <f t="shared" si="98"/>
        <v>100.44957249876138</v>
      </c>
    </row>
    <row r="234" spans="1:48">
      <c r="A234" s="194" t="s">
        <v>16</v>
      </c>
      <c r="B234" s="92" t="str">
        <f t="shared" si="97"/>
        <v>CEH</v>
      </c>
      <c r="C234" s="92" t="str">
        <f t="shared" si="97"/>
        <v>Commercial - Space Heating</v>
      </c>
      <c r="E234" s="111"/>
      <c r="F234" s="111"/>
      <c r="I234" s="160"/>
      <c r="J234" s="99">
        <f t="shared" si="98"/>
        <v>7.8517549075018991</v>
      </c>
      <c r="K234" s="99">
        <f t="shared" si="98"/>
        <v>8.5481458503642624</v>
      </c>
      <c r="L234" s="99">
        <f t="shared" si="98"/>
        <v>9.282962289600075</v>
      </c>
      <c r="M234" s="99">
        <f t="shared" si="98"/>
        <v>10.018335457385795</v>
      </c>
      <c r="N234" s="99">
        <f t="shared" si="98"/>
        <v>10.761970407471427</v>
      </c>
      <c r="O234" s="99">
        <f t="shared" si="98"/>
        <v>11.470981711368385</v>
      </c>
      <c r="P234" s="99">
        <f t="shared" si="98"/>
        <v>11.394003612391582</v>
      </c>
      <c r="Q234" s="99">
        <f t="shared" si="98"/>
        <v>11.319590548921324</v>
      </c>
      <c r="R234" s="99">
        <f t="shared" si="98"/>
        <v>11.227822695230378</v>
      </c>
      <c r="S234" s="99">
        <f t="shared" si="98"/>
        <v>11.160053527044788</v>
      </c>
      <c r="T234" s="99">
        <f t="shared" si="98"/>
        <v>11.091688117132261</v>
      </c>
      <c r="U234" s="99">
        <f t="shared" si="98"/>
        <v>11.022952389783685</v>
      </c>
      <c r="V234" s="99">
        <f t="shared" si="98"/>
        <v>10.953511437016253</v>
      </c>
      <c r="W234" s="99">
        <f t="shared" si="98"/>
        <v>10.884686109831264</v>
      </c>
      <c r="X234" s="99">
        <f t="shared" si="98"/>
        <v>10.819555537186426</v>
      </c>
      <c r="Y234" s="99">
        <f t="shared" si="98"/>
        <v>10.753833714088405</v>
      </c>
      <c r="Z234" s="99">
        <f t="shared" si="98"/>
        <v>10.688993479920295</v>
      </c>
      <c r="AA234" s="99">
        <f t="shared" si="98"/>
        <v>10.624707286721645</v>
      </c>
      <c r="AB234" s="99">
        <f t="shared" si="98"/>
        <v>10.560899349559364</v>
      </c>
      <c r="AC234" s="99">
        <f t="shared" si="98"/>
        <v>10.501251112612795</v>
      </c>
      <c r="AD234" s="99">
        <f t="shared" si="98"/>
        <v>10.440637596986363</v>
      </c>
      <c r="AE234" s="99">
        <f t="shared" si="98"/>
        <v>10.382457231551394</v>
      </c>
      <c r="AF234" s="99">
        <f t="shared" si="98"/>
        <v>10.326159230589337</v>
      </c>
      <c r="AG234" s="99">
        <f t="shared" si="98"/>
        <v>10.271541194444438</v>
      </c>
      <c r="AH234" s="99">
        <f t="shared" si="98"/>
        <v>10.21802809397961</v>
      </c>
      <c r="AI234" s="99">
        <f t="shared" si="98"/>
        <v>10.165424603999938</v>
      </c>
      <c r="AJ234" s="99">
        <f t="shared" si="98"/>
        <v>10.112857115590407</v>
      </c>
      <c r="AK234" s="99">
        <f t="shared" si="98"/>
        <v>10.061245099350931</v>
      </c>
      <c r="AL234" s="99">
        <f t="shared" si="98"/>
        <v>10.011396696292536</v>
      </c>
      <c r="AM234" s="99">
        <f t="shared" si="98"/>
        <v>9.9664226355871364</v>
      </c>
      <c r="AN234" s="99">
        <f t="shared" si="98"/>
        <v>9.9205468234800307</v>
      </c>
      <c r="AO234" s="99">
        <f t="shared" si="98"/>
        <v>9.8738162205602897</v>
      </c>
      <c r="AP234" s="99">
        <f t="shared" si="98"/>
        <v>9.8262739009742894</v>
      </c>
      <c r="AQ234" s="99">
        <f t="shared" si="98"/>
        <v>9.7779594858349625</v>
      </c>
      <c r="AR234" s="99">
        <f t="shared" si="98"/>
        <v>9.7396362987984375</v>
      </c>
      <c r="AS234" s="99">
        <f t="shared" si="98"/>
        <v>9.7002227316309693</v>
      </c>
      <c r="AT234" s="99">
        <f t="shared" si="98"/>
        <v>9.6597787838301201</v>
      </c>
      <c r="AU234" s="99">
        <f t="shared" si="98"/>
        <v>9.6183592177559056</v>
      </c>
      <c r="AV234" s="99">
        <f t="shared" si="98"/>
        <v>9.5795079014627049</v>
      </c>
    </row>
    <row r="235" spans="1:48">
      <c r="A235" s="194" t="s">
        <v>16</v>
      </c>
      <c r="B235" s="92" t="str">
        <f t="shared" si="97"/>
        <v>CEK</v>
      </c>
      <c r="C235" s="92" t="str">
        <f t="shared" si="97"/>
        <v>Commercial - Cooking</v>
      </c>
      <c r="E235" s="111"/>
      <c r="F235" s="111"/>
      <c r="I235" s="160"/>
      <c r="J235" s="99">
        <f t="shared" si="98"/>
        <v>9.8944997565297612</v>
      </c>
      <c r="K235" s="99">
        <f t="shared" si="98"/>
        <v>9.639891973427412</v>
      </c>
      <c r="L235" s="99">
        <f t="shared" si="98"/>
        <v>9.4068236837096606</v>
      </c>
      <c r="M235" s="99">
        <f t="shared" si="98"/>
        <v>9.1525319237345215</v>
      </c>
      <c r="N235" s="99">
        <f t="shared" si="98"/>
        <v>8.8871468025102622</v>
      </c>
      <c r="O235" s="99">
        <f t="shared" si="98"/>
        <v>8.579706769854079</v>
      </c>
      <c r="P235" s="99">
        <f t="shared" si="98"/>
        <v>8.5221310946817272</v>
      </c>
      <c r="Q235" s="99">
        <f t="shared" si="98"/>
        <v>8.4664739346856805</v>
      </c>
      <c r="R235" s="99">
        <f t="shared" si="98"/>
        <v>8.3978362805268461</v>
      </c>
      <c r="S235" s="99">
        <f t="shared" si="98"/>
        <v>8.3471484138996139</v>
      </c>
      <c r="T235" s="99">
        <f t="shared" si="98"/>
        <v>8.2960145890004728</v>
      </c>
      <c r="U235" s="99">
        <f t="shared" si="98"/>
        <v>8.2446037856270387</v>
      </c>
      <c r="V235" s="99">
        <f t="shared" si="98"/>
        <v>8.1926655097623495</v>
      </c>
      <c r="W235" s="99">
        <f t="shared" si="98"/>
        <v>8.1411876903006331</v>
      </c>
      <c r="X235" s="99">
        <f t="shared" si="98"/>
        <v>8.0924733579875081</v>
      </c>
      <c r="Y235" s="99">
        <f t="shared" si="98"/>
        <v>8.0433168006195892</v>
      </c>
      <c r="Z235" s="99">
        <f t="shared" si="98"/>
        <v>7.9948196266157501</v>
      </c>
      <c r="AA235" s="99">
        <f t="shared" si="98"/>
        <v>7.9467368468787738</v>
      </c>
      <c r="AB235" s="99">
        <f t="shared" si="98"/>
        <v>7.8990117781604559</v>
      </c>
      <c r="AC235" s="99">
        <f t="shared" si="98"/>
        <v>7.8543979521412606</v>
      </c>
      <c r="AD235" s="99">
        <f t="shared" si="98"/>
        <v>7.809062147111657</v>
      </c>
      <c r="AE235" s="99">
        <f t="shared" si="98"/>
        <v>7.7655462137979203</v>
      </c>
      <c r="AF235" s="99">
        <f t="shared" si="98"/>
        <v>7.7234381926941378</v>
      </c>
      <c r="AG235" s="99">
        <f t="shared" si="98"/>
        <v>7.6825866992248288</v>
      </c>
      <c r="AH235" s="99">
        <f t="shared" si="98"/>
        <v>7.6425616410487764</v>
      </c>
      <c r="AI235" s="99">
        <f t="shared" si="98"/>
        <v>7.6032169249248494</v>
      </c>
      <c r="AJ235" s="99">
        <f t="shared" si="98"/>
        <v>7.5638991361313668</v>
      </c>
      <c r="AK235" s="99">
        <f t="shared" si="98"/>
        <v>7.5252959915812552</v>
      </c>
      <c r="AL235" s="99">
        <f t="shared" si="98"/>
        <v>7.4880119393573157</v>
      </c>
      <c r="AM235" s="99">
        <f t="shared" si="98"/>
        <v>7.4543736455468066</v>
      </c>
      <c r="AN235" s="99">
        <f t="shared" si="98"/>
        <v>7.4200608878760503</v>
      </c>
      <c r="AO235" s="99">
        <f t="shared" si="98"/>
        <v>7.3851087904603148</v>
      </c>
      <c r="AP235" s="99">
        <f t="shared" si="98"/>
        <v>7.3495495705548102</v>
      </c>
      <c r="AQ235" s="99">
        <f t="shared" si="98"/>
        <v>7.3134128627225916</v>
      </c>
      <c r="AR235" s="99">
        <f t="shared" si="98"/>
        <v>7.2847490817548497</v>
      </c>
      <c r="AS235" s="99">
        <f t="shared" si="98"/>
        <v>7.2552697522990544</v>
      </c>
      <c r="AT235" s="99">
        <f t="shared" si="98"/>
        <v>7.225019750906176</v>
      </c>
      <c r="AU235" s="99">
        <f t="shared" si="98"/>
        <v>7.1940400370165474</v>
      </c>
      <c r="AV235" s="99">
        <f t="shared" si="98"/>
        <v>7.1649812424158927</v>
      </c>
    </row>
    <row r="236" spans="1:48">
      <c r="A236" s="194" t="s">
        <v>16</v>
      </c>
      <c r="B236" s="92" t="str">
        <f t="shared" si="97"/>
        <v>CEL</v>
      </c>
      <c r="C236" s="92" t="str">
        <f t="shared" si="97"/>
        <v>Commercial - Lighting</v>
      </c>
      <c r="E236" s="111"/>
      <c r="F236" s="111"/>
      <c r="I236" s="160"/>
      <c r="J236" s="99">
        <f t="shared" si="98"/>
        <v>121.54027190568891</v>
      </c>
      <c r="K236" s="99">
        <f t="shared" si="98"/>
        <v>118.27488221288776</v>
      </c>
      <c r="L236" s="99">
        <f t="shared" si="98"/>
        <v>115.2708014638481</v>
      </c>
      <c r="M236" s="99">
        <f t="shared" si="98"/>
        <v>112.00334948610346</v>
      </c>
      <c r="N236" s="99">
        <f t="shared" si="98"/>
        <v>108.59701189474154</v>
      </c>
      <c r="O236" s="99">
        <f t="shared" si="98"/>
        <v>104.67427977141128</v>
      </c>
      <c r="P236" s="99">
        <f t="shared" si="98"/>
        <v>103.97184407137146</v>
      </c>
      <c r="Q236" s="99">
        <f t="shared" si="98"/>
        <v>103.29281467176793</v>
      </c>
      <c r="R236" s="99">
        <f t="shared" si="98"/>
        <v>102.45542043359663</v>
      </c>
      <c r="S236" s="99">
        <f t="shared" si="98"/>
        <v>101.83701748875505</v>
      </c>
      <c r="T236" s="99">
        <f t="shared" si="98"/>
        <v>101.21317375646325</v>
      </c>
      <c r="U236" s="99">
        <f t="shared" si="98"/>
        <v>100.58595082682979</v>
      </c>
      <c r="V236" s="99">
        <f t="shared" si="98"/>
        <v>99.95229261862535</v>
      </c>
      <c r="W236" s="99">
        <f t="shared" si="98"/>
        <v>99.324252078208431</v>
      </c>
      <c r="X236" s="99">
        <f t="shared" si="98"/>
        <v>98.729926679193866</v>
      </c>
      <c r="Y236" s="99">
        <f t="shared" si="98"/>
        <v>98.130206038785943</v>
      </c>
      <c r="Z236" s="99">
        <f t="shared" si="98"/>
        <v>97.538530018151164</v>
      </c>
      <c r="AA236" s="99">
        <f t="shared" si="98"/>
        <v>96.951909697272654</v>
      </c>
      <c r="AB236" s="99">
        <f t="shared" si="98"/>
        <v>96.369653528252542</v>
      </c>
      <c r="AC236" s="99">
        <f t="shared" si="98"/>
        <v>95.825355193627104</v>
      </c>
      <c r="AD236" s="99">
        <f t="shared" si="98"/>
        <v>95.272248558793734</v>
      </c>
      <c r="AE236" s="99">
        <f t="shared" si="98"/>
        <v>94.741344752826762</v>
      </c>
      <c r="AF236" s="99">
        <f t="shared" si="98"/>
        <v>94.227617780580516</v>
      </c>
      <c r="AG236" s="99">
        <f t="shared" si="98"/>
        <v>93.72922071746514</v>
      </c>
      <c r="AH236" s="99">
        <f t="shared" si="98"/>
        <v>93.240906343819177</v>
      </c>
      <c r="AI236" s="99">
        <f t="shared" si="98"/>
        <v>92.760892290477273</v>
      </c>
      <c r="AJ236" s="99">
        <f t="shared" si="98"/>
        <v>92.281206756395534</v>
      </c>
      <c r="AK236" s="99">
        <f t="shared" si="98"/>
        <v>91.810240036776122</v>
      </c>
      <c r="AL236" s="99">
        <f t="shared" si="98"/>
        <v>91.355366529069158</v>
      </c>
      <c r="AM236" s="99">
        <f t="shared" si="98"/>
        <v>90.944972063173708</v>
      </c>
      <c r="AN236" s="99">
        <f t="shared" si="98"/>
        <v>90.526348992187494</v>
      </c>
      <c r="AO236" s="99">
        <f t="shared" si="98"/>
        <v>90.099925837919898</v>
      </c>
      <c r="AP236" s="99">
        <f t="shared" si="98"/>
        <v>89.666095657858222</v>
      </c>
      <c r="AQ236" s="99">
        <f t="shared" si="98"/>
        <v>89.22522000008658</v>
      </c>
      <c r="AR236" s="99">
        <f t="shared" si="98"/>
        <v>88.875515667665084</v>
      </c>
      <c r="AS236" s="99">
        <f t="shared" si="98"/>
        <v>88.515861467154224</v>
      </c>
      <c r="AT236" s="99">
        <f t="shared" si="98"/>
        <v>88.146804902189871</v>
      </c>
      <c r="AU236" s="99">
        <f t="shared" si="98"/>
        <v>87.768845686810252</v>
      </c>
      <c r="AV236" s="99">
        <f t="shared" si="98"/>
        <v>87.414322102561869</v>
      </c>
    </row>
    <row r="237" spans="1:48">
      <c r="A237" s="194" t="s">
        <v>16</v>
      </c>
      <c r="B237" s="92" t="str">
        <f t="shared" si="97"/>
        <v>CER</v>
      </c>
      <c r="C237" s="92" t="str">
        <f t="shared" si="97"/>
        <v>Commercial - Refrigeration</v>
      </c>
      <c r="E237" s="111"/>
      <c r="F237" s="111"/>
      <c r="I237" s="160"/>
      <c r="J237" s="99">
        <f t="shared" si="98"/>
        <v>29.566390373747055</v>
      </c>
      <c r="K237" s="99">
        <f t="shared" si="98"/>
        <v>28.772038140812398</v>
      </c>
      <c r="L237" s="99">
        <f t="shared" si="98"/>
        <v>28.041253004760659</v>
      </c>
      <c r="M237" s="99">
        <f t="shared" si="98"/>
        <v>27.246399091841703</v>
      </c>
      <c r="N237" s="99">
        <f t="shared" si="98"/>
        <v>26.417759288821308</v>
      </c>
      <c r="O237" s="99">
        <f t="shared" si="98"/>
        <v>25.463499211305457</v>
      </c>
      <c r="P237" s="99">
        <f t="shared" si="98"/>
        <v>25.292621791054586</v>
      </c>
      <c r="Q237" s="99">
        <f t="shared" si="98"/>
        <v>25.12743828447573</v>
      </c>
      <c r="R237" s="99">
        <f t="shared" si="98"/>
        <v>24.923730290785286</v>
      </c>
      <c r="S237" s="99">
        <f t="shared" si="98"/>
        <v>24.773295026911196</v>
      </c>
      <c r="T237" s="99">
        <f t="shared" si="98"/>
        <v>24.621536214527861</v>
      </c>
      <c r="U237" s="99">
        <f t="shared" si="98"/>
        <v>24.46895536459116</v>
      </c>
      <c r="V237" s="99">
        <f t="shared" si="98"/>
        <v>24.314809042112639</v>
      </c>
      <c r="W237" s="99">
        <f t="shared" si="98"/>
        <v>24.162029296787445</v>
      </c>
      <c r="X237" s="99">
        <f t="shared" si="98"/>
        <v>24.017451236521683</v>
      </c>
      <c r="Y237" s="99">
        <f t="shared" si="98"/>
        <v>23.871560707469278</v>
      </c>
      <c r="Z237" s="99">
        <f t="shared" si="98"/>
        <v>23.727627145970857</v>
      </c>
      <c r="AA237" s="99">
        <f t="shared" si="98"/>
        <v>23.5849234549529</v>
      </c>
      <c r="AB237" s="99">
        <f t="shared" si="98"/>
        <v>23.443281405607074</v>
      </c>
      <c r="AC237" s="99">
        <f t="shared" si="98"/>
        <v>23.310873136405537</v>
      </c>
      <c r="AD237" s="99">
        <f t="shared" si="98"/>
        <v>23.17632212358172</v>
      </c>
      <c r="AE237" s="99">
        <f t="shared" si="98"/>
        <v>23.04717226294699</v>
      </c>
      <c r="AF237" s="99">
        <f t="shared" si="98"/>
        <v>22.922200910087561</v>
      </c>
      <c r="AG237" s="99">
        <f t="shared" si="98"/>
        <v>22.800958774471539</v>
      </c>
      <c r="AH237" s="99">
        <f t="shared" si="98"/>
        <v>22.682169395692373</v>
      </c>
      <c r="AI237" s="99">
        <f t="shared" si="98"/>
        <v>22.565399187238299</v>
      </c>
      <c r="AJ237" s="99">
        <f t="shared" si="98"/>
        <v>22.448708895741291</v>
      </c>
      <c r="AK237" s="99">
        <f t="shared" si="98"/>
        <v>22.334139579193149</v>
      </c>
      <c r="AL237" s="99">
        <f t="shared" si="98"/>
        <v>22.223485164087222</v>
      </c>
      <c r="AM237" s="99">
        <f t="shared" si="98"/>
        <v>22.123650905074648</v>
      </c>
      <c r="AN237" s="99">
        <f t="shared" si="98"/>
        <v>22.021814921477052</v>
      </c>
      <c r="AO237" s="99">
        <f t="shared" si="98"/>
        <v>21.918081457286156</v>
      </c>
      <c r="AP237" s="99">
        <f t="shared" si="98"/>
        <v>21.812546129295704</v>
      </c>
      <c r="AQ237" s="99">
        <f t="shared" si="98"/>
        <v>21.70529688919137</v>
      </c>
      <c r="AR237" s="99">
        <f t="shared" si="98"/>
        <v>21.620226363631023</v>
      </c>
      <c r="AS237" s="99">
        <f t="shared" si="98"/>
        <v>21.532735391913324</v>
      </c>
      <c r="AT237" s="99">
        <f t="shared" si="98"/>
        <v>21.442957162042347</v>
      </c>
      <c r="AU237" s="99">
        <f t="shared" si="98"/>
        <v>21.35101323652653</v>
      </c>
      <c r="AV237" s="99">
        <f t="shared" si="98"/>
        <v>21.264770359789164</v>
      </c>
    </row>
    <row r="238" spans="1:48">
      <c r="A238" s="194" t="s">
        <v>16</v>
      </c>
      <c r="B238" s="92" t="str">
        <f t="shared" si="97"/>
        <v>CEW</v>
      </c>
      <c r="C238" s="92" t="str">
        <f t="shared" si="97"/>
        <v>Commercial - Water Heating</v>
      </c>
      <c r="E238" s="111"/>
      <c r="F238" s="111"/>
      <c r="I238" s="160"/>
      <c r="J238" s="99">
        <f t="shared" si="98"/>
        <v>9.6831090230750316</v>
      </c>
      <c r="K238" s="99">
        <f t="shared" si="98"/>
        <v>10.373780123530006</v>
      </c>
      <c r="L238" s="99">
        <f t="shared" si="98"/>
        <v>11.107846566457823</v>
      </c>
      <c r="M238" s="99">
        <f t="shared" si="98"/>
        <v>11.839343352056451</v>
      </c>
      <c r="N238" s="99">
        <f t="shared" si="98"/>
        <v>12.577835119303142</v>
      </c>
      <c r="O238" s="99">
        <f t="shared" si="98"/>
        <v>13.273861719969343</v>
      </c>
      <c r="P238" s="99">
        <f t="shared" si="98"/>
        <v>13.184785068380622</v>
      </c>
      <c r="Q238" s="99">
        <f t="shared" si="98"/>
        <v>13.098676595756643</v>
      </c>
      <c r="R238" s="99">
        <f t="shared" si="98"/>
        <v>12.992485701996889</v>
      </c>
      <c r="S238" s="99">
        <f t="shared" si="98"/>
        <v>12.914065337462496</v>
      </c>
      <c r="T238" s="99">
        <f t="shared" si="98"/>
        <v>12.834955020626357</v>
      </c>
      <c r="U238" s="99">
        <f t="shared" si="98"/>
        <v>12.755416184020746</v>
      </c>
      <c r="V238" s="99">
        <f t="shared" si="98"/>
        <v>12.675061282589395</v>
      </c>
      <c r="W238" s="99">
        <f t="shared" si="98"/>
        <v>12.595418763851894</v>
      </c>
      <c r="X238" s="99">
        <f t="shared" si="98"/>
        <v>12.520051699656058</v>
      </c>
      <c r="Y238" s="99">
        <f t="shared" si="98"/>
        <v>12.444000458904551</v>
      </c>
      <c r="Z238" s="99">
        <f t="shared" si="98"/>
        <v>12.368969365324741</v>
      </c>
      <c r="AA238" s="99">
        <f t="shared" si="98"/>
        <v>12.294579390648343</v>
      </c>
      <c r="AB238" s="99">
        <f t="shared" si="98"/>
        <v>12.220742838918058</v>
      </c>
      <c r="AC238" s="99">
        <f t="shared" si="98"/>
        <v>12.151719762341791</v>
      </c>
      <c r="AD238" s="99">
        <f t="shared" si="98"/>
        <v>12.081579695429379</v>
      </c>
      <c r="AE238" s="99">
        <f t="shared" si="98"/>
        <v>12.014255193914769</v>
      </c>
      <c r="AF238" s="99">
        <f t="shared" si="98"/>
        <v>11.949108905769227</v>
      </c>
      <c r="AG238" s="99">
        <f t="shared" si="98"/>
        <v>11.885906620433426</v>
      </c>
      <c r="AH238" s="99">
        <f t="shared" si="98"/>
        <v>11.823982932151978</v>
      </c>
      <c r="AI238" s="99">
        <f t="shared" si="98"/>
        <v>11.76311181671066</v>
      </c>
      <c r="AJ238" s="99">
        <f t="shared" si="98"/>
        <v>11.702282361161735</v>
      </c>
      <c r="AK238" s="99">
        <f t="shared" si="98"/>
        <v>11.642558548162135</v>
      </c>
      <c r="AL238" s="99">
        <f t="shared" si="98"/>
        <v>11.5848755332461</v>
      </c>
      <c r="AM238" s="99">
        <f t="shared" si="98"/>
        <v>11.532832955042235</v>
      </c>
      <c r="AN238" s="99">
        <f t="shared" si="98"/>
        <v>11.47974689828412</v>
      </c>
      <c r="AO238" s="99">
        <f t="shared" si="98"/>
        <v>11.425671704298527</v>
      </c>
      <c r="AP238" s="99">
        <f t="shared" si="98"/>
        <v>11.370657217142146</v>
      </c>
      <c r="AQ238" s="99">
        <f t="shared" si="98"/>
        <v>11.314749285129224</v>
      </c>
      <c r="AR238" s="99">
        <f t="shared" si="98"/>
        <v>11.270402890183167</v>
      </c>
      <c r="AS238" s="99">
        <f t="shared" si="98"/>
        <v>11.224794741409536</v>
      </c>
      <c r="AT238" s="99">
        <f t="shared" si="98"/>
        <v>11.17799426835272</v>
      </c>
      <c r="AU238" s="99">
        <f t="shared" si="98"/>
        <v>11.130064840305129</v>
      </c>
      <c r="AV238" s="99">
        <f t="shared" si="98"/>
        <v>11.085107310680298</v>
      </c>
    </row>
    <row r="239" spans="1:48">
      <c r="A239" s="194" t="s">
        <v>16</v>
      </c>
      <c r="B239" s="92" t="str">
        <f t="shared" si="97"/>
        <v>CEG</v>
      </c>
      <c r="C239" s="92" t="str">
        <f t="shared" si="97"/>
        <v>Commercial - Public lights</v>
      </c>
      <c r="E239" s="111"/>
      <c r="F239" s="111"/>
      <c r="I239" s="160"/>
      <c r="J239" s="99">
        <f t="shared" si="98"/>
        <v>10.30055287377321</v>
      </c>
      <c r="K239" s="99">
        <f t="shared" si="98"/>
        <v>10.023810698880988</v>
      </c>
      <c r="L239" s="99">
        <f t="shared" si="98"/>
        <v>9.7692144888562282</v>
      </c>
      <c r="M239" s="99">
        <f t="shared" si="98"/>
        <v>9.4922975350634147</v>
      </c>
      <c r="N239" s="99">
        <f t="shared" si="98"/>
        <v>9.2036100085703758</v>
      </c>
      <c r="O239" s="99">
        <f t="shared" si="98"/>
        <v>8.8711579824850144</v>
      </c>
      <c r="P239" s="99">
        <f t="shared" si="98"/>
        <v>8.9283467453532221</v>
      </c>
      <c r="Q239" s="99">
        <f t="shared" si="98"/>
        <v>8.995453942310931</v>
      </c>
      <c r="R239" s="99">
        <f t="shared" si="98"/>
        <v>8.995453942310931</v>
      </c>
      <c r="S239" s="99">
        <f t="shared" si="98"/>
        <v>9.0882516364607788</v>
      </c>
      <c r="T239" s="99">
        <f t="shared" si="98"/>
        <v>9.1787437936092946</v>
      </c>
      <c r="U239" s="99">
        <f t="shared" si="98"/>
        <v>9.2678040138227225</v>
      </c>
      <c r="V239" s="99">
        <f t="shared" si="98"/>
        <v>9.3541372808156904</v>
      </c>
      <c r="W239" s="99">
        <f t="shared" si="98"/>
        <v>9.4428510379608159</v>
      </c>
      <c r="X239" s="99">
        <f t="shared" si="98"/>
        <v>9.5458516068439963</v>
      </c>
      <c r="Y239" s="99">
        <f t="shared" si="98"/>
        <v>9.6465659388952307</v>
      </c>
      <c r="Z239" s="99">
        <f t="shared" si="98"/>
        <v>9.750689183483173</v>
      </c>
      <c r="AA239" s="99">
        <f t="shared" si="98"/>
        <v>9.8569547839271863</v>
      </c>
      <c r="AB239" s="99">
        <f t="shared" si="98"/>
        <v>9.9650696963836705</v>
      </c>
      <c r="AC239" s="99">
        <f t="shared" si="98"/>
        <v>10.089269264322065</v>
      </c>
      <c r="AD239" s="99">
        <f t="shared" si="98"/>
        <v>10.209736309673625</v>
      </c>
      <c r="AE239" s="99">
        <f t="shared" ref="K239:AV241" si="99">AE168+AE180+AE157</f>
        <v>10.339611817302737</v>
      </c>
      <c r="AF239" s="99">
        <f t="shared" si="99"/>
        <v>10.47676601870017</v>
      </c>
      <c r="AG239" s="99">
        <f t="shared" si="99"/>
        <v>10.620416278444232</v>
      </c>
      <c r="AH239" s="99">
        <f t="shared" si="99"/>
        <v>10.768339084002173</v>
      </c>
      <c r="AI239" s="99">
        <f t="shared" si="99"/>
        <v>10.919779155352776</v>
      </c>
      <c r="AJ239" s="99">
        <f t="shared" si="99"/>
        <v>11.071358436940297</v>
      </c>
      <c r="AK239" s="99">
        <f t="shared" si="99"/>
        <v>11.226632321475375</v>
      </c>
      <c r="AL239" s="99">
        <f t="shared" si="99"/>
        <v>11.38872571437644</v>
      </c>
      <c r="AM239" s="99">
        <f t="shared" si="99"/>
        <v>11.569667128380731</v>
      </c>
      <c r="AN239" s="99">
        <f t="shared" si="99"/>
        <v>11.74712166595774</v>
      </c>
      <c r="AO239" s="99">
        <f t="shared" si="99"/>
        <v>11.921270913485619</v>
      </c>
      <c r="AP239" s="99">
        <f t="shared" si="99"/>
        <v>12.092281429314415</v>
      </c>
      <c r="AQ239" s="99">
        <f t="shared" si="99"/>
        <v>12.260306419665319</v>
      </c>
      <c r="AR239" s="99">
        <f t="shared" si="99"/>
        <v>12.466965314754809</v>
      </c>
      <c r="AS239" s="99">
        <f t="shared" si="99"/>
        <v>12.66940794717126</v>
      </c>
      <c r="AT239" s="99">
        <f t="shared" si="99"/>
        <v>12.867866321914383</v>
      </c>
      <c r="AU239" s="99">
        <f t="shared" si="99"/>
        <v>13.062552193112735</v>
      </c>
      <c r="AV239" s="99">
        <f t="shared" si="99"/>
        <v>13.267168927300476</v>
      </c>
    </row>
    <row r="240" spans="1:48">
      <c r="A240" s="194" t="s">
        <v>16</v>
      </c>
      <c r="B240" s="92" t="str">
        <f t="shared" si="97"/>
        <v>CET</v>
      </c>
      <c r="C240" s="92" t="str">
        <f t="shared" si="97"/>
        <v>Commercial - Public Water</v>
      </c>
      <c r="E240" s="111"/>
      <c r="F240" s="111"/>
      <c r="I240" s="160"/>
      <c r="J240" s="99">
        <f t="shared" ref="J240:J241" si="100">J169+J181+J158</f>
        <v>3.5593512487513528</v>
      </c>
      <c r="K240" s="99">
        <f t="shared" si="99"/>
        <v>3.4637231190911666</v>
      </c>
      <c r="L240" s="99">
        <f t="shared" si="99"/>
        <v>3.3757475172779561</v>
      </c>
      <c r="M240" s="99">
        <f t="shared" si="99"/>
        <v>3.2800589928500612</v>
      </c>
      <c r="N240" s="99">
        <f t="shared" si="99"/>
        <v>3.1803031525069465</v>
      </c>
      <c r="O240" s="99">
        <f t="shared" si="99"/>
        <v>3.0654245097100388</v>
      </c>
      <c r="P240" s="99">
        <f t="shared" si="99"/>
        <v>3.0851860600873766</v>
      </c>
      <c r="Q240" s="99">
        <f t="shared" si="99"/>
        <v>3.1083749207455065</v>
      </c>
      <c r="R240" s="99">
        <f t="shared" si="99"/>
        <v>3.1083749207455065</v>
      </c>
      <c r="S240" s="99">
        <f t="shared" si="99"/>
        <v>3.14044112074478</v>
      </c>
      <c r="T240" s="99">
        <f t="shared" si="99"/>
        <v>3.1717106435068905</v>
      </c>
      <c r="U240" s="99">
        <f t="shared" si="99"/>
        <v>3.2024853611279087</v>
      </c>
      <c r="V240" s="99">
        <f t="shared" si="99"/>
        <v>3.2323177813334891</v>
      </c>
      <c r="W240" s="99">
        <f t="shared" si="99"/>
        <v>3.2629727788025966</v>
      </c>
      <c r="X240" s="99">
        <f t="shared" si="99"/>
        <v>3.2985645774146795</v>
      </c>
      <c r="Y240" s="99">
        <f t="shared" si="99"/>
        <v>3.3333663679541425</v>
      </c>
      <c r="Z240" s="99">
        <f t="shared" si="99"/>
        <v>3.3693461066331967</v>
      </c>
      <c r="AA240" s="99">
        <f t="shared" si="99"/>
        <v>3.4060661353806592</v>
      </c>
      <c r="AB240" s="99">
        <f t="shared" si="99"/>
        <v>3.4434251930328399</v>
      </c>
      <c r="AC240" s="99">
        <f t="shared" si="99"/>
        <v>3.4863422958964625</v>
      </c>
      <c r="AD240" s="99">
        <f t="shared" si="99"/>
        <v>3.5279696273183716</v>
      </c>
      <c r="AE240" s="99">
        <f t="shared" si="99"/>
        <v>3.5728480484989391</v>
      </c>
      <c r="AF240" s="99">
        <f t="shared" si="99"/>
        <v>3.6202416189215931</v>
      </c>
      <c r="AG240" s="99">
        <f t="shared" si="99"/>
        <v>3.6698798992808292</v>
      </c>
      <c r="AH240" s="99">
        <f t="shared" si="99"/>
        <v>3.7209945558564028</v>
      </c>
      <c r="AI240" s="99">
        <f t="shared" si="99"/>
        <v>3.7733246019887052</v>
      </c>
      <c r="AJ240" s="99">
        <f t="shared" si="99"/>
        <v>3.8257027521535454</v>
      </c>
      <c r="AK240" s="99">
        <f t="shared" si="99"/>
        <v>3.8793575706464041</v>
      </c>
      <c r="AL240" s="99">
        <f t="shared" si="99"/>
        <v>3.9353688670794096</v>
      </c>
      <c r="AM240" s="99">
        <f t="shared" si="99"/>
        <v>3.9978930884274515</v>
      </c>
      <c r="AN240" s="99">
        <f t="shared" si="99"/>
        <v>4.0592124212498222</v>
      </c>
      <c r="AO240" s="99">
        <f t="shared" si="99"/>
        <v>4.1193896126349294</v>
      </c>
      <c r="AP240" s="99">
        <f t="shared" si="99"/>
        <v>4.1784822167430686</v>
      </c>
      <c r="AQ240" s="99">
        <f t="shared" si="99"/>
        <v>4.2365431739126276</v>
      </c>
      <c r="AR240" s="99">
        <f t="shared" si="99"/>
        <v>4.3079540588734941</v>
      </c>
      <c r="AS240" s="99">
        <f t="shared" si="99"/>
        <v>4.3779080162311299</v>
      </c>
      <c r="AT240" s="99">
        <f t="shared" si="99"/>
        <v>4.4464852152051444</v>
      </c>
      <c r="AU240" s="99">
        <f t="shared" si="99"/>
        <v>4.5137588273360496</v>
      </c>
      <c r="AV240" s="99">
        <f t="shared" si="99"/>
        <v>4.5844640445483158</v>
      </c>
    </row>
    <row r="241" spans="1:48">
      <c r="A241" s="194" t="s">
        <v>16</v>
      </c>
      <c r="B241" s="92" t="str">
        <f t="shared" si="97"/>
        <v>CEO</v>
      </c>
      <c r="C241" s="92" t="str">
        <f t="shared" si="97"/>
        <v>Commercial - Other</v>
      </c>
      <c r="E241" s="111"/>
      <c r="F241" s="111"/>
      <c r="I241" s="160"/>
      <c r="J241" s="99">
        <f t="shared" si="100"/>
        <v>18.760184357078931</v>
      </c>
      <c r="K241" s="99">
        <f t="shared" si="99"/>
        <v>18.418479080845469</v>
      </c>
      <c r="L241" s="99">
        <f t="shared" si="99"/>
        <v>18.120961991998936</v>
      </c>
      <c r="M241" s="99">
        <f t="shared" si="99"/>
        <v>17.785935979440417</v>
      </c>
      <c r="N241" s="99">
        <f t="shared" si="99"/>
        <v>17.432555568363497</v>
      </c>
      <c r="O241" s="99">
        <f t="shared" si="99"/>
        <v>16.999241745794041</v>
      </c>
      <c r="P241" s="99">
        <f t="shared" si="99"/>
        <v>16.885165257262866</v>
      </c>
      <c r="Q241" s="99">
        <f t="shared" si="99"/>
        <v>16.774889982939797</v>
      </c>
      <c r="R241" s="99">
        <f t="shared" si="99"/>
        <v>16.638896048973443</v>
      </c>
      <c r="S241" s="99">
        <f t="shared" si="99"/>
        <v>16.538466591243903</v>
      </c>
      <c r="T241" s="99">
        <f t="shared" si="99"/>
        <v>16.437153542422493</v>
      </c>
      <c r="U241" s="99">
        <f t="shared" si="99"/>
        <v>16.335291707474802</v>
      </c>
      <c r="V241" s="99">
        <f t="shared" si="99"/>
        <v>16.23238477475936</v>
      </c>
      <c r="W241" s="99">
        <f t="shared" si="99"/>
        <v>16.130390158736962</v>
      </c>
      <c r="X241" s="99">
        <f t="shared" si="99"/>
        <v>16.033870926356499</v>
      </c>
      <c r="Y241" s="99">
        <f t="shared" si="99"/>
        <v>15.93647549962416</v>
      </c>
      <c r="Z241" s="99">
        <f t="shared" si="99"/>
        <v>15.840386529803448</v>
      </c>
      <c r="AA241" s="99">
        <f t="shared" si="99"/>
        <v>15.745118612322797</v>
      </c>
      <c r="AB241" s="99">
        <f t="shared" si="99"/>
        <v>15.650559438887184</v>
      </c>
      <c r="AC241" s="99">
        <f t="shared" si="99"/>
        <v>15.56216466805774</v>
      </c>
      <c r="AD241" s="99">
        <f t="shared" si="99"/>
        <v>15.472339417602061</v>
      </c>
      <c r="AE241" s="99">
        <f t="shared" si="99"/>
        <v>15.386119935976746</v>
      </c>
      <c r="AF241" s="99">
        <f t="shared" si="99"/>
        <v>15.302689994909844</v>
      </c>
      <c r="AG241" s="99">
        <f t="shared" si="99"/>
        <v>15.221749651400494</v>
      </c>
      <c r="AH241" s="99">
        <f t="shared" si="99"/>
        <v>15.142446750022225</v>
      </c>
      <c r="AI241" s="99">
        <f t="shared" si="99"/>
        <v>15.064491831660645</v>
      </c>
      <c r="AJ241" s="99">
        <f t="shared" si="99"/>
        <v>14.986590265262256</v>
      </c>
      <c r="AK241" s="99">
        <f t="shared" si="99"/>
        <v>14.910104645886436</v>
      </c>
      <c r="AL241" s="99">
        <f t="shared" si="99"/>
        <v>14.836232585451398</v>
      </c>
      <c r="AM241" s="99">
        <f t="shared" si="99"/>
        <v>14.769583980348713</v>
      </c>
      <c r="AN241" s="99">
        <f t="shared" si="99"/>
        <v>14.70159903887501</v>
      </c>
      <c r="AO241" s="99">
        <f t="shared" si="99"/>
        <v>14.632347353539997</v>
      </c>
      <c r="AP241" s="99">
        <f t="shared" si="99"/>
        <v>14.56189275740048</v>
      </c>
      <c r="AQ241" s="99">
        <f t="shared" si="99"/>
        <v>14.490293966344428</v>
      </c>
      <c r="AR241" s="99">
        <f t="shared" si="99"/>
        <v>14.433501519342483</v>
      </c>
      <c r="AS241" s="99">
        <f t="shared" si="99"/>
        <v>14.375093200577588</v>
      </c>
      <c r="AT241" s="99">
        <f t="shared" si="99"/>
        <v>14.315157925365742</v>
      </c>
      <c r="AU241" s="99">
        <f t="shared" si="99"/>
        <v>14.253776847928957</v>
      </c>
      <c r="AV241" s="99">
        <f t="shared" si="99"/>
        <v>14.196201748044011</v>
      </c>
    </row>
    <row r="242" spans="1:48">
      <c r="A242" s="194" t="s">
        <v>16</v>
      </c>
      <c r="E242" s="111"/>
      <c r="F242" s="111"/>
      <c r="J242" s="93"/>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row>
    <row r="243" spans="1:48">
      <c r="A243" s="194" t="s">
        <v>16</v>
      </c>
      <c r="E243" s="111"/>
      <c r="F243" s="111"/>
      <c r="J243" s="93"/>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row>
    <row r="244" spans="1:48">
      <c r="A244" s="194" t="s">
        <v>16</v>
      </c>
      <c r="E244" s="111"/>
      <c r="F244" s="111"/>
      <c r="J244" s="93"/>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row>
    <row r="245" spans="1:48">
      <c r="A245" s="194" t="s">
        <v>16</v>
      </c>
      <c r="B245" s="281" t="s">
        <v>481</v>
      </c>
      <c r="C245" s="282"/>
      <c r="D245" s="282"/>
      <c r="E245" s="283"/>
      <c r="F245" s="283"/>
      <c r="G245" s="282"/>
      <c r="H245" s="282"/>
      <c r="I245" s="282"/>
      <c r="J245" s="171">
        <f t="shared" ref="J245:AV245" si="101">SUM(J220:J241)</f>
        <v>350.82050880003044</v>
      </c>
      <c r="K245" s="171">
        <f t="shared" si="101"/>
        <v>343.42681995313302</v>
      </c>
      <c r="L245" s="171">
        <f t="shared" si="101"/>
        <v>336.83562957243498</v>
      </c>
      <c r="M245" s="171">
        <f t="shared" si="101"/>
        <v>329.5235749703067</v>
      </c>
      <c r="N245" s="171">
        <f t="shared" si="101"/>
        <v>321.8492237013084</v>
      </c>
      <c r="O245" s="171">
        <f t="shared" si="101"/>
        <v>312.68149374589541</v>
      </c>
      <c r="P245" s="171">
        <f t="shared" si="101"/>
        <v>314.69722470620707</v>
      </c>
      <c r="Q245" s="171">
        <f t="shared" si="101"/>
        <v>317.06255047622096</v>
      </c>
      <c r="R245" s="171">
        <f t="shared" si="101"/>
        <v>317.06255047622102</v>
      </c>
      <c r="S245" s="171">
        <f t="shared" si="101"/>
        <v>320.33338858779979</v>
      </c>
      <c r="T245" s="171">
        <f t="shared" si="101"/>
        <v>323.52296349170206</v>
      </c>
      <c r="U245" s="171">
        <f t="shared" si="101"/>
        <v>326.66206694861887</v>
      </c>
      <c r="V245" s="171">
        <f t="shared" si="101"/>
        <v>329.70505355043809</v>
      </c>
      <c r="W245" s="171">
        <f t="shared" si="101"/>
        <v>332.8319452318529</v>
      </c>
      <c r="X245" s="171">
        <f t="shared" si="101"/>
        <v>336.46240382572046</v>
      </c>
      <c r="Y245" s="171">
        <f t="shared" si="101"/>
        <v>340.01227948452129</v>
      </c>
      <c r="Z245" s="171">
        <f t="shared" si="101"/>
        <v>343.68230900216804</v>
      </c>
      <c r="AA245" s="171">
        <f t="shared" si="101"/>
        <v>347.42785008555774</v>
      </c>
      <c r="AB245" s="171">
        <f t="shared" si="101"/>
        <v>351.23857382532719</v>
      </c>
      <c r="AC245" s="171">
        <f t="shared" si="101"/>
        <v>355.55848909989709</v>
      </c>
      <c r="AD245" s="171">
        <f t="shared" si="101"/>
        <v>359.74785654262979</v>
      </c>
      <c r="AE245" s="171">
        <f t="shared" si="101"/>
        <v>364.26629214842984</v>
      </c>
      <c r="AF245" s="171">
        <f t="shared" si="101"/>
        <v>369.03930563499392</v>
      </c>
      <c r="AG245" s="171">
        <f t="shared" si="101"/>
        <v>374.03952372994621</v>
      </c>
      <c r="AH245" s="171">
        <f t="shared" si="101"/>
        <v>379.18917738207176</v>
      </c>
      <c r="AI245" s="171">
        <f t="shared" ref="AI245:AR245" si="102">SUM(AI220:AI241)</f>
        <v>384.46185009504586</v>
      </c>
      <c r="AJ245" s="171">
        <f t="shared" si="102"/>
        <v>389.73939179251386</v>
      </c>
      <c r="AK245" s="171">
        <f t="shared" si="102"/>
        <v>395.14615505343727</v>
      </c>
      <c r="AL245" s="171">
        <f t="shared" si="102"/>
        <v>400.79143583452651</v>
      </c>
      <c r="AM245" s="171">
        <f t="shared" si="102"/>
        <v>406.95113728781968</v>
      </c>
      <c r="AN245" s="171">
        <f t="shared" si="102"/>
        <v>412.99075501930929</v>
      </c>
      <c r="AO245" s="171">
        <f t="shared" si="102"/>
        <v>418.91654263980467</v>
      </c>
      <c r="AP245" s="171">
        <f t="shared" si="102"/>
        <v>424.73423621337037</v>
      </c>
      <c r="AQ245" s="171">
        <f t="shared" si="102"/>
        <v>430.44911197322779</v>
      </c>
      <c r="AR245" s="171">
        <f t="shared" si="102"/>
        <v>437.49449174306818</v>
      </c>
      <c r="AS245" s="171">
        <f t="shared" si="101"/>
        <v>444.39466862876884</v>
      </c>
      <c r="AT245" s="171">
        <f t="shared" si="101"/>
        <v>451.15763259625612</v>
      </c>
      <c r="AU245" s="171">
        <f t="shared" si="101"/>
        <v>457.7906761964399</v>
      </c>
      <c r="AV245" s="171">
        <f t="shared" si="101"/>
        <v>464.76572646458516</v>
      </c>
    </row>
    <row r="246" spans="1:48">
      <c r="A246" s="194" t="s">
        <v>16</v>
      </c>
      <c r="K246" s="92"/>
    </row>
    <row r="247" spans="1:48" s="194" customFormat="1" ht="23.25">
      <c r="A247" s="194" t="s">
        <v>16</v>
      </c>
      <c r="B247" s="16" t="s">
        <v>18</v>
      </c>
      <c r="C247" s="16" t="s">
        <v>19</v>
      </c>
      <c r="D247" s="16" t="s">
        <v>20</v>
      </c>
      <c r="E247" s="16" t="s">
        <v>21</v>
      </c>
      <c r="F247" s="16" t="s">
        <v>22</v>
      </c>
      <c r="G247" s="16" t="s">
        <v>23</v>
      </c>
      <c r="H247" s="16" t="s">
        <v>24</v>
      </c>
      <c r="I247" s="17" t="s">
        <v>25</v>
      </c>
      <c r="J247" s="172">
        <v>2012</v>
      </c>
      <c r="K247" s="172">
        <v>2013</v>
      </c>
      <c r="L247" s="172">
        <v>2014</v>
      </c>
      <c r="M247" s="172">
        <v>2015</v>
      </c>
      <c r="N247" s="172">
        <v>2016</v>
      </c>
      <c r="O247" s="172">
        <v>2017</v>
      </c>
      <c r="P247" s="172">
        <v>2018</v>
      </c>
      <c r="Q247" s="172">
        <v>2019</v>
      </c>
      <c r="R247" s="172">
        <v>2020</v>
      </c>
      <c r="S247" s="172">
        <v>2021</v>
      </c>
      <c r="T247" s="172">
        <v>2022</v>
      </c>
      <c r="U247" s="172">
        <v>2023</v>
      </c>
      <c r="V247" s="172">
        <v>2024</v>
      </c>
      <c r="W247" s="172">
        <v>2025</v>
      </c>
      <c r="X247" s="172">
        <v>2026</v>
      </c>
      <c r="Y247" s="172">
        <v>2027</v>
      </c>
      <c r="Z247" s="172">
        <v>2028</v>
      </c>
      <c r="AA247" s="172">
        <v>2029</v>
      </c>
      <c r="AB247" s="172">
        <v>2030</v>
      </c>
      <c r="AC247" s="172">
        <v>2031</v>
      </c>
      <c r="AD247" s="172">
        <v>2032</v>
      </c>
      <c r="AE247" s="172">
        <v>2033</v>
      </c>
      <c r="AF247" s="172">
        <v>2034</v>
      </c>
      <c r="AG247" s="172">
        <v>2035</v>
      </c>
      <c r="AH247" s="172">
        <v>2036</v>
      </c>
      <c r="AI247" s="172">
        <v>2037</v>
      </c>
      <c r="AJ247" s="172">
        <v>2038</v>
      </c>
      <c r="AK247" s="172">
        <v>2039</v>
      </c>
      <c r="AL247" s="172">
        <v>2040</v>
      </c>
      <c r="AM247" s="172">
        <v>2045</v>
      </c>
      <c r="AN247" s="172">
        <v>2050</v>
      </c>
      <c r="AO247" s="172">
        <v>2060</v>
      </c>
      <c r="AP247" s="172">
        <v>2070</v>
      </c>
      <c r="AQ247" s="172"/>
      <c r="AR247" s="18"/>
      <c r="AS247" s="18"/>
      <c r="AT247" s="18"/>
      <c r="AU247" s="18"/>
      <c r="AV247" s="18"/>
    </row>
    <row r="248" spans="1:48" s="194" customFormat="1">
      <c r="A248" s="194"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195">
        <f>AN248</f>
        <v>100.44957249876138</v>
      </c>
      <c r="AP248" s="195">
        <f>AO248</f>
        <v>100.44957249876138</v>
      </c>
      <c r="AQ248" s="195"/>
      <c r="AR248" s="195"/>
      <c r="AS248" s="195"/>
      <c r="AT248" s="195"/>
      <c r="AU248" s="195"/>
      <c r="AV248" s="195"/>
    </row>
    <row r="249" spans="1:48" s="194" customFormat="1">
      <c r="A249" s="194"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195">
        <f t="shared" ref="AO249:AP264" si="109">AN249</f>
        <v>9.5795079014627049</v>
      </c>
      <c r="AP249" s="195">
        <f t="shared" si="109"/>
        <v>9.5795079014627049</v>
      </c>
      <c r="AQ249" s="195"/>
      <c r="AR249" s="195"/>
      <c r="AS249" s="195"/>
      <c r="AT249" s="195"/>
      <c r="AU249" s="195"/>
      <c r="AV249" s="195"/>
    </row>
    <row r="250" spans="1:48" s="194" customFormat="1">
      <c r="A250" s="194"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195">
        <f t="shared" si="109"/>
        <v>7.1649812424158927</v>
      </c>
      <c r="AP250" s="195">
        <f t="shared" si="109"/>
        <v>7.1649812424158927</v>
      </c>
      <c r="AQ250" s="195"/>
      <c r="AR250" s="195"/>
      <c r="AS250" s="195"/>
      <c r="AT250" s="195"/>
      <c r="AU250" s="195"/>
      <c r="AV250" s="195"/>
    </row>
    <row r="251" spans="1:48" s="194" customFormat="1">
      <c r="A251" s="194"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195">
        <f t="shared" si="109"/>
        <v>87.414322102561869</v>
      </c>
      <c r="AP251" s="195">
        <f t="shared" si="109"/>
        <v>87.414322102561869</v>
      </c>
      <c r="AQ251" s="195"/>
      <c r="AR251" s="195"/>
      <c r="AS251" s="195"/>
      <c r="AT251" s="195"/>
      <c r="AU251" s="195"/>
      <c r="AV251" s="195"/>
    </row>
    <row r="252" spans="1:48" s="194" customFormat="1">
      <c r="A252" s="194"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195">
        <f t="shared" si="109"/>
        <v>21.264770359789164</v>
      </c>
      <c r="AP252" s="195">
        <f t="shared" si="109"/>
        <v>21.264770359789164</v>
      </c>
      <c r="AQ252" s="195"/>
      <c r="AR252" s="195"/>
      <c r="AS252" s="195"/>
      <c r="AT252" s="195"/>
      <c r="AU252" s="195"/>
      <c r="AV252" s="195"/>
    </row>
    <row r="253" spans="1:48" s="194" customFormat="1">
      <c r="A253" s="194"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195">
        <f t="shared" si="109"/>
        <v>11.085107310680298</v>
      </c>
      <c r="AP253" s="195">
        <f t="shared" si="109"/>
        <v>11.085107310680298</v>
      </c>
      <c r="AQ253" s="195"/>
      <c r="AR253" s="195"/>
      <c r="AS253" s="195"/>
      <c r="AT253" s="195"/>
      <c r="AU253" s="195"/>
      <c r="AV253" s="195"/>
    </row>
    <row r="254" spans="1:48" s="194" customFormat="1">
      <c r="A254" s="194"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195">
        <f t="shared" si="109"/>
        <v>13.267168927300476</v>
      </c>
      <c r="AP254" s="195">
        <f t="shared" si="109"/>
        <v>13.267168927300476</v>
      </c>
      <c r="AQ254" s="195"/>
      <c r="AR254" s="195"/>
      <c r="AS254" s="195"/>
      <c r="AT254" s="195"/>
      <c r="AU254" s="195"/>
      <c r="AV254" s="195"/>
    </row>
    <row r="255" spans="1:48" s="194"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195">
        <f t="shared" si="109"/>
        <v>4.5844640445483158</v>
      </c>
      <c r="AP255" s="195">
        <f t="shared" si="109"/>
        <v>4.5844640445483158</v>
      </c>
      <c r="AQ255" s="195"/>
      <c r="AR255" s="195"/>
      <c r="AS255" s="195"/>
      <c r="AT255" s="195"/>
      <c r="AU255" s="195"/>
      <c r="AV255" s="195"/>
    </row>
    <row r="256" spans="1:48" s="194"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195">
        <f t="shared" si="109"/>
        <v>14.196201748044011</v>
      </c>
      <c r="AP256" s="195">
        <f t="shared" si="109"/>
        <v>14.196201748044011</v>
      </c>
      <c r="AQ256" s="195"/>
      <c r="AR256" s="195"/>
      <c r="AS256" s="195"/>
      <c r="AT256" s="195"/>
      <c r="AU256" s="195"/>
      <c r="AV256" s="195"/>
    </row>
    <row r="257" spans="1:48" s="194" customFormat="1">
      <c r="A257" s="194"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95">
        <f t="shared" si="109"/>
        <v>0</v>
      </c>
      <c r="AP257" s="195">
        <f t="shared" si="109"/>
        <v>0</v>
      </c>
      <c r="AQ257" s="195"/>
      <c r="AR257" s="195"/>
      <c r="AS257" s="195"/>
      <c r="AT257" s="195"/>
      <c r="AU257" s="195"/>
      <c r="AV257" s="195"/>
    </row>
    <row r="258" spans="1:48" s="233" customFormat="1">
      <c r="B258" s="234" t="str">
        <f t="shared" ref="B258:B266" si="110">IF(A258="*","","COM_PROJ")</f>
        <v>COM_PROJ</v>
      </c>
      <c r="C258" s="234" t="str">
        <f t="shared" si="104"/>
        <v>-</v>
      </c>
      <c r="D258" s="234" t="str">
        <f>COM!B174</f>
        <v>CNC</v>
      </c>
      <c r="E258" s="234" t="str">
        <f t="shared" si="105"/>
        <v>-</v>
      </c>
      <c r="F258" s="234" t="str">
        <f t="shared" si="105"/>
        <v>-</v>
      </c>
      <c r="G258" s="234" t="str">
        <f t="shared" si="105"/>
        <v>-</v>
      </c>
      <c r="H258" s="234" t="str">
        <f t="shared" si="105"/>
        <v>-</v>
      </c>
      <c r="I258" s="234">
        <f t="shared" si="106"/>
        <v>0</v>
      </c>
      <c r="J258" s="235">
        <f t="shared" ref="J258:Y266" si="111">INDEX($J$220:$AV$228,MATCH($D258,$B$220:$B$228,0),MATCH(J$247,$J$104:$AV$104,0))</f>
        <v>0</v>
      </c>
      <c r="K258" s="235">
        <f t="shared" si="111"/>
        <v>0</v>
      </c>
      <c r="L258" s="235">
        <f t="shared" si="111"/>
        <v>0</v>
      </c>
      <c r="M258" s="235">
        <f t="shared" si="111"/>
        <v>0</v>
      </c>
      <c r="N258" s="235">
        <f t="shared" si="111"/>
        <v>0</v>
      </c>
      <c r="O258" s="235">
        <f t="shared" si="111"/>
        <v>0</v>
      </c>
      <c r="P258" s="235">
        <f t="shared" si="111"/>
        <v>1.5826011087333609</v>
      </c>
      <c r="Q258" s="235">
        <f t="shared" si="111"/>
        <v>3.2727888378763019</v>
      </c>
      <c r="R258" s="235">
        <f t="shared" si="111"/>
        <v>4.2350555604682834</v>
      </c>
      <c r="S258" s="235">
        <f t="shared" si="111"/>
        <v>6.2039116504232403</v>
      </c>
      <c r="T258" s="235">
        <f t="shared" si="111"/>
        <v>8.1477592630354909</v>
      </c>
      <c r="U258" s="235">
        <f t="shared" si="111"/>
        <v>10.076074458524694</v>
      </c>
      <c r="V258" s="235">
        <f t="shared" si="111"/>
        <v>11.974810016910205</v>
      </c>
      <c r="W258" s="235">
        <f t="shared" si="111"/>
        <v>13.899367079787028</v>
      </c>
      <c r="X258" s="235">
        <f t="shared" si="111"/>
        <v>15.97889515698475</v>
      </c>
      <c r="Y258" s="235">
        <f t="shared" si="111"/>
        <v>18.03362410843485</v>
      </c>
      <c r="Z258" s="235">
        <f t="shared" ref="Z258:AN266" si="112">INDEX($J$220:$AV$228,MATCH($D258,$B$220:$B$228,0),MATCH(Z$247,$J$104:$AV$104,0))</f>
        <v>20.125330003602787</v>
      </c>
      <c r="AA258" s="235">
        <f t="shared" si="112"/>
        <v>22.240274327759533</v>
      </c>
      <c r="AB258" s="235">
        <f t="shared" si="112"/>
        <v>24.375278393979318</v>
      </c>
      <c r="AC258" s="235">
        <f t="shared" si="112"/>
        <v>26.661660167793737</v>
      </c>
      <c r="AD258" s="235">
        <f t="shared" si="112"/>
        <v>28.907959626978101</v>
      </c>
      <c r="AE258" s="235">
        <f t="shared" si="112"/>
        <v>31.255293423241625</v>
      </c>
      <c r="AF258" s="235">
        <f t="shared" si="112"/>
        <v>33.680790683203</v>
      </c>
      <c r="AG258" s="235">
        <f t="shared" si="112"/>
        <v>36.176046946210533</v>
      </c>
      <c r="AH258" s="235">
        <f t="shared" si="112"/>
        <v>38.717184653093838</v>
      </c>
      <c r="AI258" s="235">
        <f t="shared" si="112"/>
        <v>41.296093103719301</v>
      </c>
      <c r="AJ258" s="235">
        <f t="shared" si="112"/>
        <v>43.876496486628767</v>
      </c>
      <c r="AK258" s="235">
        <f t="shared" si="112"/>
        <v>46.496574977814674</v>
      </c>
      <c r="AL258" s="235">
        <f t="shared" si="112"/>
        <v>49.189885893879108</v>
      </c>
      <c r="AM258" s="235">
        <f>INDEX($J$220:$AV$228,MATCH($D258,$B$220:$B$228,0),MATCH(AM$247,$J$104:$AV$104,0))</f>
        <v>63.030263851651917</v>
      </c>
      <c r="AN258" s="235">
        <f t="shared" si="112"/>
        <v>78.294333022653632</v>
      </c>
      <c r="AO258" s="236">
        <f t="shared" si="109"/>
        <v>78.294333022653632</v>
      </c>
      <c r="AP258" s="236">
        <f t="shared" si="109"/>
        <v>78.294333022653632</v>
      </c>
      <c r="AQ258" s="236"/>
      <c r="AR258" s="236"/>
      <c r="AS258" s="236"/>
      <c r="AT258" s="236"/>
      <c r="AU258" s="236"/>
      <c r="AV258" s="236"/>
    </row>
    <row r="259" spans="1:48" s="194"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195">
        <f t="shared" si="109"/>
        <v>7.4666438410129734</v>
      </c>
      <c r="AP259" s="195">
        <f t="shared" si="109"/>
        <v>7.4666438410129734</v>
      </c>
      <c r="AQ259" s="195"/>
      <c r="AR259" s="195"/>
      <c r="AS259" s="195"/>
      <c r="AT259" s="195"/>
      <c r="AU259" s="195"/>
      <c r="AV259" s="195"/>
    </row>
    <row r="260" spans="1:48" s="194"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195">
        <f t="shared" si="109"/>
        <v>5.5846671473061154</v>
      </c>
      <c r="AP260" s="195">
        <f t="shared" si="109"/>
        <v>5.5846671473061154</v>
      </c>
      <c r="AQ260" s="195"/>
      <c r="AR260" s="195"/>
      <c r="AS260" s="195"/>
      <c r="AT260" s="195"/>
      <c r="AU260" s="195"/>
      <c r="AV260" s="195"/>
    </row>
    <row r="261" spans="1:48" s="233" customFormat="1">
      <c r="B261" s="234" t="str">
        <f t="shared" si="110"/>
        <v>COM_PROJ</v>
      </c>
      <c r="C261" s="234" t="str">
        <f t="shared" si="104"/>
        <v>-</v>
      </c>
      <c r="D261" s="234" t="str">
        <f>COM!B177</f>
        <v>CNL</v>
      </c>
      <c r="E261" s="234" t="str">
        <f t="shared" si="105"/>
        <v>-</v>
      </c>
      <c r="F261" s="234" t="str">
        <f t="shared" si="105"/>
        <v>-</v>
      </c>
      <c r="G261" s="234" t="str">
        <f t="shared" si="105"/>
        <v>-</v>
      </c>
      <c r="H261" s="234" t="str">
        <f t="shared" si="105"/>
        <v>-</v>
      </c>
      <c r="I261" s="234">
        <f t="shared" si="106"/>
        <v>0</v>
      </c>
      <c r="J261" s="235">
        <f t="shared" si="111"/>
        <v>0</v>
      </c>
      <c r="K261" s="235">
        <f t="shared" si="111"/>
        <v>0</v>
      </c>
      <c r="L261" s="235">
        <f t="shared" si="111"/>
        <v>0</v>
      </c>
      <c r="M261" s="235">
        <f t="shared" si="111"/>
        <v>0</v>
      </c>
      <c r="N261" s="235">
        <f t="shared" si="111"/>
        <v>0</v>
      </c>
      <c r="O261" s="235">
        <f t="shared" si="111"/>
        <v>0</v>
      </c>
      <c r="P261" s="235">
        <f t="shared" si="111"/>
        <v>1.3772283906971867</v>
      </c>
      <c r="Q261" s="235">
        <f t="shared" si="111"/>
        <v>2.848081983139509</v>
      </c>
      <c r="R261" s="235">
        <f t="shared" si="111"/>
        <v>3.6854762213107977</v>
      </c>
      <c r="S261" s="235">
        <f t="shared" si="111"/>
        <v>5.3988356328009299</v>
      </c>
      <c r="T261" s="235">
        <f t="shared" si="111"/>
        <v>7.0904318944901314</v>
      </c>
      <c r="U261" s="235">
        <f t="shared" si="111"/>
        <v>8.7685113668127848</v>
      </c>
      <c r="V261" s="235">
        <f t="shared" si="111"/>
        <v>10.420849724851546</v>
      </c>
      <c r="W261" s="235">
        <f t="shared" si="111"/>
        <v>12.09565875404029</v>
      </c>
      <c r="X261" s="235">
        <f t="shared" si="111"/>
        <v>13.905328348838461</v>
      </c>
      <c r="Y261" s="235">
        <f t="shared" si="111"/>
        <v>15.693416978063171</v>
      </c>
      <c r="Z261" s="235">
        <f t="shared" si="112"/>
        <v>17.51368408638055</v>
      </c>
      <c r="AA261" s="235">
        <f t="shared" si="112"/>
        <v>19.354173993722885</v>
      </c>
      <c r="AB261" s="235">
        <f t="shared" si="112"/>
        <v>21.212120508498916</v>
      </c>
      <c r="AC261" s="235">
        <f t="shared" si="112"/>
        <v>23.201800582330041</v>
      </c>
      <c r="AD261" s="235">
        <f t="shared" si="112"/>
        <v>25.156599787337846</v>
      </c>
      <c r="AE261" s="235">
        <f t="shared" si="112"/>
        <v>27.199322194656595</v>
      </c>
      <c r="AF261" s="235">
        <f t="shared" si="112"/>
        <v>29.310064863509258</v>
      </c>
      <c r="AG261" s="235">
        <f t="shared" si="112"/>
        <v>31.481513972520297</v>
      </c>
      <c r="AH261" s="235">
        <f t="shared" si="112"/>
        <v>33.692890531830216</v>
      </c>
      <c r="AI261" s="235">
        <f t="shared" si="112"/>
        <v>35.937136359544141</v>
      </c>
      <c r="AJ261" s="235">
        <f t="shared" si="112"/>
        <v>38.182683123528321</v>
      </c>
      <c r="AK261" s="235">
        <f t="shared" si="112"/>
        <v>40.462756392783334</v>
      </c>
      <c r="AL261" s="235">
        <f t="shared" si="112"/>
        <v>42.806558781211677</v>
      </c>
      <c r="AM261" s="235">
        <f t="shared" si="112"/>
        <v>54.85088337838075</v>
      </c>
      <c r="AN261" s="235">
        <f t="shared" si="112"/>
        <v>68.134148064511507</v>
      </c>
      <c r="AO261" s="236">
        <f t="shared" si="109"/>
        <v>68.134148064511507</v>
      </c>
      <c r="AP261" s="236">
        <f t="shared" si="109"/>
        <v>68.134148064511507</v>
      </c>
      <c r="AQ261" s="236"/>
      <c r="AR261" s="236"/>
      <c r="AS261" s="236"/>
      <c r="AT261" s="236"/>
      <c r="AU261" s="236"/>
      <c r="AV261" s="236"/>
    </row>
    <row r="262" spans="1:48" s="194"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195">
        <f t="shared" si="109"/>
        <v>16.574595299747212</v>
      </c>
      <c r="AP262" s="195">
        <f t="shared" si="109"/>
        <v>16.574595299747212</v>
      </c>
      <c r="AQ262" s="195"/>
      <c r="AR262" s="195"/>
      <c r="AS262" s="195"/>
      <c r="AT262" s="195"/>
      <c r="AU262" s="195"/>
      <c r="AV262" s="195"/>
    </row>
    <row r="263" spans="1:48" s="194"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195">
        <f t="shared" si="109"/>
        <v>8.6401670189781807</v>
      </c>
      <c r="AP263" s="195">
        <f t="shared" si="109"/>
        <v>8.6401670189781807</v>
      </c>
      <c r="AQ263" s="195"/>
      <c r="AR263" s="195"/>
      <c r="AS263" s="195"/>
      <c r="AT263" s="195"/>
      <c r="AU263" s="195"/>
      <c r="AV263" s="195"/>
    </row>
    <row r="264" spans="1:48" s="194"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95">
        <f t="shared" si="109"/>
        <v>0</v>
      </c>
      <c r="AP264" s="195">
        <f t="shared" si="109"/>
        <v>0</v>
      </c>
      <c r="AQ264" s="195"/>
      <c r="AR264" s="195"/>
      <c r="AS264" s="195"/>
      <c r="AT264" s="195"/>
      <c r="AU264" s="195"/>
      <c r="AV264" s="195"/>
    </row>
    <row r="265" spans="1:48" s="194"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95">
        <f>AN265</f>
        <v>0</v>
      </c>
      <c r="AP265" s="195">
        <f>AO265</f>
        <v>0</v>
      </c>
      <c r="AQ265" s="195"/>
      <c r="AR265" s="195"/>
      <c r="AS265" s="195"/>
      <c r="AT265" s="195"/>
      <c r="AU265" s="195"/>
      <c r="AV265" s="195"/>
    </row>
    <row r="266" spans="1:48" s="194"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195">
        <f>AN266</f>
        <v>11.065075934811379</v>
      </c>
      <c r="AP266" s="195">
        <f>AO266</f>
        <v>11.065075934811379</v>
      </c>
      <c r="AQ266" s="195"/>
      <c r="AR266" s="195"/>
      <c r="AS266" s="195"/>
      <c r="AT266" s="195"/>
      <c r="AU266" s="195"/>
      <c r="AV266" s="195"/>
    </row>
    <row r="267" spans="1:48">
      <c r="K267" s="92"/>
    </row>
    <row r="268" spans="1:48">
      <c r="K268" s="92"/>
    </row>
    <row r="269" spans="1:48">
      <c r="M269" s="99"/>
      <c r="AB269" s="99"/>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zoomScale="70" zoomScaleNormal="70" workbookViewId="0">
      <selection activeCell="D3" sqref="D3"/>
    </sheetView>
  </sheetViews>
  <sheetFormatPr defaultColWidth="9.140625" defaultRowHeight="15"/>
  <cols>
    <col min="1" max="1" width="9.140625" style="194"/>
    <col min="2" max="2" width="11.85546875" style="194" customWidth="1"/>
    <col min="3" max="3" width="73" style="194" customWidth="1"/>
    <col min="4" max="4" width="9.140625" style="194"/>
    <col min="5" max="5" width="13.42578125" style="194" bestFit="1" customWidth="1"/>
    <col min="6" max="9" width="9.140625" style="194"/>
    <col min="10" max="10" width="9" style="194" customWidth="1"/>
    <col min="11" max="53" width="9.140625" style="194"/>
    <col min="54" max="54" width="16" style="194" customWidth="1"/>
    <col min="55" max="16384" width="9.140625" style="194"/>
  </cols>
  <sheetData>
    <row r="1" spans="1:58">
      <c r="A1" s="194" t="str">
        <f>IF(TRA,"TS DATA","")</f>
        <v>TS DATA</v>
      </c>
      <c r="B1" s="194" t="s">
        <v>17</v>
      </c>
      <c r="D1" s="194">
        <f>DriversGams!M162</f>
        <v>0</v>
      </c>
      <c r="BA1" s="201" t="s">
        <v>223</v>
      </c>
      <c r="BB1" s="201" t="s">
        <v>540</v>
      </c>
      <c r="BC1" s="201" t="s">
        <v>197</v>
      </c>
      <c r="BD1" s="201" t="s">
        <v>544</v>
      </c>
      <c r="BF1" s="201"/>
    </row>
    <row r="2" spans="1:58" ht="15.75" thickBot="1">
      <c r="A2" s="194" t="s">
        <v>16</v>
      </c>
      <c r="B2" s="324" t="s">
        <v>296</v>
      </c>
      <c r="C2" s="324"/>
      <c r="BA2" s="201"/>
      <c r="BB2" s="201"/>
      <c r="BC2" s="201"/>
      <c r="BD2" s="201" t="s">
        <v>153</v>
      </c>
      <c r="BE2" s="201" t="s">
        <v>153</v>
      </c>
      <c r="BF2" s="201" t="s">
        <v>546</v>
      </c>
    </row>
    <row r="3" spans="1:58">
      <c r="A3" s="194" t="s">
        <v>16</v>
      </c>
      <c r="C3" s="201" t="str">
        <f>INDEX($BB$4:$BB$7,MATCH($D$3,$BA$4:$BA$7,0))</f>
        <v>NDC-PAMS-reference</v>
      </c>
      <c r="D3" s="205">
        <f>DriversGams!C163</f>
        <v>-1</v>
      </c>
      <c r="F3" s="194">
        <f>MATCH(F4,Drivers!$C$5:$AG$5,0)</f>
        <v>1</v>
      </c>
      <c r="G3" s="194">
        <f>MATCH(G4,Drivers!$C$5:$AG$5,0)</f>
        <v>4</v>
      </c>
      <c r="H3" s="194">
        <f>MATCH(H4,Drivers!$C$5:$AG$5,0)</f>
        <v>6</v>
      </c>
      <c r="I3" s="293">
        <f>MATCH(I4,Drivers!$C$5:$AG$5,0)</f>
        <v>8</v>
      </c>
      <c r="J3" s="293">
        <f>MATCH(J4,Drivers!$C$5:$AG$5,0)</f>
        <v>9</v>
      </c>
      <c r="K3" s="293">
        <f>MATCH(K4,Drivers!$C$5:$AG$5,0)</f>
        <v>10</v>
      </c>
      <c r="L3" s="194">
        <f>MATCH(L4,Drivers!$C$5:$AG$5,0)</f>
        <v>19</v>
      </c>
      <c r="M3" s="194">
        <f>MATCH(M4,Drivers!$C$5:$AG$5,0)</f>
        <v>29</v>
      </c>
      <c r="N3" s="194">
        <f>MATCH(N4,Drivers!$C$5:$AG$5,0)</f>
        <v>31</v>
      </c>
      <c r="BA3" s="201"/>
      <c r="BB3" s="201"/>
      <c r="BC3" s="201"/>
      <c r="BD3" s="210">
        <v>2030</v>
      </c>
      <c r="BE3" s="210">
        <v>2050</v>
      </c>
      <c r="BF3" s="201"/>
    </row>
    <row r="4" spans="1:58">
      <c r="A4" s="194" t="s">
        <v>16</v>
      </c>
      <c r="B4" s="238"/>
      <c r="C4" s="5" t="s">
        <v>198</v>
      </c>
      <c r="D4" s="204">
        <f>INDEX($BC$4:$BC$7,MATCH($D$3,BA$4:BA$7,0))</f>
        <v>0</v>
      </c>
      <c r="F4" s="194">
        <v>2012</v>
      </c>
      <c r="G4" s="194">
        <v>2015</v>
      </c>
      <c r="H4" s="194">
        <v>2017</v>
      </c>
      <c r="I4" s="197">
        <v>2019</v>
      </c>
      <c r="J4" s="194">
        <v>2020</v>
      </c>
      <c r="K4" s="194">
        <v>2021</v>
      </c>
      <c r="L4" s="194">
        <v>2030</v>
      </c>
      <c r="M4" s="194">
        <v>2040</v>
      </c>
      <c r="N4" s="194">
        <v>2050</v>
      </c>
      <c r="P4" s="7">
        <v>2015</v>
      </c>
      <c r="Q4" s="194">
        <v>2019</v>
      </c>
      <c r="R4" s="7">
        <v>2020</v>
      </c>
      <c r="S4" s="194">
        <v>2021</v>
      </c>
      <c r="T4" s="7">
        <v>2030</v>
      </c>
      <c r="U4" s="7">
        <v>2040</v>
      </c>
      <c r="V4" s="7">
        <v>2050</v>
      </c>
      <c r="X4" s="7">
        <f>P4</f>
        <v>2015</v>
      </c>
      <c r="Y4" s="7">
        <v>2019</v>
      </c>
      <c r="Z4" s="7">
        <f>R4</f>
        <v>2020</v>
      </c>
      <c r="AA4" s="7">
        <f>S4</f>
        <v>2021</v>
      </c>
      <c r="AB4" s="7">
        <f>T4</f>
        <v>2030</v>
      </c>
      <c r="AC4" s="7">
        <f>U4</f>
        <v>2040</v>
      </c>
      <c r="AD4" s="7">
        <f>V4</f>
        <v>2050</v>
      </c>
      <c r="BA4" s="201">
        <v>-1</v>
      </c>
      <c r="BB4" s="201" t="s">
        <v>627</v>
      </c>
      <c r="BC4" s="201">
        <v>0</v>
      </c>
      <c r="BD4" s="268">
        <v>0.95</v>
      </c>
      <c r="BE4" s="268">
        <v>0.95</v>
      </c>
      <c r="BF4" s="210">
        <v>1</v>
      </c>
    </row>
    <row r="5" spans="1:58" ht="15.75" thickBot="1">
      <c r="A5" s="194" t="s">
        <v>16</v>
      </c>
      <c r="B5" s="14" t="s">
        <v>11</v>
      </c>
      <c r="C5" s="14"/>
      <c r="D5" s="14"/>
      <c r="E5" s="14"/>
      <c r="F5" s="14"/>
      <c r="G5" s="14"/>
      <c r="H5" s="14"/>
      <c r="I5" s="14"/>
      <c r="J5" s="14"/>
      <c r="K5" s="14"/>
      <c r="L5" s="14"/>
      <c r="M5" s="14"/>
      <c r="N5" s="14"/>
      <c r="O5" s="14"/>
      <c r="BA5" s="201">
        <v>1</v>
      </c>
      <c r="BB5" s="201" t="s">
        <v>628</v>
      </c>
      <c r="BC5" s="201">
        <v>1</v>
      </c>
      <c r="BD5" s="268">
        <v>0.8</v>
      </c>
      <c r="BE5" s="268">
        <v>0.85</v>
      </c>
      <c r="BF5" s="210">
        <v>1</v>
      </c>
    </row>
    <row r="6" spans="1:58">
      <c r="A6" s="194" t="s">
        <v>16</v>
      </c>
      <c r="B6" s="194" t="s">
        <v>9</v>
      </c>
      <c r="C6" s="194" t="s">
        <v>10</v>
      </c>
      <c r="D6" s="194" t="s">
        <v>403</v>
      </c>
      <c r="I6" s="293"/>
      <c r="J6" s="293"/>
      <c r="K6" s="293"/>
      <c r="L6" s="293"/>
      <c r="BA6" s="201">
        <v>2</v>
      </c>
      <c r="BB6" s="201" t="s">
        <v>619</v>
      </c>
      <c r="BC6" s="201">
        <v>1</v>
      </c>
      <c r="BD6" s="268">
        <v>0.92</v>
      </c>
      <c r="BE6" s="268">
        <v>0.93</v>
      </c>
      <c r="BF6" s="210">
        <v>1</v>
      </c>
    </row>
    <row r="7" spans="1:58">
      <c r="A7" s="194" t="s">
        <v>16</v>
      </c>
      <c r="B7" s="195" t="s">
        <v>598</v>
      </c>
      <c r="C7" s="195" t="s">
        <v>2</v>
      </c>
      <c r="D7" s="194">
        <f>MATCH(B7,Drivers!$A$7:$A$22,0)</f>
        <v>14</v>
      </c>
      <c r="E7" s="195"/>
      <c r="F7" s="24">
        <f>INDEX(Drivers!$C$7:$AG$22,$D7,F$3)</f>
        <v>135.96</v>
      </c>
      <c r="G7" s="24">
        <f>INDEX(Drivers!$C$7:$AG$22,$D7,G$3)</f>
        <v>144.16</v>
      </c>
      <c r="H7" s="24">
        <f>INDEX(Drivers!$C$7:$AG$22,$D7,H$3)</f>
        <v>147.16</v>
      </c>
      <c r="I7" s="24">
        <f>INDEX(Drivers!$C$7:$AG$22,$D7,I$3)</f>
        <v>149.16999999999999</v>
      </c>
      <c r="J7" s="24">
        <f>INDEX(Drivers!$C$7:$AG$22,$D7,J$3)</f>
        <v>138.22</v>
      </c>
      <c r="K7" s="24">
        <f>INDEX(Drivers!$C$7:$AG$22,$D7,K$3)</f>
        <v>141.11000000000001</v>
      </c>
      <c r="L7" s="24">
        <f>INDEX(Drivers!$C$7:$AG$22,$D7,L$3)</f>
        <v>169.63</v>
      </c>
      <c r="M7" s="24">
        <f>INDEX(Drivers!$C$7:$AG$22,$D7,M$3)</f>
        <v>224.36</v>
      </c>
      <c r="N7" s="24">
        <f>INDEX(Drivers!$C$7:$AG$22,$D7,N$3)</f>
        <v>309.06</v>
      </c>
      <c r="O7" s="195"/>
      <c r="P7" s="195">
        <f>G7</f>
        <v>144.16</v>
      </c>
      <c r="Q7" s="195">
        <f t="shared" ref="Q7:V7" si="0">I7</f>
        <v>149.16999999999999</v>
      </c>
      <c r="R7" s="195">
        <f t="shared" si="0"/>
        <v>138.22</v>
      </c>
      <c r="S7" s="24">
        <f t="shared" si="0"/>
        <v>141.11000000000001</v>
      </c>
      <c r="T7" s="195">
        <f t="shared" si="0"/>
        <v>169.63</v>
      </c>
      <c r="U7" s="195">
        <f t="shared" si="0"/>
        <v>224.36</v>
      </c>
      <c r="V7" s="195">
        <f t="shared" si="0"/>
        <v>309.06</v>
      </c>
      <c r="X7" s="195">
        <f t="shared" ref="X7:AD7" si="1">P7</f>
        <v>144.16</v>
      </c>
      <c r="Y7" s="195">
        <f t="shared" si="1"/>
        <v>149.16999999999999</v>
      </c>
      <c r="Z7" s="195">
        <f t="shared" si="1"/>
        <v>138.22</v>
      </c>
      <c r="AA7" s="195">
        <f t="shared" si="1"/>
        <v>141.11000000000001</v>
      </c>
      <c r="AB7" s="195">
        <f t="shared" si="1"/>
        <v>169.63</v>
      </c>
      <c r="AC7" s="195">
        <f t="shared" si="1"/>
        <v>224.36</v>
      </c>
      <c r="AD7" s="195">
        <f t="shared" si="1"/>
        <v>309.06</v>
      </c>
      <c r="BA7" s="201">
        <v>3</v>
      </c>
      <c r="BB7" s="201" t="s">
        <v>629</v>
      </c>
      <c r="BC7" s="201">
        <v>1</v>
      </c>
      <c r="BD7" s="268">
        <v>0.8</v>
      </c>
      <c r="BE7" s="268">
        <v>0.65</v>
      </c>
      <c r="BF7" s="210">
        <v>1</v>
      </c>
    </row>
    <row r="8" spans="1:58">
      <c r="A8" s="194" t="s">
        <v>16</v>
      </c>
      <c r="B8" s="195" t="s">
        <v>387</v>
      </c>
      <c r="C8" s="195" t="s">
        <v>68</v>
      </c>
      <c r="D8" s="194">
        <f>MATCH(B8,Drivers!$A$7:$A$22,0)</f>
        <v>7</v>
      </c>
      <c r="E8" s="195"/>
      <c r="F8" s="24">
        <f>INDEX(Drivers!$C$7:$AG$22,$D8,F$3)</f>
        <v>205.45</v>
      </c>
      <c r="G8" s="24">
        <f>INDEX(Drivers!$C$7:$AG$22,$D8,G$3)</f>
        <v>214.84</v>
      </c>
      <c r="H8" s="24">
        <f>INDEX(Drivers!$C$7:$AG$22,$D8,H$3)</f>
        <v>215.85</v>
      </c>
      <c r="I8" s="24">
        <f>INDEX(Drivers!$C$7:$AG$22,$D8,I$3)</f>
        <v>210.07</v>
      </c>
      <c r="J8" s="24">
        <f>INDEX(Drivers!$C$7:$AG$22,$D8,J$3)</f>
        <v>193.07</v>
      </c>
      <c r="K8" s="24">
        <f>INDEX(Drivers!$C$7:$AG$22,$D8,K$3)</f>
        <v>196.38</v>
      </c>
      <c r="L8" s="24">
        <f>INDEX(Drivers!$C$7:$AG$22,$D8,L$3)</f>
        <v>234.66</v>
      </c>
      <c r="M8" s="24">
        <f>INDEX(Drivers!$C$7:$AG$22,$D8,M$3)</f>
        <v>297.62</v>
      </c>
      <c r="N8" s="24">
        <f>INDEX(Drivers!$C$7:$AG$22,$D8,N$3)</f>
        <v>380</v>
      </c>
      <c r="O8" s="195"/>
      <c r="P8" s="195">
        <f>G8</f>
        <v>214.84</v>
      </c>
      <c r="Q8" s="195">
        <f t="shared" ref="Q8:Q9" si="2">I8</f>
        <v>210.07</v>
      </c>
      <c r="R8" s="195">
        <f>J8</f>
        <v>193.07</v>
      </c>
      <c r="S8" s="24">
        <f t="shared" ref="S8:S9" si="3">K8</f>
        <v>196.38</v>
      </c>
      <c r="T8" s="195">
        <f t="shared" ref="T8:V9" si="4">L8</f>
        <v>234.66</v>
      </c>
      <c r="U8" s="195">
        <f t="shared" si="4"/>
        <v>297.62</v>
      </c>
      <c r="V8" s="195">
        <f t="shared" si="4"/>
        <v>380</v>
      </c>
      <c r="X8" s="195">
        <f>P8</f>
        <v>214.84</v>
      </c>
      <c r="Y8" s="195">
        <f>Q8</f>
        <v>210.07</v>
      </c>
      <c r="Z8" s="195">
        <f t="shared" ref="Z8:Z9" si="5">R8</f>
        <v>193.07</v>
      </c>
      <c r="AA8" s="195">
        <f t="shared" ref="AA8:AA9" si="6">S8</f>
        <v>196.38</v>
      </c>
      <c r="AB8" s="195">
        <f t="shared" ref="AB8:AD9" si="7">T8</f>
        <v>234.66</v>
      </c>
      <c r="AC8" s="195">
        <f t="shared" si="7"/>
        <v>297.62</v>
      </c>
      <c r="AD8" s="195">
        <f t="shared" si="7"/>
        <v>380</v>
      </c>
    </row>
    <row r="9" spans="1:58">
      <c r="A9" s="194" t="s">
        <v>16</v>
      </c>
      <c r="B9" s="195" t="s">
        <v>388</v>
      </c>
      <c r="C9" s="195" t="s">
        <v>69</v>
      </c>
      <c r="D9" s="194">
        <f>MATCH(B9,Drivers!$A$7:$A$22,0)</f>
        <v>6</v>
      </c>
      <c r="E9" s="195"/>
      <c r="F9" s="24">
        <f>INDEX(Drivers!$C$7:$AG$22,$D9,F$3)</f>
        <v>13.35</v>
      </c>
      <c r="G9" s="24">
        <f>INDEX(Drivers!$C$7:$AG$22,$D9,G$3)</f>
        <v>14.13</v>
      </c>
      <c r="H9" s="24">
        <f>INDEX(Drivers!$C$7:$AG$22,$D9,H$3)</f>
        <v>14.18</v>
      </c>
      <c r="I9" s="24">
        <f>INDEX(Drivers!$C$7:$AG$22,$D9,I$3)</f>
        <v>14.08</v>
      </c>
      <c r="J9" s="24">
        <f>INDEX(Drivers!$C$7:$AG$22,$D9,J$3)</f>
        <v>12.26</v>
      </c>
      <c r="K9" s="24">
        <f>INDEX(Drivers!$C$7:$AG$22,$D9,K$3)</f>
        <v>12.65</v>
      </c>
      <c r="L9" s="24">
        <f>INDEX(Drivers!$C$7:$AG$22,$D9,L$3)</f>
        <v>15.88</v>
      </c>
      <c r="M9" s="24">
        <f>INDEX(Drivers!$C$7:$AG$22,$D9,M$3)</f>
        <v>20.14</v>
      </c>
      <c r="N9" s="24">
        <f>INDEX(Drivers!$C$7:$AG$22,$D9,N$3)</f>
        <v>25.89</v>
      </c>
      <c r="O9" s="195"/>
      <c r="P9" s="195">
        <f>G9</f>
        <v>14.13</v>
      </c>
      <c r="Q9" s="195">
        <f t="shared" si="2"/>
        <v>14.08</v>
      </c>
      <c r="R9" s="195">
        <f>J9</f>
        <v>12.26</v>
      </c>
      <c r="S9" s="24">
        <f t="shared" si="3"/>
        <v>12.65</v>
      </c>
      <c r="T9" s="195">
        <f t="shared" si="4"/>
        <v>15.88</v>
      </c>
      <c r="U9" s="195">
        <f t="shared" si="4"/>
        <v>20.14</v>
      </c>
      <c r="V9" s="195">
        <f t="shared" si="4"/>
        <v>25.89</v>
      </c>
      <c r="X9" s="195">
        <f>P9</f>
        <v>14.13</v>
      </c>
      <c r="Y9" s="195">
        <f>Q9</f>
        <v>14.08</v>
      </c>
      <c r="Z9" s="195">
        <f t="shared" si="5"/>
        <v>12.26</v>
      </c>
      <c r="AA9" s="195">
        <f t="shared" si="6"/>
        <v>12.65</v>
      </c>
      <c r="AB9" s="195">
        <f t="shared" si="7"/>
        <v>15.88</v>
      </c>
      <c r="AC9" s="195">
        <f t="shared" si="7"/>
        <v>20.14</v>
      </c>
      <c r="AD9" s="195">
        <f t="shared" si="7"/>
        <v>25.89</v>
      </c>
    </row>
    <row r="10" spans="1:58">
      <c r="A10" s="194" t="s">
        <v>16</v>
      </c>
      <c r="B10" s="195"/>
      <c r="C10" s="195"/>
      <c r="E10" s="195"/>
      <c r="F10" s="195"/>
      <c r="G10" s="195"/>
      <c r="H10" s="195"/>
      <c r="J10" s="195"/>
      <c r="L10" s="195"/>
      <c r="M10" s="195"/>
      <c r="N10" s="195"/>
      <c r="O10" s="195"/>
    </row>
    <row r="11" spans="1:58">
      <c r="A11" s="194" t="s">
        <v>16</v>
      </c>
      <c r="P11" s="5" t="s">
        <v>41</v>
      </c>
      <c r="X11" s="5" t="s">
        <v>197</v>
      </c>
    </row>
    <row r="12" spans="1:58" ht="15.75" thickBot="1">
      <c r="A12" s="194" t="s">
        <v>16</v>
      </c>
      <c r="B12" s="14" t="s">
        <v>444</v>
      </c>
      <c r="C12" s="14"/>
      <c r="D12" s="14"/>
      <c r="F12" s="194">
        <f>F$4</f>
        <v>2012</v>
      </c>
      <c r="G12" s="293">
        <f t="shared" ref="G12:L12" si="8">G$4</f>
        <v>2015</v>
      </c>
      <c r="H12" s="293">
        <f t="shared" si="8"/>
        <v>2017</v>
      </c>
      <c r="I12" s="293">
        <f t="shared" si="8"/>
        <v>2019</v>
      </c>
      <c r="J12" s="293">
        <f t="shared" si="8"/>
        <v>2020</v>
      </c>
      <c r="K12" s="293">
        <f t="shared" si="8"/>
        <v>2021</v>
      </c>
      <c r="L12" s="293">
        <f t="shared" si="8"/>
        <v>2030</v>
      </c>
      <c r="M12" s="194">
        <f>M$4</f>
        <v>2040</v>
      </c>
      <c r="N12" s="194">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94" t="s">
        <v>16</v>
      </c>
      <c r="B13" s="195" t="str">
        <f>ITEMS_TRA!C15</f>
        <v>TFLCV</v>
      </c>
      <c r="C13" s="195" t="str">
        <f>ITEMS_TRA!D15</f>
        <v>Transport Freight - LCV</v>
      </c>
      <c r="D13" s="195"/>
      <c r="F13" s="63">
        <v>0.8</v>
      </c>
      <c r="G13" s="63">
        <f t="shared" ref="G13:H25" si="11">F13</f>
        <v>0.8</v>
      </c>
      <c r="H13" s="63">
        <f t="shared" si="11"/>
        <v>0.8</v>
      </c>
      <c r="I13" s="63">
        <f t="shared" ref="I13:I25" si="12">H13</f>
        <v>0.8</v>
      </c>
      <c r="J13" s="63">
        <f t="shared" ref="J13:J25" si="13">I13</f>
        <v>0.8</v>
      </c>
      <c r="K13" s="63">
        <f t="shared" ref="K13:K25" si="14">J13</f>
        <v>0.8</v>
      </c>
      <c r="L13" s="63">
        <f t="shared" ref="L13:L25" si="15">IF($D$4,AB13,T13)</f>
        <v>0.8</v>
      </c>
      <c r="M13" s="63">
        <f t="shared" ref="M13:M25" si="16">IF($D$4,AC13,U13)</f>
        <v>0.8</v>
      </c>
      <c r="N13" s="63">
        <f t="shared" ref="N13:N25" si="17">IF($D$4,AD13,V13)</f>
        <v>0.8</v>
      </c>
      <c r="P13" s="63">
        <f t="shared" ref="P13:V25" si="18">$G13</f>
        <v>0.8</v>
      </c>
      <c r="Q13" s="63">
        <f>$I13</f>
        <v>0.8</v>
      </c>
      <c r="R13" s="63">
        <f t="shared" si="18"/>
        <v>0.8</v>
      </c>
      <c r="S13" s="63">
        <f t="shared" si="18"/>
        <v>0.8</v>
      </c>
      <c r="T13" s="63">
        <f t="shared" si="18"/>
        <v>0.8</v>
      </c>
      <c r="U13" s="63">
        <f t="shared" si="18"/>
        <v>0.8</v>
      </c>
      <c r="V13" s="63">
        <f t="shared" si="18"/>
        <v>0.8</v>
      </c>
      <c r="W13" s="239"/>
      <c r="X13" s="63">
        <f t="shared" ref="X13:AD25" si="19">$G13</f>
        <v>0.8</v>
      </c>
      <c r="Y13" s="63">
        <f>$I13</f>
        <v>0.8</v>
      </c>
      <c r="Z13" s="63">
        <f t="shared" si="19"/>
        <v>0.8</v>
      </c>
      <c r="AA13" s="63">
        <f t="shared" si="19"/>
        <v>0.8</v>
      </c>
      <c r="AB13" s="63">
        <f t="shared" si="19"/>
        <v>0.8</v>
      </c>
      <c r="AC13" s="63">
        <f t="shared" si="19"/>
        <v>0.8</v>
      </c>
      <c r="AD13" s="63">
        <f t="shared" si="19"/>
        <v>0.8</v>
      </c>
      <c r="AE13" s="239"/>
      <c r="AF13" s="239"/>
      <c r="AG13" s="239"/>
      <c r="AH13" s="239"/>
      <c r="AI13" s="239"/>
      <c r="AJ13" s="239"/>
      <c r="AK13" s="239"/>
      <c r="AL13" s="239"/>
      <c r="AM13" s="239"/>
      <c r="AN13" s="239"/>
      <c r="AO13" s="239"/>
      <c r="AP13" s="239"/>
      <c r="AQ13" s="239"/>
      <c r="AR13" s="239"/>
      <c r="AS13" s="239"/>
    </row>
    <row r="14" spans="1:58">
      <c r="A14" s="194" t="s">
        <v>16</v>
      </c>
      <c r="B14" s="195" t="str">
        <f>ITEMS_TRA!C16</f>
        <v>TFHCV1</v>
      </c>
      <c r="C14" s="195" t="str">
        <f>ITEMS_TRA!D16</f>
        <v>Transport Freight - HCV1</v>
      </c>
      <c r="D14" s="195"/>
      <c r="F14" s="63">
        <f>F13</f>
        <v>0.8</v>
      </c>
      <c r="G14" s="63">
        <f t="shared" si="11"/>
        <v>0.8</v>
      </c>
      <c r="H14" s="63">
        <f t="shared" si="11"/>
        <v>0.8</v>
      </c>
      <c r="I14" s="63">
        <f t="shared" si="12"/>
        <v>0.8</v>
      </c>
      <c r="J14" s="63">
        <f t="shared" si="13"/>
        <v>0.8</v>
      </c>
      <c r="K14" s="63">
        <f t="shared" si="14"/>
        <v>0.8</v>
      </c>
      <c r="L14" s="63">
        <f t="shared" si="15"/>
        <v>0.8</v>
      </c>
      <c r="M14" s="63">
        <f t="shared" si="16"/>
        <v>0.8</v>
      </c>
      <c r="N14" s="63">
        <f t="shared" si="17"/>
        <v>0.8</v>
      </c>
      <c r="P14" s="63">
        <f>$G14</f>
        <v>0.8</v>
      </c>
      <c r="Q14" s="63">
        <f t="shared" ref="Q14:Q25" si="20">$I14</f>
        <v>0.8</v>
      </c>
      <c r="R14" s="63">
        <f t="shared" si="18"/>
        <v>0.8</v>
      </c>
      <c r="S14" s="63">
        <f t="shared" si="18"/>
        <v>0.8</v>
      </c>
      <c r="T14" s="63">
        <f t="shared" si="18"/>
        <v>0.8</v>
      </c>
      <c r="U14" s="63">
        <f t="shared" si="18"/>
        <v>0.8</v>
      </c>
      <c r="V14" s="63">
        <f t="shared" si="18"/>
        <v>0.8</v>
      </c>
      <c r="W14" s="239"/>
      <c r="X14" s="63">
        <f t="shared" si="19"/>
        <v>0.8</v>
      </c>
      <c r="Y14" s="63">
        <f t="shared" ref="Y14:Y25" si="21">$I14</f>
        <v>0.8</v>
      </c>
      <c r="Z14" s="63">
        <f t="shared" si="19"/>
        <v>0.8</v>
      </c>
      <c r="AA14" s="63">
        <f t="shared" si="19"/>
        <v>0.8</v>
      </c>
      <c r="AB14" s="63">
        <f t="shared" si="19"/>
        <v>0.8</v>
      </c>
      <c r="AC14" s="63">
        <f t="shared" si="19"/>
        <v>0.8</v>
      </c>
      <c r="AD14" s="63">
        <f t="shared" si="19"/>
        <v>0.8</v>
      </c>
      <c r="AE14" s="239"/>
      <c r="AF14" s="239"/>
      <c r="AG14" s="239"/>
      <c r="AH14" s="239"/>
      <c r="AI14" s="239"/>
      <c r="AJ14" s="239"/>
      <c r="AK14" s="239"/>
      <c r="AL14" s="239"/>
      <c r="AM14" s="239"/>
      <c r="AN14" s="239"/>
      <c r="AO14" s="239"/>
      <c r="AP14" s="239"/>
      <c r="AQ14" s="239"/>
      <c r="AR14" s="239"/>
      <c r="AS14" s="239"/>
    </row>
    <row r="15" spans="1:58">
      <c r="A15" s="194" t="s">
        <v>16</v>
      </c>
      <c r="B15" s="195" t="str">
        <f>ITEMS_TRA!C17</f>
        <v>TFHCV2</v>
      </c>
      <c r="C15" s="195" t="str">
        <f>ITEMS_TRA!D17</f>
        <v>Transport Freight - HCV2</v>
      </c>
      <c r="D15" s="195"/>
      <c r="F15" s="63">
        <f t="shared" ref="F15:F25" si="22">F14</f>
        <v>0.8</v>
      </c>
      <c r="G15" s="63">
        <f t="shared" si="11"/>
        <v>0.8</v>
      </c>
      <c r="H15" s="63">
        <f t="shared" si="11"/>
        <v>0.8</v>
      </c>
      <c r="I15" s="63">
        <f t="shared" si="12"/>
        <v>0.8</v>
      </c>
      <c r="J15" s="63">
        <f t="shared" si="13"/>
        <v>0.8</v>
      </c>
      <c r="K15" s="63">
        <f t="shared" si="14"/>
        <v>0.8</v>
      </c>
      <c r="L15" s="63">
        <f t="shared" si="15"/>
        <v>0.8</v>
      </c>
      <c r="M15" s="63">
        <f t="shared" si="16"/>
        <v>0.8</v>
      </c>
      <c r="N15" s="63">
        <f t="shared" si="17"/>
        <v>0.8</v>
      </c>
      <c r="P15" s="63">
        <f t="shared" si="18"/>
        <v>0.8</v>
      </c>
      <c r="Q15" s="63">
        <f t="shared" si="20"/>
        <v>0.8</v>
      </c>
      <c r="R15" s="63">
        <f t="shared" si="18"/>
        <v>0.8</v>
      </c>
      <c r="S15" s="63">
        <f t="shared" si="18"/>
        <v>0.8</v>
      </c>
      <c r="T15" s="63">
        <f t="shared" si="18"/>
        <v>0.8</v>
      </c>
      <c r="U15" s="63">
        <f t="shared" si="18"/>
        <v>0.8</v>
      </c>
      <c r="V15" s="63">
        <f t="shared" si="18"/>
        <v>0.8</v>
      </c>
      <c r="W15" s="239"/>
      <c r="X15" s="63">
        <f t="shared" si="19"/>
        <v>0.8</v>
      </c>
      <c r="Y15" s="63">
        <f t="shared" si="21"/>
        <v>0.8</v>
      </c>
      <c r="Z15" s="63">
        <f t="shared" si="19"/>
        <v>0.8</v>
      </c>
      <c r="AA15" s="63">
        <f t="shared" si="19"/>
        <v>0.8</v>
      </c>
      <c r="AB15" s="63">
        <f t="shared" si="19"/>
        <v>0.8</v>
      </c>
      <c r="AC15" s="63">
        <f t="shared" si="19"/>
        <v>0.8</v>
      </c>
      <c r="AD15" s="63">
        <f t="shared" si="19"/>
        <v>0.8</v>
      </c>
      <c r="AE15" s="239"/>
      <c r="AF15" s="239"/>
      <c r="AG15" s="239"/>
      <c r="AH15" s="239"/>
      <c r="AI15" s="239"/>
      <c r="AJ15" s="239"/>
      <c r="AK15" s="239"/>
      <c r="AL15" s="239"/>
      <c r="AM15" s="239"/>
      <c r="AN15" s="239"/>
      <c r="AO15" s="239"/>
      <c r="AP15" s="239"/>
      <c r="AQ15" s="239"/>
      <c r="AR15" s="239"/>
      <c r="AS15" s="239"/>
    </row>
    <row r="16" spans="1:58">
      <c r="A16" s="194" t="s">
        <v>16</v>
      </c>
      <c r="B16" s="195" t="str">
        <f>ITEMS_TRA!C18</f>
        <v>TFHCV3</v>
      </c>
      <c r="C16" s="195" t="str">
        <f>ITEMS_TRA!D18</f>
        <v>Transport Freight - HCV3</v>
      </c>
      <c r="D16" s="195"/>
      <c r="F16" s="63">
        <f t="shared" si="22"/>
        <v>0.8</v>
      </c>
      <c r="G16" s="63">
        <f t="shared" si="11"/>
        <v>0.8</v>
      </c>
      <c r="H16" s="63">
        <f t="shared" si="11"/>
        <v>0.8</v>
      </c>
      <c r="I16" s="63">
        <f t="shared" si="12"/>
        <v>0.8</v>
      </c>
      <c r="J16" s="63">
        <f t="shared" si="13"/>
        <v>0.8</v>
      </c>
      <c r="K16" s="63">
        <f t="shared" si="14"/>
        <v>0.8</v>
      </c>
      <c r="L16" s="63">
        <f t="shared" si="15"/>
        <v>0.8</v>
      </c>
      <c r="M16" s="63">
        <f t="shared" si="16"/>
        <v>0.8</v>
      </c>
      <c r="N16" s="63">
        <f t="shared" si="17"/>
        <v>0.8</v>
      </c>
      <c r="P16" s="63">
        <f t="shared" si="18"/>
        <v>0.8</v>
      </c>
      <c r="Q16" s="63">
        <f t="shared" si="20"/>
        <v>0.8</v>
      </c>
      <c r="R16" s="63">
        <f t="shared" si="18"/>
        <v>0.8</v>
      </c>
      <c r="S16" s="63">
        <f t="shared" si="18"/>
        <v>0.8</v>
      </c>
      <c r="T16" s="63">
        <f t="shared" si="18"/>
        <v>0.8</v>
      </c>
      <c r="U16" s="63">
        <f t="shared" si="18"/>
        <v>0.8</v>
      </c>
      <c r="V16" s="63">
        <f t="shared" si="18"/>
        <v>0.8</v>
      </c>
      <c r="W16" s="239"/>
      <c r="X16" s="63">
        <f t="shared" si="19"/>
        <v>0.8</v>
      </c>
      <c r="Y16" s="63">
        <f t="shared" si="21"/>
        <v>0.8</v>
      </c>
      <c r="Z16" s="63">
        <f t="shared" si="19"/>
        <v>0.8</v>
      </c>
      <c r="AA16" s="63">
        <f t="shared" si="19"/>
        <v>0.8</v>
      </c>
      <c r="AB16" s="63">
        <f t="shared" si="19"/>
        <v>0.8</v>
      </c>
      <c r="AC16" s="63">
        <f t="shared" si="19"/>
        <v>0.8</v>
      </c>
      <c r="AD16" s="63">
        <f t="shared" si="19"/>
        <v>0.8</v>
      </c>
      <c r="AE16" s="239"/>
      <c r="AF16" s="239"/>
      <c r="AG16" s="239"/>
      <c r="AH16" s="239"/>
      <c r="AI16" s="239"/>
      <c r="AJ16" s="239"/>
      <c r="AK16" s="239"/>
      <c r="AL16" s="239"/>
      <c r="AM16" s="239"/>
      <c r="AN16" s="239"/>
      <c r="AO16" s="239"/>
      <c r="AP16" s="239"/>
      <c r="AQ16" s="239"/>
      <c r="AR16" s="239"/>
      <c r="AS16" s="239"/>
    </row>
    <row r="17" spans="1:45">
      <c r="A17" s="194" t="s">
        <v>16</v>
      </c>
      <c r="B17" s="195" t="str">
        <f>ITEMS_TRA!C19</f>
        <v>TFHCV4</v>
      </c>
      <c r="C17" s="195" t="str">
        <f>ITEMS_TRA!D19</f>
        <v>Transport Freight - HCV4</v>
      </c>
      <c r="D17" s="195"/>
      <c r="F17" s="63">
        <f t="shared" si="22"/>
        <v>0.8</v>
      </c>
      <c r="G17" s="63">
        <f t="shared" si="11"/>
        <v>0.8</v>
      </c>
      <c r="H17" s="63">
        <f t="shared" si="11"/>
        <v>0.8</v>
      </c>
      <c r="I17" s="63">
        <f t="shared" si="12"/>
        <v>0.8</v>
      </c>
      <c r="J17" s="63">
        <f t="shared" si="13"/>
        <v>0.8</v>
      </c>
      <c r="K17" s="63">
        <f t="shared" si="14"/>
        <v>0.8</v>
      </c>
      <c r="L17" s="63">
        <f t="shared" si="15"/>
        <v>0.8</v>
      </c>
      <c r="M17" s="63">
        <f t="shared" si="16"/>
        <v>0.8</v>
      </c>
      <c r="N17" s="63">
        <f t="shared" si="17"/>
        <v>0.8</v>
      </c>
      <c r="P17" s="63">
        <f t="shared" si="18"/>
        <v>0.8</v>
      </c>
      <c r="Q17" s="63">
        <f t="shared" si="20"/>
        <v>0.8</v>
      </c>
      <c r="R17" s="63">
        <f t="shared" si="18"/>
        <v>0.8</v>
      </c>
      <c r="S17" s="63">
        <f t="shared" si="18"/>
        <v>0.8</v>
      </c>
      <c r="T17" s="63">
        <f t="shared" si="18"/>
        <v>0.8</v>
      </c>
      <c r="U17" s="63">
        <f t="shared" si="18"/>
        <v>0.8</v>
      </c>
      <c r="V17" s="63">
        <f t="shared" si="18"/>
        <v>0.8</v>
      </c>
      <c r="W17" s="239"/>
      <c r="X17" s="63">
        <f t="shared" si="19"/>
        <v>0.8</v>
      </c>
      <c r="Y17" s="63">
        <f t="shared" si="21"/>
        <v>0.8</v>
      </c>
      <c r="Z17" s="63">
        <f t="shared" si="19"/>
        <v>0.8</v>
      </c>
      <c r="AA17" s="63">
        <f t="shared" si="19"/>
        <v>0.8</v>
      </c>
      <c r="AB17" s="63">
        <f t="shared" si="19"/>
        <v>0.8</v>
      </c>
      <c r="AC17" s="63">
        <f t="shared" si="19"/>
        <v>0.8</v>
      </c>
      <c r="AD17" s="63">
        <f t="shared" si="19"/>
        <v>0.8</v>
      </c>
      <c r="AE17" s="239"/>
      <c r="AF17" s="239"/>
      <c r="AG17" s="239"/>
      <c r="AH17" s="239"/>
      <c r="AI17" s="239"/>
      <c r="AJ17" s="239"/>
      <c r="AK17" s="239"/>
      <c r="AL17" s="239"/>
      <c r="AM17" s="239"/>
      <c r="AN17" s="239"/>
      <c r="AO17" s="239"/>
      <c r="AP17" s="239"/>
      <c r="AQ17" s="239"/>
      <c r="AR17" s="239"/>
      <c r="AS17" s="239"/>
    </row>
    <row r="18" spans="1:45">
      <c r="A18" s="194" t="s">
        <v>16</v>
      </c>
      <c r="B18" s="195" t="str">
        <f>ITEMS_TRA!C20</f>
        <v>TFHCV5</v>
      </c>
      <c r="C18" s="195" t="str">
        <f>ITEMS_TRA!D20</f>
        <v>Transport Freight - HCV5</v>
      </c>
      <c r="D18" s="195"/>
      <c r="F18" s="63">
        <f t="shared" si="22"/>
        <v>0.8</v>
      </c>
      <c r="G18" s="63">
        <f t="shared" si="11"/>
        <v>0.8</v>
      </c>
      <c r="H18" s="63">
        <f t="shared" si="11"/>
        <v>0.8</v>
      </c>
      <c r="I18" s="63">
        <f t="shared" si="12"/>
        <v>0.8</v>
      </c>
      <c r="J18" s="63">
        <f t="shared" si="13"/>
        <v>0.8</v>
      </c>
      <c r="K18" s="63">
        <f t="shared" si="14"/>
        <v>0.8</v>
      </c>
      <c r="L18" s="63">
        <f t="shared" si="15"/>
        <v>0.8</v>
      </c>
      <c r="M18" s="63">
        <f t="shared" si="16"/>
        <v>0.8</v>
      </c>
      <c r="N18" s="63">
        <f t="shared" si="17"/>
        <v>0.8</v>
      </c>
      <c r="P18" s="63">
        <f t="shared" si="18"/>
        <v>0.8</v>
      </c>
      <c r="Q18" s="63">
        <f t="shared" si="20"/>
        <v>0.8</v>
      </c>
      <c r="R18" s="63">
        <f t="shared" si="18"/>
        <v>0.8</v>
      </c>
      <c r="S18" s="63">
        <f t="shared" si="18"/>
        <v>0.8</v>
      </c>
      <c r="T18" s="63">
        <f t="shared" si="18"/>
        <v>0.8</v>
      </c>
      <c r="U18" s="63">
        <f t="shared" si="18"/>
        <v>0.8</v>
      </c>
      <c r="V18" s="63">
        <f t="shared" si="18"/>
        <v>0.8</v>
      </c>
      <c r="W18" s="239"/>
      <c r="X18" s="63">
        <f t="shared" si="19"/>
        <v>0.8</v>
      </c>
      <c r="Y18" s="63">
        <f t="shared" si="21"/>
        <v>0.8</v>
      </c>
      <c r="Z18" s="63">
        <f t="shared" si="19"/>
        <v>0.8</v>
      </c>
      <c r="AA18" s="63">
        <f t="shared" si="19"/>
        <v>0.8</v>
      </c>
      <c r="AB18" s="63">
        <f t="shared" si="19"/>
        <v>0.8</v>
      </c>
      <c r="AC18" s="63">
        <f t="shared" si="19"/>
        <v>0.8</v>
      </c>
      <c r="AD18" s="63">
        <f t="shared" si="19"/>
        <v>0.8</v>
      </c>
      <c r="AE18" s="239"/>
      <c r="AF18" s="239"/>
      <c r="AG18" s="239"/>
      <c r="AH18" s="239"/>
      <c r="AI18" s="239"/>
      <c r="AJ18" s="239"/>
      <c r="AK18" s="239"/>
      <c r="AL18" s="239"/>
      <c r="AM18" s="239"/>
      <c r="AN18" s="239"/>
      <c r="AO18" s="239"/>
      <c r="AP18" s="239"/>
      <c r="AQ18" s="239"/>
      <c r="AR18" s="239"/>
      <c r="AS18" s="239"/>
    </row>
    <row r="19" spans="1:45">
      <c r="A19" s="194" t="s">
        <v>16</v>
      </c>
      <c r="B19" s="195" t="str">
        <f>ITEMS_TRA!C21</f>
        <v>TFHCV6</v>
      </c>
      <c r="C19" s="195" t="str">
        <f>ITEMS_TRA!D21</f>
        <v>Transport Freight - HCV6</v>
      </c>
      <c r="D19" s="195"/>
      <c r="F19" s="63">
        <f t="shared" si="22"/>
        <v>0.8</v>
      </c>
      <c r="G19" s="63">
        <f t="shared" si="11"/>
        <v>0.8</v>
      </c>
      <c r="H19" s="63">
        <f t="shared" si="11"/>
        <v>0.8</v>
      </c>
      <c r="I19" s="63">
        <f t="shared" si="12"/>
        <v>0.8</v>
      </c>
      <c r="J19" s="63">
        <f t="shared" si="13"/>
        <v>0.8</v>
      </c>
      <c r="K19" s="63">
        <f t="shared" si="14"/>
        <v>0.8</v>
      </c>
      <c r="L19" s="63">
        <f t="shared" si="15"/>
        <v>0.8</v>
      </c>
      <c r="M19" s="63">
        <f t="shared" si="16"/>
        <v>0.8</v>
      </c>
      <c r="N19" s="63">
        <f t="shared" si="17"/>
        <v>0.8</v>
      </c>
      <c r="P19" s="63">
        <f t="shared" si="18"/>
        <v>0.8</v>
      </c>
      <c r="Q19" s="63">
        <f t="shared" si="20"/>
        <v>0.8</v>
      </c>
      <c r="R19" s="63">
        <f t="shared" si="18"/>
        <v>0.8</v>
      </c>
      <c r="S19" s="63">
        <f t="shared" si="18"/>
        <v>0.8</v>
      </c>
      <c r="T19" s="63">
        <f t="shared" si="18"/>
        <v>0.8</v>
      </c>
      <c r="U19" s="63">
        <f t="shared" si="18"/>
        <v>0.8</v>
      </c>
      <c r="V19" s="63">
        <f t="shared" si="18"/>
        <v>0.8</v>
      </c>
      <c r="W19" s="239"/>
      <c r="X19" s="63">
        <f t="shared" si="19"/>
        <v>0.8</v>
      </c>
      <c r="Y19" s="63">
        <f t="shared" si="21"/>
        <v>0.8</v>
      </c>
      <c r="Z19" s="63">
        <f t="shared" si="19"/>
        <v>0.8</v>
      </c>
      <c r="AA19" s="63">
        <f t="shared" si="19"/>
        <v>0.8</v>
      </c>
      <c r="AB19" s="63">
        <f t="shared" si="19"/>
        <v>0.8</v>
      </c>
      <c r="AC19" s="63">
        <f t="shared" si="19"/>
        <v>0.8</v>
      </c>
      <c r="AD19" s="63">
        <f t="shared" si="19"/>
        <v>0.8</v>
      </c>
      <c r="AE19" s="239"/>
      <c r="AF19" s="239"/>
      <c r="AG19" s="239"/>
      <c r="AH19" s="239"/>
      <c r="AI19" s="239"/>
      <c r="AJ19" s="239"/>
      <c r="AK19" s="239"/>
      <c r="AL19" s="239"/>
      <c r="AM19" s="239"/>
      <c r="AN19" s="239"/>
      <c r="AO19" s="239"/>
      <c r="AP19" s="239"/>
      <c r="AQ19" s="239"/>
      <c r="AR19" s="239"/>
      <c r="AS19" s="239"/>
    </row>
    <row r="20" spans="1:45">
      <c r="A20" s="194" t="s">
        <v>16</v>
      </c>
      <c r="B20" s="195" t="str">
        <f>ITEMS_TRA!C22</f>
        <v>TFHCV7</v>
      </c>
      <c r="C20" s="195" t="str">
        <f>ITEMS_TRA!D22</f>
        <v>Transport Freight - HCV7</v>
      </c>
      <c r="D20" s="195"/>
      <c r="F20" s="63">
        <f t="shared" si="22"/>
        <v>0.8</v>
      </c>
      <c r="G20" s="63">
        <f t="shared" si="11"/>
        <v>0.8</v>
      </c>
      <c r="H20" s="63">
        <f t="shared" si="11"/>
        <v>0.8</v>
      </c>
      <c r="I20" s="63">
        <f t="shared" si="12"/>
        <v>0.8</v>
      </c>
      <c r="J20" s="63">
        <f t="shared" si="13"/>
        <v>0.8</v>
      </c>
      <c r="K20" s="63">
        <f t="shared" si="14"/>
        <v>0.8</v>
      </c>
      <c r="L20" s="63">
        <f t="shared" si="15"/>
        <v>0.8</v>
      </c>
      <c r="M20" s="63">
        <f t="shared" si="16"/>
        <v>0.8</v>
      </c>
      <c r="N20" s="63">
        <f t="shared" si="17"/>
        <v>0.8</v>
      </c>
      <c r="P20" s="63">
        <f t="shared" si="18"/>
        <v>0.8</v>
      </c>
      <c r="Q20" s="63">
        <f t="shared" si="20"/>
        <v>0.8</v>
      </c>
      <c r="R20" s="63">
        <f t="shared" si="18"/>
        <v>0.8</v>
      </c>
      <c r="S20" s="63">
        <f>$G20</f>
        <v>0.8</v>
      </c>
      <c r="T20" s="63">
        <f t="shared" si="18"/>
        <v>0.8</v>
      </c>
      <c r="U20" s="63">
        <f t="shared" si="18"/>
        <v>0.8</v>
      </c>
      <c r="V20" s="63">
        <f t="shared" si="18"/>
        <v>0.8</v>
      </c>
      <c r="W20" s="239"/>
      <c r="X20" s="63">
        <f t="shared" si="19"/>
        <v>0.8</v>
      </c>
      <c r="Y20" s="63">
        <f t="shared" si="21"/>
        <v>0.8</v>
      </c>
      <c r="Z20" s="63">
        <f t="shared" si="19"/>
        <v>0.8</v>
      </c>
      <c r="AA20" s="63">
        <f t="shared" si="19"/>
        <v>0.8</v>
      </c>
      <c r="AB20" s="63">
        <f t="shared" si="19"/>
        <v>0.8</v>
      </c>
      <c r="AC20" s="63">
        <f t="shared" si="19"/>
        <v>0.8</v>
      </c>
      <c r="AD20" s="63">
        <f t="shared" si="19"/>
        <v>0.8</v>
      </c>
      <c r="AE20" s="239"/>
      <c r="AF20" s="239"/>
      <c r="AG20" s="239"/>
      <c r="AH20" s="239"/>
      <c r="AI20" s="239"/>
      <c r="AJ20" s="239"/>
      <c r="AK20" s="239"/>
      <c r="AL20" s="239"/>
      <c r="AM20" s="239"/>
      <c r="AN20" s="239"/>
      <c r="AO20" s="239"/>
      <c r="AP20" s="239"/>
      <c r="AQ20" s="239"/>
      <c r="AR20" s="239"/>
      <c r="AS20" s="239"/>
    </row>
    <row r="21" spans="1:45">
      <c r="A21" s="194" t="s">
        <v>16</v>
      </c>
      <c r="B21" s="195" t="str">
        <f>ITEMS_TRA!C23</f>
        <v>TFHCV8</v>
      </c>
      <c r="C21" s="195" t="str">
        <f>ITEMS_TRA!D23</f>
        <v>Transport Freight - HCV8</v>
      </c>
      <c r="D21" s="195"/>
      <c r="F21" s="63">
        <f t="shared" si="22"/>
        <v>0.8</v>
      </c>
      <c r="G21" s="63">
        <f t="shared" si="11"/>
        <v>0.8</v>
      </c>
      <c r="H21" s="63">
        <f t="shared" si="11"/>
        <v>0.8</v>
      </c>
      <c r="I21" s="63">
        <f t="shared" si="12"/>
        <v>0.8</v>
      </c>
      <c r="J21" s="63">
        <f t="shared" si="13"/>
        <v>0.8</v>
      </c>
      <c r="K21" s="63">
        <f t="shared" si="14"/>
        <v>0.8</v>
      </c>
      <c r="L21" s="63">
        <f t="shared" si="15"/>
        <v>0.8</v>
      </c>
      <c r="M21" s="63">
        <f t="shared" si="16"/>
        <v>0.8</v>
      </c>
      <c r="N21" s="63">
        <f t="shared" si="17"/>
        <v>0.8</v>
      </c>
      <c r="P21" s="63">
        <f t="shared" si="18"/>
        <v>0.8</v>
      </c>
      <c r="Q21" s="63">
        <f t="shared" si="20"/>
        <v>0.8</v>
      </c>
      <c r="R21" s="63">
        <f t="shared" si="18"/>
        <v>0.8</v>
      </c>
      <c r="S21" s="63">
        <f t="shared" si="18"/>
        <v>0.8</v>
      </c>
      <c r="T21" s="63">
        <f t="shared" si="18"/>
        <v>0.8</v>
      </c>
      <c r="U21" s="63">
        <f t="shared" si="18"/>
        <v>0.8</v>
      </c>
      <c r="V21" s="63">
        <f t="shared" si="18"/>
        <v>0.8</v>
      </c>
      <c r="W21" s="239"/>
      <c r="X21" s="63">
        <f t="shared" si="19"/>
        <v>0.8</v>
      </c>
      <c r="Y21" s="63">
        <f t="shared" si="21"/>
        <v>0.8</v>
      </c>
      <c r="Z21" s="63">
        <f t="shared" si="19"/>
        <v>0.8</v>
      </c>
      <c r="AA21" s="63">
        <f t="shared" si="19"/>
        <v>0.8</v>
      </c>
      <c r="AB21" s="63">
        <f t="shared" si="19"/>
        <v>0.8</v>
      </c>
      <c r="AC21" s="63">
        <f t="shared" si="19"/>
        <v>0.8</v>
      </c>
      <c r="AD21" s="63">
        <f t="shared" si="19"/>
        <v>0.8</v>
      </c>
      <c r="AE21" s="239"/>
      <c r="AF21" s="239"/>
      <c r="AG21" s="239"/>
      <c r="AH21" s="239"/>
      <c r="AI21" s="239"/>
      <c r="AJ21" s="239"/>
      <c r="AK21" s="239"/>
      <c r="AL21" s="239"/>
      <c r="AM21" s="239"/>
      <c r="AN21" s="239"/>
      <c r="AO21" s="239"/>
      <c r="AP21" s="239"/>
      <c r="AQ21" s="239"/>
      <c r="AR21" s="239"/>
      <c r="AS21" s="239"/>
    </row>
    <row r="22" spans="1:45">
      <c r="A22" s="194" t="s">
        <v>16</v>
      </c>
      <c r="B22" s="195" t="str">
        <f>ITEMS_TRA!C24</f>
        <v>TFHCV9</v>
      </c>
      <c r="C22" s="195" t="str">
        <f>ITEMS_TRA!D24</f>
        <v>Transport Freight - HCV9</v>
      </c>
      <c r="D22" s="195"/>
      <c r="F22" s="63">
        <f t="shared" si="22"/>
        <v>0.8</v>
      </c>
      <c r="G22" s="63">
        <f t="shared" si="11"/>
        <v>0.8</v>
      </c>
      <c r="H22" s="63">
        <f t="shared" si="11"/>
        <v>0.8</v>
      </c>
      <c r="I22" s="63">
        <f t="shared" si="12"/>
        <v>0.8</v>
      </c>
      <c r="J22" s="63">
        <f t="shared" si="13"/>
        <v>0.8</v>
      </c>
      <c r="K22" s="63">
        <f t="shared" si="14"/>
        <v>0.8</v>
      </c>
      <c r="L22" s="63">
        <f t="shared" si="15"/>
        <v>0.8</v>
      </c>
      <c r="M22" s="63">
        <f t="shared" si="16"/>
        <v>0.8</v>
      </c>
      <c r="N22" s="63">
        <f t="shared" si="17"/>
        <v>0.8</v>
      </c>
      <c r="P22" s="63">
        <f t="shared" si="18"/>
        <v>0.8</v>
      </c>
      <c r="Q22" s="63">
        <f t="shared" si="20"/>
        <v>0.8</v>
      </c>
      <c r="R22" s="63">
        <f t="shared" ref="R22:T25" si="23">P22</f>
        <v>0.8</v>
      </c>
      <c r="S22" s="63">
        <f t="shared" si="23"/>
        <v>0.8</v>
      </c>
      <c r="T22" s="63">
        <f t="shared" si="23"/>
        <v>0.8</v>
      </c>
      <c r="U22" s="63">
        <f>T22</f>
        <v>0.8</v>
      </c>
      <c r="V22" s="63">
        <f t="shared" si="18"/>
        <v>0.8</v>
      </c>
      <c r="W22" s="239"/>
      <c r="X22" s="63">
        <f t="shared" si="19"/>
        <v>0.8</v>
      </c>
      <c r="Y22" s="63">
        <f t="shared" si="21"/>
        <v>0.8</v>
      </c>
      <c r="Z22" s="63">
        <f t="shared" ref="Z22:AB25" si="24">X22</f>
        <v>0.8</v>
      </c>
      <c r="AA22" s="63">
        <f t="shared" si="24"/>
        <v>0.8</v>
      </c>
      <c r="AB22" s="63">
        <f t="shared" si="24"/>
        <v>0.8</v>
      </c>
      <c r="AC22" s="63">
        <f>AB22</f>
        <v>0.8</v>
      </c>
      <c r="AD22" s="63">
        <f t="shared" si="19"/>
        <v>0.8</v>
      </c>
      <c r="AE22" s="239"/>
      <c r="AF22" s="239"/>
      <c r="AG22" s="239"/>
      <c r="AH22" s="239"/>
      <c r="AI22" s="239"/>
      <c r="AJ22" s="239"/>
      <c r="AK22" s="239"/>
      <c r="AL22" s="239"/>
      <c r="AM22" s="239"/>
      <c r="AN22" s="239"/>
      <c r="AO22" s="239"/>
      <c r="AP22" s="239"/>
      <c r="AQ22" s="239"/>
      <c r="AR22" s="239"/>
      <c r="AS22" s="239"/>
    </row>
    <row r="23" spans="1:45">
      <c r="A23" s="194" t="s">
        <v>16</v>
      </c>
      <c r="B23" s="195" t="str">
        <f>ITEMS_TRA!C25</f>
        <v>TFRCO</v>
      </c>
      <c r="C23" s="195" t="str">
        <f>ITEMS_TRA!D25</f>
        <v>Transport Freight - Rail Corridor</v>
      </c>
      <c r="D23" s="195"/>
      <c r="F23" s="63">
        <f t="shared" si="22"/>
        <v>0.8</v>
      </c>
      <c r="G23" s="63">
        <f t="shared" si="11"/>
        <v>0.8</v>
      </c>
      <c r="H23" s="63">
        <f t="shared" si="11"/>
        <v>0.8</v>
      </c>
      <c r="I23" s="63">
        <f t="shared" si="12"/>
        <v>0.8</v>
      </c>
      <c r="J23" s="63">
        <f t="shared" si="13"/>
        <v>0.8</v>
      </c>
      <c r="K23" s="63">
        <f t="shared" si="14"/>
        <v>0.8</v>
      </c>
      <c r="L23" s="63">
        <f t="shared" si="15"/>
        <v>0.8</v>
      </c>
      <c r="M23" s="63">
        <f t="shared" si="16"/>
        <v>0.8</v>
      </c>
      <c r="N23" s="63">
        <f t="shared" si="17"/>
        <v>0.8</v>
      </c>
      <c r="P23" s="63">
        <f t="shared" si="18"/>
        <v>0.8</v>
      </c>
      <c r="Q23" s="63">
        <f t="shared" si="20"/>
        <v>0.8</v>
      </c>
      <c r="R23" s="63">
        <f t="shared" si="23"/>
        <v>0.8</v>
      </c>
      <c r="S23" s="63">
        <f t="shared" si="23"/>
        <v>0.8</v>
      </c>
      <c r="T23" s="63">
        <f t="shared" si="23"/>
        <v>0.8</v>
      </c>
      <c r="U23" s="63">
        <f>T23</f>
        <v>0.8</v>
      </c>
      <c r="V23" s="63">
        <f t="shared" si="18"/>
        <v>0.8</v>
      </c>
      <c r="W23" s="239"/>
      <c r="X23" s="63">
        <f t="shared" si="19"/>
        <v>0.8</v>
      </c>
      <c r="Y23" s="63">
        <f t="shared" si="21"/>
        <v>0.8</v>
      </c>
      <c r="Z23" s="63">
        <f t="shared" si="24"/>
        <v>0.8</v>
      </c>
      <c r="AA23" s="63">
        <f t="shared" si="24"/>
        <v>0.8</v>
      </c>
      <c r="AB23" s="63">
        <f t="shared" si="24"/>
        <v>0.8</v>
      </c>
      <c r="AC23" s="63">
        <f>AB23</f>
        <v>0.8</v>
      </c>
      <c r="AD23" s="63">
        <f t="shared" si="19"/>
        <v>0.8</v>
      </c>
      <c r="AE23" s="239"/>
      <c r="AF23" s="239"/>
      <c r="AG23" s="239"/>
      <c r="AH23" s="239"/>
      <c r="AI23" s="239"/>
      <c r="AJ23" s="239"/>
      <c r="AK23" s="239"/>
      <c r="AL23" s="239"/>
      <c r="AM23" s="239"/>
      <c r="AN23" s="239"/>
      <c r="AO23" s="239"/>
      <c r="AP23" s="239"/>
      <c r="AQ23" s="239"/>
      <c r="AR23" s="239"/>
      <c r="AS23" s="239"/>
    </row>
    <row r="24" spans="1:45">
      <c r="A24" s="194" t="s">
        <v>16</v>
      </c>
      <c r="B24" s="195" t="str">
        <f>ITEMS_TRA!C26</f>
        <v>TFROT</v>
      </c>
      <c r="C24" s="195" t="str">
        <f>ITEMS_TRA!D26</f>
        <v>Transport Freight - Rail Other</v>
      </c>
      <c r="F24" s="63">
        <f t="shared" si="22"/>
        <v>0.8</v>
      </c>
      <c r="G24" s="63">
        <f t="shared" si="11"/>
        <v>0.8</v>
      </c>
      <c r="H24" s="63">
        <f t="shared" si="11"/>
        <v>0.8</v>
      </c>
      <c r="I24" s="63">
        <f t="shared" si="12"/>
        <v>0.8</v>
      </c>
      <c r="J24" s="63">
        <f t="shared" si="13"/>
        <v>0.8</v>
      </c>
      <c r="K24" s="63">
        <f t="shared" si="14"/>
        <v>0.8</v>
      </c>
      <c r="L24" s="63">
        <f t="shared" si="15"/>
        <v>0.8</v>
      </c>
      <c r="M24" s="63">
        <f t="shared" si="16"/>
        <v>0.8</v>
      </c>
      <c r="N24" s="63">
        <f t="shared" si="17"/>
        <v>0.8</v>
      </c>
      <c r="P24" s="63">
        <f t="shared" si="18"/>
        <v>0.8</v>
      </c>
      <c r="Q24" s="63">
        <f t="shared" si="20"/>
        <v>0.8</v>
      </c>
      <c r="R24" s="63">
        <f t="shared" si="23"/>
        <v>0.8</v>
      </c>
      <c r="S24" s="63">
        <f t="shared" si="23"/>
        <v>0.8</v>
      </c>
      <c r="T24" s="63">
        <f t="shared" si="23"/>
        <v>0.8</v>
      </c>
      <c r="U24" s="63">
        <f>T24</f>
        <v>0.8</v>
      </c>
      <c r="V24" s="63">
        <f t="shared" si="18"/>
        <v>0.8</v>
      </c>
      <c r="W24" s="239"/>
      <c r="X24" s="63">
        <f t="shared" si="19"/>
        <v>0.8</v>
      </c>
      <c r="Y24" s="63">
        <f t="shared" si="21"/>
        <v>0.8</v>
      </c>
      <c r="Z24" s="63">
        <f t="shared" si="24"/>
        <v>0.8</v>
      </c>
      <c r="AA24" s="63">
        <f t="shared" si="24"/>
        <v>0.8</v>
      </c>
      <c r="AB24" s="63">
        <f t="shared" si="24"/>
        <v>0.8</v>
      </c>
      <c r="AC24" s="63">
        <f>AB24</f>
        <v>0.8</v>
      </c>
      <c r="AD24" s="63">
        <f t="shared" si="19"/>
        <v>0.8</v>
      </c>
      <c r="AE24" s="239"/>
      <c r="AF24" s="239"/>
      <c r="AG24" s="239"/>
      <c r="AH24" s="239"/>
      <c r="AI24" s="239"/>
      <c r="AJ24" s="239"/>
      <c r="AK24" s="239"/>
      <c r="AL24" s="239"/>
      <c r="AM24" s="239"/>
      <c r="AN24" s="239"/>
      <c r="AO24" s="239"/>
      <c r="AP24" s="239"/>
      <c r="AQ24" s="239"/>
      <c r="AR24" s="239"/>
      <c r="AS24" s="239"/>
    </row>
    <row r="25" spans="1:45">
      <c r="A25" s="194" t="s">
        <v>16</v>
      </c>
      <c r="B25" s="195" t="str">
        <f>ITEMS_TRA!C27</f>
        <v>TFREX</v>
      </c>
      <c r="C25" s="195" t="str">
        <f>ITEMS_TRA!D27</f>
        <v>Transport Freight - Rail Export (bulk mining)</v>
      </c>
      <c r="F25" s="63">
        <f t="shared" si="22"/>
        <v>0.8</v>
      </c>
      <c r="G25" s="63">
        <f t="shared" si="11"/>
        <v>0.8</v>
      </c>
      <c r="H25" s="63">
        <f t="shared" si="11"/>
        <v>0.8</v>
      </c>
      <c r="I25" s="63">
        <f t="shared" si="12"/>
        <v>0.8</v>
      </c>
      <c r="J25" s="63">
        <f t="shared" si="13"/>
        <v>0.8</v>
      </c>
      <c r="K25" s="63">
        <f t="shared" si="14"/>
        <v>0.8</v>
      </c>
      <c r="L25" s="63">
        <f t="shared" si="15"/>
        <v>0.8</v>
      </c>
      <c r="M25" s="63">
        <f t="shared" si="16"/>
        <v>0.8</v>
      </c>
      <c r="N25" s="63">
        <f t="shared" si="17"/>
        <v>0.8</v>
      </c>
      <c r="P25" s="63">
        <f t="shared" si="18"/>
        <v>0.8</v>
      </c>
      <c r="Q25" s="63">
        <f t="shared" si="20"/>
        <v>0.8</v>
      </c>
      <c r="R25" s="63">
        <f t="shared" si="23"/>
        <v>0.8</v>
      </c>
      <c r="S25" s="63">
        <f t="shared" si="23"/>
        <v>0.8</v>
      </c>
      <c r="T25" s="63">
        <f t="shared" si="23"/>
        <v>0.8</v>
      </c>
      <c r="U25" s="63">
        <f>T25</f>
        <v>0.8</v>
      </c>
      <c r="V25" s="63">
        <f t="shared" si="18"/>
        <v>0.8</v>
      </c>
      <c r="W25" s="239"/>
      <c r="X25" s="63">
        <f t="shared" si="19"/>
        <v>0.8</v>
      </c>
      <c r="Y25" s="63">
        <f t="shared" si="21"/>
        <v>0.8</v>
      </c>
      <c r="Z25" s="63">
        <f t="shared" si="24"/>
        <v>0.8</v>
      </c>
      <c r="AA25" s="63">
        <f t="shared" si="24"/>
        <v>0.8</v>
      </c>
      <c r="AB25" s="63">
        <f t="shared" si="24"/>
        <v>0.8</v>
      </c>
      <c r="AC25" s="63">
        <f>AB25</f>
        <v>0.8</v>
      </c>
      <c r="AD25" s="63">
        <f t="shared" si="19"/>
        <v>0.8</v>
      </c>
      <c r="AE25" s="239"/>
      <c r="AF25" s="239"/>
      <c r="AG25" s="239"/>
      <c r="AH25" s="239"/>
      <c r="AI25" s="239"/>
      <c r="AJ25" s="239"/>
      <c r="AK25" s="239"/>
      <c r="AL25" s="239"/>
      <c r="AM25" s="239"/>
      <c r="AN25" s="239"/>
      <c r="AO25" s="239"/>
      <c r="AP25" s="239"/>
      <c r="AQ25" s="239"/>
      <c r="AR25" s="239"/>
      <c r="AS25" s="239"/>
    </row>
    <row r="26" spans="1:45" ht="15.75" thickBot="1">
      <c r="A26" s="194" t="s">
        <v>16</v>
      </c>
      <c r="B26" s="195"/>
      <c r="C26" s="195"/>
      <c r="P26" s="195"/>
      <c r="R26" s="195"/>
      <c r="T26" s="195"/>
      <c r="U26" s="195"/>
      <c r="V26" s="195"/>
      <c r="W26" s="195"/>
      <c r="X26" s="195"/>
      <c r="Y26" s="195"/>
      <c r="Z26" s="195"/>
      <c r="AB26" s="267">
        <v>2030</v>
      </c>
      <c r="AC26" s="267">
        <v>2050</v>
      </c>
      <c r="AD26" s="195"/>
      <c r="AE26" s="195"/>
      <c r="AF26" s="195"/>
      <c r="AG26" s="195"/>
      <c r="AH26" s="195"/>
      <c r="AI26" s="195"/>
      <c r="AJ26" s="195"/>
      <c r="AK26" s="195"/>
      <c r="AL26" s="195"/>
      <c r="AM26" s="195"/>
      <c r="AN26" s="195"/>
      <c r="AO26" s="195"/>
      <c r="AP26" s="195"/>
      <c r="AQ26" s="195"/>
      <c r="AR26" s="195"/>
      <c r="AS26" s="195"/>
    </row>
    <row r="27" spans="1:45" ht="15.75" thickBot="1">
      <c r="A27" s="194" t="s">
        <v>16</v>
      </c>
      <c r="B27" s="14" t="s">
        <v>153</v>
      </c>
      <c r="C27" s="14"/>
      <c r="AB27" s="191">
        <f>INDEX($BD$4:$BD$7,MATCH($D$3,$BA$4:$BA$7,0))</f>
        <v>0.95</v>
      </c>
      <c r="AC27" s="191">
        <f>INDEX($BE$4:$BE$7,MATCH($D$3,$BA$4:$BA$7,0))</f>
        <v>0.95</v>
      </c>
    </row>
    <row r="28" spans="1:45">
      <c r="A28" s="194" t="s">
        <v>16</v>
      </c>
      <c r="B28" s="195" t="str">
        <f>B15</f>
        <v>TFHCV2</v>
      </c>
      <c r="C28" s="195" t="str">
        <f>C15</f>
        <v>Transport Freight - HCV2</v>
      </c>
      <c r="D28" s="194" t="s">
        <v>48</v>
      </c>
      <c r="F28" s="240">
        <f>F51/F$60</f>
        <v>9.4676612498750534E-3</v>
      </c>
      <c r="G28" s="64">
        <f t="shared" ref="G28:H35" si="25">F28</f>
        <v>9.4676612498750534E-3</v>
      </c>
      <c r="H28" s="64">
        <f t="shared" si="25"/>
        <v>9.4676612498750534E-3</v>
      </c>
      <c r="I28" s="64">
        <f t="shared" ref="I28:I35" si="26">H28</f>
        <v>9.4676612498750534E-3</v>
      </c>
      <c r="J28" s="64">
        <f t="shared" ref="J28:J35" si="27">I28</f>
        <v>9.4676612498750534E-3</v>
      </c>
      <c r="K28" s="64">
        <f t="shared" ref="K28:K35" si="28">J28</f>
        <v>9.4676612498750534E-3</v>
      </c>
      <c r="L28" s="64">
        <f t="shared" ref="L28:N35" si="29">IF($D$4,AB28,T28)</f>
        <v>9.4676612498750534E-3</v>
      </c>
      <c r="M28" s="64">
        <f t="shared" si="29"/>
        <v>9.4676612498750534E-3</v>
      </c>
      <c r="N28" s="64">
        <f t="shared" si="29"/>
        <v>9.4676612498750534E-3</v>
      </c>
      <c r="P28" s="241">
        <f>$G28</f>
        <v>9.4676612498750534E-3</v>
      </c>
      <c r="Q28" s="241">
        <f>P28</f>
        <v>9.4676612498750534E-3</v>
      </c>
      <c r="R28" s="241">
        <f>Q28</f>
        <v>9.4676612498750534E-3</v>
      </c>
      <c r="S28" s="241">
        <f>R28</f>
        <v>9.4676612498750534E-3</v>
      </c>
      <c r="T28" s="35">
        <f t="shared" ref="T28:T35" si="30">R28</f>
        <v>9.4676612498750534E-3</v>
      </c>
      <c r="U28" s="35">
        <f t="shared" ref="U28:U35" si="31">T28</f>
        <v>9.4676612498750534E-3</v>
      </c>
      <c r="V28" s="35">
        <f>T28</f>
        <v>9.4676612498750534E-3</v>
      </c>
      <c r="W28" s="242"/>
      <c r="X28" s="241">
        <f>P28</f>
        <v>9.4676612498750534E-3</v>
      </c>
      <c r="Y28" s="241">
        <f t="shared" ref="Y28:AA28" si="32">Q28</f>
        <v>9.4676612498750534E-3</v>
      </c>
      <c r="Z28" s="241">
        <f t="shared" si="32"/>
        <v>9.4676612498750534E-3</v>
      </c>
      <c r="AA28" s="241">
        <f t="shared" si="32"/>
        <v>9.4676612498750534E-3</v>
      </c>
      <c r="AB28" s="269">
        <f t="shared" ref="AB28:AB35" si="33">IF(INDEX($BF$4:$BF$7,MATCH($D$3,$BA$4:$BA$7,0)),Z28*$AB$27,Z28)</f>
        <v>8.9942781873813011E-3</v>
      </c>
      <c r="AC28" s="269">
        <f t="shared" ref="AC28:AD35" si="34">IF(INDEX($BF$4:$BF$7,MATCH($D$3,$BA$4:$BA$7,0)),AB28*$AC$27,AB28)</f>
        <v>8.5445642780122358E-3</v>
      </c>
      <c r="AD28" s="76">
        <f t="shared" si="34"/>
        <v>8.1173360641116233E-3</v>
      </c>
      <c r="AE28" s="242"/>
      <c r="AF28" s="242"/>
      <c r="AG28" s="242"/>
      <c r="AH28" s="242"/>
      <c r="AI28" s="242"/>
      <c r="AJ28" s="242"/>
      <c r="AK28" s="242"/>
      <c r="AL28" s="242"/>
      <c r="AM28" s="242"/>
      <c r="AN28" s="242"/>
      <c r="AO28" s="242"/>
      <c r="AP28" s="242"/>
      <c r="AQ28" s="242"/>
      <c r="AR28" s="242"/>
      <c r="AS28" s="242"/>
    </row>
    <row r="29" spans="1:45">
      <c r="A29" s="194" t="s">
        <v>16</v>
      </c>
      <c r="B29" s="195" t="str">
        <f t="shared" ref="B29:C35" si="35">B16</f>
        <v>TFHCV3</v>
      </c>
      <c r="C29" s="195" t="str">
        <f t="shared" si="35"/>
        <v>Transport Freight - HCV3</v>
      </c>
      <c r="F29" s="240">
        <f>F52/F$60</f>
        <v>7.8489485135980169E-2</v>
      </c>
      <c r="G29" s="64">
        <f t="shared" si="25"/>
        <v>7.8489485135980169E-2</v>
      </c>
      <c r="H29" s="64">
        <f t="shared" si="25"/>
        <v>7.8489485135980169E-2</v>
      </c>
      <c r="I29" s="64">
        <f t="shared" si="26"/>
        <v>7.8489485135980169E-2</v>
      </c>
      <c r="J29" s="64">
        <f t="shared" si="27"/>
        <v>7.8489485135980169E-2</v>
      </c>
      <c r="K29" s="64">
        <f t="shared" si="28"/>
        <v>7.8489485135980169E-2</v>
      </c>
      <c r="L29" s="64">
        <f t="shared" si="29"/>
        <v>7.8489485135980169E-2</v>
      </c>
      <c r="M29" s="64">
        <f t="shared" si="29"/>
        <v>7.8489485135980169E-2</v>
      </c>
      <c r="N29" s="64">
        <f t="shared" si="29"/>
        <v>7.8489485135980169E-2</v>
      </c>
      <c r="P29" s="241">
        <f t="shared" ref="P29:P35" si="36">$G29</f>
        <v>7.8489485135980169E-2</v>
      </c>
      <c r="Q29" s="241">
        <f t="shared" ref="Q29:R35" si="37">P29</f>
        <v>7.8489485135980169E-2</v>
      </c>
      <c r="R29" s="241">
        <f t="shared" si="37"/>
        <v>7.8489485135980169E-2</v>
      </c>
      <c r="S29" s="241">
        <f t="shared" ref="S29" si="38">R29</f>
        <v>7.8489485135980169E-2</v>
      </c>
      <c r="T29" s="35">
        <f t="shared" si="30"/>
        <v>7.8489485135980169E-2</v>
      </c>
      <c r="U29" s="35">
        <f t="shared" si="31"/>
        <v>7.8489485135980169E-2</v>
      </c>
      <c r="V29" s="35">
        <f t="shared" ref="V29:V35" si="39">T29</f>
        <v>7.8489485135980169E-2</v>
      </c>
      <c r="W29" s="242"/>
      <c r="X29" s="241">
        <f t="shared" ref="X29:X35" si="40">P29</f>
        <v>7.8489485135980169E-2</v>
      </c>
      <c r="Y29" s="241">
        <f t="shared" ref="Y29:Y35" si="41">Q29</f>
        <v>7.8489485135980169E-2</v>
      </c>
      <c r="Z29" s="241">
        <f t="shared" ref="Z29:Z35" si="42">R29</f>
        <v>7.8489485135980169E-2</v>
      </c>
      <c r="AA29" s="241">
        <f t="shared" ref="AA29:AA35" si="43">S29</f>
        <v>7.8489485135980169E-2</v>
      </c>
      <c r="AB29" s="74">
        <f t="shared" si="33"/>
        <v>7.4565010879181159E-2</v>
      </c>
      <c r="AC29" s="269">
        <f t="shared" si="34"/>
        <v>7.0836760335222099E-2</v>
      </c>
      <c r="AD29" s="76">
        <f t="shared" si="34"/>
        <v>6.7294922318460987E-2</v>
      </c>
      <c r="AE29" s="242"/>
      <c r="AF29" s="242"/>
      <c r="AG29" s="242"/>
      <c r="AH29" s="242"/>
      <c r="AI29" s="242"/>
      <c r="AJ29" s="242"/>
      <c r="AK29" s="242"/>
      <c r="AL29" s="242"/>
      <c r="AM29" s="242"/>
      <c r="AN29" s="242"/>
      <c r="AO29" s="242"/>
      <c r="AP29" s="242"/>
      <c r="AQ29" s="242"/>
      <c r="AR29" s="242"/>
      <c r="AS29" s="242"/>
    </row>
    <row r="30" spans="1:45">
      <c r="A30" s="194" t="s">
        <v>16</v>
      </c>
      <c r="B30" s="195" t="str">
        <f t="shared" si="35"/>
        <v>TFHCV4</v>
      </c>
      <c r="C30" s="195" t="str">
        <f t="shared" si="35"/>
        <v>Transport Freight - HCV4</v>
      </c>
      <c r="F30" s="240">
        <f t="shared" ref="F30:F35" si="44">F53/F$60</f>
        <v>2.6108291894949322E-2</v>
      </c>
      <c r="G30" s="64">
        <f t="shared" si="25"/>
        <v>2.6108291894949322E-2</v>
      </c>
      <c r="H30" s="64">
        <f t="shared" si="25"/>
        <v>2.6108291894949322E-2</v>
      </c>
      <c r="I30" s="64">
        <f t="shared" si="26"/>
        <v>2.6108291894949322E-2</v>
      </c>
      <c r="J30" s="64">
        <f t="shared" si="27"/>
        <v>2.6108291894949322E-2</v>
      </c>
      <c r="K30" s="64">
        <f t="shared" si="28"/>
        <v>2.6108291894949322E-2</v>
      </c>
      <c r="L30" s="64">
        <f t="shared" si="29"/>
        <v>2.6108291894949322E-2</v>
      </c>
      <c r="M30" s="64">
        <f t="shared" si="29"/>
        <v>2.6108291894949322E-2</v>
      </c>
      <c r="N30" s="64">
        <f t="shared" si="29"/>
        <v>2.6108291894949322E-2</v>
      </c>
      <c r="P30" s="241">
        <f t="shared" si="36"/>
        <v>2.6108291894949322E-2</v>
      </c>
      <c r="Q30" s="241">
        <f t="shared" si="37"/>
        <v>2.6108291894949322E-2</v>
      </c>
      <c r="R30" s="241">
        <f t="shared" si="37"/>
        <v>2.6108291894949322E-2</v>
      </c>
      <c r="S30" s="241">
        <f t="shared" ref="S30" si="45">R30</f>
        <v>2.6108291894949322E-2</v>
      </c>
      <c r="T30" s="35">
        <f t="shared" si="30"/>
        <v>2.6108291894949322E-2</v>
      </c>
      <c r="U30" s="35">
        <f t="shared" si="31"/>
        <v>2.6108291894949322E-2</v>
      </c>
      <c r="V30" s="35">
        <f t="shared" si="39"/>
        <v>2.6108291894949322E-2</v>
      </c>
      <c r="W30" s="242"/>
      <c r="X30" s="241">
        <f t="shared" si="40"/>
        <v>2.6108291894949322E-2</v>
      </c>
      <c r="Y30" s="241">
        <f t="shared" si="41"/>
        <v>2.6108291894949322E-2</v>
      </c>
      <c r="Z30" s="241">
        <f t="shared" si="42"/>
        <v>2.6108291894949322E-2</v>
      </c>
      <c r="AA30" s="241">
        <f t="shared" si="43"/>
        <v>2.6108291894949322E-2</v>
      </c>
      <c r="AB30" s="74">
        <f t="shared" si="33"/>
        <v>2.4802877300201854E-2</v>
      </c>
      <c r="AC30" s="269">
        <f t="shared" si="34"/>
        <v>2.356273343519176E-2</v>
      </c>
      <c r="AD30" s="76">
        <f t="shared" si="34"/>
        <v>2.2384596763432171E-2</v>
      </c>
      <c r="AE30" s="242"/>
      <c r="AF30" s="242"/>
      <c r="AG30" s="242"/>
      <c r="AH30" s="242"/>
      <c r="AI30" s="242"/>
      <c r="AJ30" s="242"/>
      <c r="AK30" s="242"/>
      <c r="AL30" s="242"/>
      <c r="AM30" s="242"/>
      <c r="AN30" s="242"/>
      <c r="AO30" s="242"/>
      <c r="AP30" s="242"/>
      <c r="AQ30" s="242"/>
      <c r="AR30" s="242"/>
      <c r="AS30" s="242"/>
    </row>
    <row r="31" spans="1:45">
      <c r="A31" s="194" t="s">
        <v>16</v>
      </c>
      <c r="B31" s="195" t="str">
        <f t="shared" si="35"/>
        <v>TFHCV5</v>
      </c>
      <c r="C31" s="195" t="str">
        <f t="shared" si="35"/>
        <v>Transport Freight - HCV5</v>
      </c>
      <c r="F31" s="240">
        <f t="shared" si="44"/>
        <v>1.7199691913336531E-2</v>
      </c>
      <c r="G31" s="64">
        <f t="shared" si="25"/>
        <v>1.7199691913336531E-2</v>
      </c>
      <c r="H31" s="64">
        <f t="shared" si="25"/>
        <v>1.7199691913336531E-2</v>
      </c>
      <c r="I31" s="64">
        <f t="shared" si="26"/>
        <v>1.7199691913336531E-2</v>
      </c>
      <c r="J31" s="64">
        <f t="shared" si="27"/>
        <v>1.7199691913336531E-2</v>
      </c>
      <c r="K31" s="64">
        <f t="shared" si="28"/>
        <v>1.7199691913336531E-2</v>
      </c>
      <c r="L31" s="64">
        <f t="shared" si="29"/>
        <v>1.7199691913336531E-2</v>
      </c>
      <c r="M31" s="64">
        <f t="shared" si="29"/>
        <v>1.7199691913336531E-2</v>
      </c>
      <c r="N31" s="64">
        <f t="shared" si="29"/>
        <v>1.7199691913336531E-2</v>
      </c>
      <c r="P31" s="241">
        <f t="shared" si="36"/>
        <v>1.7199691913336531E-2</v>
      </c>
      <c r="Q31" s="241">
        <f t="shared" si="37"/>
        <v>1.7199691913336531E-2</v>
      </c>
      <c r="R31" s="241">
        <f t="shared" si="37"/>
        <v>1.7199691913336531E-2</v>
      </c>
      <c r="S31" s="241">
        <f t="shared" ref="S31" si="46">R31</f>
        <v>1.7199691913336531E-2</v>
      </c>
      <c r="T31" s="35">
        <f t="shared" si="30"/>
        <v>1.7199691913336531E-2</v>
      </c>
      <c r="U31" s="35">
        <f t="shared" si="31"/>
        <v>1.7199691913336531E-2</v>
      </c>
      <c r="V31" s="35">
        <f t="shared" si="39"/>
        <v>1.7199691913336531E-2</v>
      </c>
      <c r="W31" s="242"/>
      <c r="X31" s="241">
        <f t="shared" si="40"/>
        <v>1.7199691913336531E-2</v>
      </c>
      <c r="Y31" s="241">
        <f t="shared" si="41"/>
        <v>1.7199691913336531E-2</v>
      </c>
      <c r="Z31" s="241">
        <f t="shared" si="42"/>
        <v>1.7199691913336531E-2</v>
      </c>
      <c r="AA31" s="241">
        <f t="shared" si="43"/>
        <v>1.7199691913336531E-2</v>
      </c>
      <c r="AB31" s="74">
        <f t="shared" si="33"/>
        <v>1.6339707317669705E-2</v>
      </c>
      <c r="AC31" s="269">
        <f t="shared" si="34"/>
        <v>1.5522721951786219E-2</v>
      </c>
      <c r="AD31" s="76">
        <f t="shared" si="34"/>
        <v>1.4746585854196907E-2</v>
      </c>
      <c r="AE31" s="242"/>
      <c r="AF31" s="242"/>
      <c r="AG31" s="242"/>
      <c r="AH31" s="242"/>
      <c r="AI31" s="242"/>
      <c r="AJ31" s="242"/>
      <c r="AK31" s="242"/>
      <c r="AL31" s="242"/>
      <c r="AM31" s="242"/>
      <c r="AN31" s="242"/>
      <c r="AO31" s="242"/>
      <c r="AP31" s="242"/>
      <c r="AQ31" s="242"/>
      <c r="AR31" s="242"/>
      <c r="AS31" s="242"/>
    </row>
    <row r="32" spans="1:45">
      <c r="A32" s="194" t="s">
        <v>16</v>
      </c>
      <c r="B32" s="195" t="str">
        <f t="shared" si="35"/>
        <v>TFHCV6</v>
      </c>
      <c r="C32" s="195" t="str">
        <f t="shared" si="35"/>
        <v>Transport Freight - HCV6</v>
      </c>
      <c r="F32" s="240">
        <f t="shared" si="44"/>
        <v>0.56836281793433707</v>
      </c>
      <c r="G32" s="64">
        <f t="shared" si="25"/>
        <v>0.56836281793433707</v>
      </c>
      <c r="H32" s="64">
        <f t="shared" si="25"/>
        <v>0.56836281793433707</v>
      </c>
      <c r="I32" s="64">
        <f t="shared" si="26"/>
        <v>0.56836281793433707</v>
      </c>
      <c r="J32" s="64">
        <f t="shared" si="27"/>
        <v>0.56836281793433707</v>
      </c>
      <c r="K32" s="64">
        <f t="shared" si="28"/>
        <v>0.56836281793433707</v>
      </c>
      <c r="L32" s="64">
        <f t="shared" si="29"/>
        <v>0.56836281793433707</v>
      </c>
      <c r="M32" s="64">
        <f t="shared" si="29"/>
        <v>0.56836281793433707</v>
      </c>
      <c r="N32" s="64">
        <f t="shared" si="29"/>
        <v>0.56836281793433707</v>
      </c>
      <c r="P32" s="241">
        <f t="shared" si="36"/>
        <v>0.56836281793433707</v>
      </c>
      <c r="Q32" s="241">
        <f t="shared" si="37"/>
        <v>0.56836281793433707</v>
      </c>
      <c r="R32" s="241">
        <f t="shared" si="37"/>
        <v>0.56836281793433707</v>
      </c>
      <c r="S32" s="241">
        <f t="shared" ref="S32" si="47">R32</f>
        <v>0.56836281793433707</v>
      </c>
      <c r="T32" s="35">
        <f t="shared" si="30"/>
        <v>0.56836281793433707</v>
      </c>
      <c r="U32" s="35">
        <f t="shared" si="31"/>
        <v>0.56836281793433707</v>
      </c>
      <c r="V32" s="35">
        <f t="shared" si="39"/>
        <v>0.56836281793433707</v>
      </c>
      <c r="W32" s="242"/>
      <c r="X32" s="241">
        <f t="shared" si="40"/>
        <v>0.56836281793433707</v>
      </c>
      <c r="Y32" s="241">
        <f t="shared" si="41"/>
        <v>0.56836281793433707</v>
      </c>
      <c r="Z32" s="241">
        <f t="shared" si="42"/>
        <v>0.56836281793433707</v>
      </c>
      <c r="AA32" s="241">
        <f t="shared" si="43"/>
        <v>0.56836281793433707</v>
      </c>
      <c r="AB32" s="74">
        <f t="shared" si="33"/>
        <v>0.53994467703762017</v>
      </c>
      <c r="AC32" s="269">
        <f t="shared" si="34"/>
        <v>0.51294744318573915</v>
      </c>
      <c r="AD32" s="76">
        <f t="shared" si="34"/>
        <v>0.48730007102645218</v>
      </c>
      <c r="AE32" s="242"/>
      <c r="AF32" s="242"/>
      <c r="AG32" s="242"/>
      <c r="AH32" s="242"/>
      <c r="AI32" s="242"/>
      <c r="AJ32" s="242"/>
      <c r="AK32" s="242"/>
      <c r="AL32" s="242"/>
      <c r="AM32" s="242"/>
      <c r="AN32" s="242"/>
      <c r="AO32" s="242"/>
      <c r="AP32" s="242"/>
      <c r="AQ32" s="242"/>
      <c r="AR32" s="242"/>
      <c r="AS32" s="242"/>
    </row>
    <row r="33" spans="1:45">
      <c r="A33" s="194" t="s">
        <v>16</v>
      </c>
      <c r="B33" s="195" t="str">
        <f t="shared" si="35"/>
        <v>TFHCV7</v>
      </c>
      <c r="C33" s="195" t="str">
        <f t="shared" si="35"/>
        <v>Transport Freight - HCV7</v>
      </c>
      <c r="F33" s="240">
        <f t="shared" si="44"/>
        <v>0.16189701580843874</v>
      </c>
      <c r="G33" s="64">
        <f t="shared" si="25"/>
        <v>0.16189701580843874</v>
      </c>
      <c r="H33" s="64">
        <f t="shared" si="25"/>
        <v>0.16189701580843874</v>
      </c>
      <c r="I33" s="64">
        <f t="shared" si="26"/>
        <v>0.16189701580843874</v>
      </c>
      <c r="J33" s="64">
        <f t="shared" si="27"/>
        <v>0.16189701580843874</v>
      </c>
      <c r="K33" s="64">
        <f t="shared" si="28"/>
        <v>0.16189701580843874</v>
      </c>
      <c r="L33" s="64">
        <f t="shared" si="29"/>
        <v>0.16189701580843874</v>
      </c>
      <c r="M33" s="64">
        <f t="shared" si="29"/>
        <v>0.16189701580843874</v>
      </c>
      <c r="N33" s="64">
        <f t="shared" si="29"/>
        <v>0.16189701580843874</v>
      </c>
      <c r="P33" s="241">
        <f t="shared" si="36"/>
        <v>0.16189701580843874</v>
      </c>
      <c r="Q33" s="241">
        <f t="shared" si="37"/>
        <v>0.16189701580843874</v>
      </c>
      <c r="R33" s="241">
        <f t="shared" si="37"/>
        <v>0.16189701580843874</v>
      </c>
      <c r="S33" s="241">
        <f t="shared" ref="S33" si="48">R33</f>
        <v>0.16189701580843874</v>
      </c>
      <c r="T33" s="35">
        <f t="shared" si="30"/>
        <v>0.16189701580843874</v>
      </c>
      <c r="U33" s="35">
        <f t="shared" si="31"/>
        <v>0.16189701580843874</v>
      </c>
      <c r="V33" s="35">
        <f t="shared" si="39"/>
        <v>0.16189701580843874</v>
      </c>
      <c r="W33" s="242"/>
      <c r="X33" s="241">
        <f t="shared" si="40"/>
        <v>0.16189701580843874</v>
      </c>
      <c r="Y33" s="241">
        <f t="shared" si="41"/>
        <v>0.16189701580843874</v>
      </c>
      <c r="Z33" s="241">
        <f t="shared" si="42"/>
        <v>0.16189701580843874</v>
      </c>
      <c r="AA33" s="241">
        <f t="shared" si="43"/>
        <v>0.16189701580843874</v>
      </c>
      <c r="AB33" s="74">
        <f t="shared" si="33"/>
        <v>0.1538021650180168</v>
      </c>
      <c r="AC33" s="269">
        <f t="shared" si="34"/>
        <v>0.14611205676711594</v>
      </c>
      <c r="AD33" s="76">
        <f t="shared" si="34"/>
        <v>0.13880645392876015</v>
      </c>
      <c r="AE33" s="242"/>
      <c r="AF33" s="242"/>
      <c r="AG33" s="242"/>
      <c r="AH33" s="242"/>
      <c r="AI33" s="242"/>
      <c r="AJ33" s="242"/>
      <c r="AK33" s="242"/>
      <c r="AL33" s="242"/>
      <c r="AM33" s="242"/>
      <c r="AN33" s="242"/>
      <c r="AO33" s="242"/>
      <c r="AP33" s="242"/>
      <c r="AQ33" s="242"/>
      <c r="AR33" s="242"/>
      <c r="AS33" s="242"/>
    </row>
    <row r="34" spans="1:45">
      <c r="A34" s="194" t="s">
        <v>16</v>
      </c>
      <c r="B34" s="195" t="str">
        <f t="shared" si="35"/>
        <v>TFHCV8</v>
      </c>
      <c r="C34" s="195" t="str">
        <f t="shared" si="35"/>
        <v>Transport Freight - HCV8</v>
      </c>
      <c r="F34" s="240">
        <f t="shared" si="44"/>
        <v>6.2226033461875293E-3</v>
      </c>
      <c r="G34" s="64">
        <f t="shared" si="25"/>
        <v>6.2226033461875293E-3</v>
      </c>
      <c r="H34" s="64">
        <f t="shared" si="25"/>
        <v>6.2226033461875293E-3</v>
      </c>
      <c r="I34" s="64">
        <f t="shared" si="26"/>
        <v>6.2226033461875293E-3</v>
      </c>
      <c r="J34" s="64">
        <f t="shared" si="27"/>
        <v>6.2226033461875293E-3</v>
      </c>
      <c r="K34" s="64">
        <f t="shared" si="28"/>
        <v>6.2226033461875293E-3</v>
      </c>
      <c r="L34" s="64">
        <f t="shared" si="29"/>
        <v>6.2226033461875293E-3</v>
      </c>
      <c r="M34" s="64">
        <f t="shared" si="29"/>
        <v>6.2226033461875293E-3</v>
      </c>
      <c r="N34" s="64">
        <f t="shared" si="29"/>
        <v>6.2226033461875293E-3</v>
      </c>
      <c r="P34" s="241">
        <f t="shared" si="36"/>
        <v>6.2226033461875293E-3</v>
      </c>
      <c r="Q34" s="241">
        <f t="shared" si="37"/>
        <v>6.2226033461875293E-3</v>
      </c>
      <c r="R34" s="241">
        <f t="shared" si="37"/>
        <v>6.2226033461875293E-3</v>
      </c>
      <c r="S34" s="241">
        <f t="shared" ref="S34" si="49">R34</f>
        <v>6.2226033461875293E-3</v>
      </c>
      <c r="T34" s="35">
        <f t="shared" si="30"/>
        <v>6.2226033461875293E-3</v>
      </c>
      <c r="U34" s="35">
        <f t="shared" si="31"/>
        <v>6.2226033461875293E-3</v>
      </c>
      <c r="V34" s="35">
        <f t="shared" si="39"/>
        <v>6.2226033461875293E-3</v>
      </c>
      <c r="W34" s="242"/>
      <c r="X34" s="241">
        <f t="shared" si="40"/>
        <v>6.2226033461875293E-3</v>
      </c>
      <c r="Y34" s="241">
        <f t="shared" si="41"/>
        <v>6.2226033461875293E-3</v>
      </c>
      <c r="Z34" s="241">
        <f t="shared" si="42"/>
        <v>6.2226033461875293E-3</v>
      </c>
      <c r="AA34" s="241">
        <f t="shared" si="43"/>
        <v>6.2226033461875293E-3</v>
      </c>
      <c r="AB34" s="74">
        <f t="shared" si="33"/>
        <v>5.9114731788781523E-3</v>
      </c>
      <c r="AC34" s="269">
        <f t="shared" si="34"/>
        <v>5.6158995199342447E-3</v>
      </c>
      <c r="AD34" s="76">
        <f t="shared" si="34"/>
        <v>5.3351045439375324E-3</v>
      </c>
      <c r="AE34" s="242"/>
      <c r="AF34" s="242"/>
      <c r="AG34" s="242"/>
      <c r="AH34" s="242"/>
      <c r="AI34" s="242"/>
      <c r="AJ34" s="242"/>
      <c r="AK34" s="242"/>
      <c r="AL34" s="242"/>
      <c r="AM34" s="242"/>
      <c r="AN34" s="242"/>
      <c r="AO34" s="242"/>
      <c r="AP34" s="242"/>
      <c r="AQ34" s="242"/>
      <c r="AR34" s="242"/>
      <c r="AS34" s="242"/>
    </row>
    <row r="35" spans="1:45">
      <c r="A35" s="194" t="s">
        <v>16</v>
      </c>
      <c r="B35" s="195" t="str">
        <f t="shared" si="35"/>
        <v>TFHCV9</v>
      </c>
      <c r="C35" s="195" t="str">
        <f t="shared" si="35"/>
        <v>Transport Freight - HCV9</v>
      </c>
      <c r="F35" s="240">
        <f t="shared" si="44"/>
        <v>5.0622264837377005E-3</v>
      </c>
      <c r="G35" s="64">
        <f t="shared" si="25"/>
        <v>5.0622264837377005E-3</v>
      </c>
      <c r="H35" s="64">
        <f t="shared" si="25"/>
        <v>5.0622264837377005E-3</v>
      </c>
      <c r="I35" s="64">
        <f t="shared" si="26"/>
        <v>5.0622264837377005E-3</v>
      </c>
      <c r="J35" s="64">
        <f t="shared" si="27"/>
        <v>5.0622264837377005E-3</v>
      </c>
      <c r="K35" s="64">
        <f t="shared" si="28"/>
        <v>5.0622264837377005E-3</v>
      </c>
      <c r="L35" s="64">
        <f t="shared" si="29"/>
        <v>5.0622264837377005E-3</v>
      </c>
      <c r="M35" s="64">
        <f t="shared" si="29"/>
        <v>5.0622264837377005E-3</v>
      </c>
      <c r="N35" s="64">
        <f t="shared" si="29"/>
        <v>5.0622264837377005E-3</v>
      </c>
      <c r="P35" s="241">
        <f t="shared" si="36"/>
        <v>5.0622264837377005E-3</v>
      </c>
      <c r="Q35" s="241">
        <f t="shared" si="37"/>
        <v>5.0622264837377005E-3</v>
      </c>
      <c r="R35" s="241">
        <f t="shared" si="37"/>
        <v>5.0622264837377005E-3</v>
      </c>
      <c r="S35" s="241">
        <f t="shared" ref="S35" si="50">R35</f>
        <v>5.0622264837377005E-3</v>
      </c>
      <c r="T35" s="35">
        <f t="shared" si="30"/>
        <v>5.0622264837377005E-3</v>
      </c>
      <c r="U35" s="35">
        <f t="shared" si="31"/>
        <v>5.0622264837377005E-3</v>
      </c>
      <c r="V35" s="35">
        <f t="shared" si="39"/>
        <v>5.0622264837377005E-3</v>
      </c>
      <c r="W35" s="242"/>
      <c r="X35" s="241">
        <f t="shared" si="40"/>
        <v>5.0622264837377005E-3</v>
      </c>
      <c r="Y35" s="241">
        <f t="shared" si="41"/>
        <v>5.0622264837377005E-3</v>
      </c>
      <c r="Z35" s="241">
        <f t="shared" si="42"/>
        <v>5.0622264837377005E-3</v>
      </c>
      <c r="AA35" s="241">
        <f t="shared" si="43"/>
        <v>5.0622264837377005E-3</v>
      </c>
      <c r="AB35" s="74">
        <f t="shared" si="33"/>
        <v>4.8091151595508154E-3</v>
      </c>
      <c r="AC35" s="269">
        <f t="shared" si="34"/>
        <v>4.5686594015732747E-3</v>
      </c>
      <c r="AD35" s="76">
        <f t="shared" si="34"/>
        <v>4.3402264314946109E-3</v>
      </c>
      <c r="AE35" s="242"/>
      <c r="AF35" s="242"/>
      <c r="AG35" s="242"/>
      <c r="AH35" s="242"/>
      <c r="AI35" s="242"/>
      <c r="AJ35" s="242"/>
      <c r="AK35" s="242"/>
      <c r="AL35" s="242"/>
      <c r="AM35" s="242"/>
      <c r="AN35" s="242"/>
      <c r="AO35" s="242"/>
      <c r="AP35" s="242"/>
      <c r="AQ35" s="242"/>
      <c r="AR35" s="242"/>
      <c r="AS35" s="242"/>
    </row>
    <row r="36" spans="1:45">
      <c r="A36" s="194" t="s">
        <v>16</v>
      </c>
      <c r="B36" s="195" t="str">
        <f>B23</f>
        <v>TFRCO</v>
      </c>
      <c r="C36" s="195" t="str">
        <f>C23</f>
        <v>Transport Freight - Rail Corridor</v>
      </c>
      <c r="D36" s="194" t="s">
        <v>48</v>
      </c>
      <c r="F36" s="240">
        <f>F59/F$60</f>
        <v>0.12719020623315802</v>
      </c>
      <c r="G36" s="64">
        <f t="shared" ref="G36:H36" si="51">1-SUM(G28:G35)</f>
        <v>0.12719020623315791</v>
      </c>
      <c r="H36" s="64">
        <f t="shared" si="51"/>
        <v>0.12719020623315791</v>
      </c>
      <c r="I36" s="64">
        <f t="shared" ref="I36:K36" si="52">1-SUM(I28:I35)</f>
        <v>0.12719020623315791</v>
      </c>
      <c r="J36" s="64">
        <f t="shared" si="52"/>
        <v>0.12719020623315791</v>
      </c>
      <c r="K36" s="64">
        <f t="shared" si="52"/>
        <v>0.12719020623315791</v>
      </c>
      <c r="L36" s="64">
        <f>1-SUM(L28:L35)</f>
        <v>0.12719020623315791</v>
      </c>
      <c r="M36" s="64">
        <f>1-SUM(M28:M35)</f>
        <v>0.12719020623315791</v>
      </c>
      <c r="N36" s="64">
        <f>1-SUM(N28:N35)</f>
        <v>0.12719020623315791</v>
      </c>
      <c r="P36" s="241">
        <f>$G36</f>
        <v>0.12719020623315791</v>
      </c>
      <c r="Q36" s="64">
        <f t="shared" ref="Q36:V36" si="53">1-SUM(Q28:Q35)</f>
        <v>0.12719020623315791</v>
      </c>
      <c r="R36" s="64">
        <f t="shared" si="53"/>
        <v>0.12719020623315791</v>
      </c>
      <c r="S36" s="64">
        <f t="shared" si="53"/>
        <v>0.12719020623315791</v>
      </c>
      <c r="T36" s="64">
        <f t="shared" si="53"/>
        <v>0.12719020623315791</v>
      </c>
      <c r="U36" s="64">
        <f t="shared" si="53"/>
        <v>0.12719020623315791</v>
      </c>
      <c r="V36" s="64">
        <f t="shared" si="53"/>
        <v>0.12719020623315791</v>
      </c>
      <c r="W36" s="242"/>
      <c r="X36" s="241">
        <f>$G36</f>
        <v>0.12719020623315791</v>
      </c>
      <c r="Y36" s="64">
        <f t="shared" ref="Y36:AD36" si="54">1-SUM(Y28:Y35)</f>
        <v>0.12719020623315791</v>
      </c>
      <c r="Z36" s="64">
        <f t="shared" si="54"/>
        <v>0.12719020623315791</v>
      </c>
      <c r="AA36" s="64">
        <f t="shared" si="54"/>
        <v>0.12719020623315791</v>
      </c>
      <c r="AB36" s="64">
        <f t="shared" si="54"/>
        <v>0.17083069592150002</v>
      </c>
      <c r="AC36" s="64">
        <f t="shared" si="54"/>
        <v>0.21228916112542517</v>
      </c>
      <c r="AD36" s="64">
        <f t="shared" si="54"/>
        <v>0.25167470306915396</v>
      </c>
      <c r="AE36" s="242"/>
      <c r="AF36" s="242"/>
      <c r="AG36" s="242"/>
      <c r="AH36" s="242"/>
      <c r="AI36" s="242"/>
      <c r="AJ36" s="242"/>
      <c r="AK36" s="242"/>
      <c r="AL36" s="242"/>
      <c r="AM36" s="242"/>
      <c r="AN36" s="242"/>
      <c r="AO36" s="242"/>
      <c r="AP36" s="242"/>
      <c r="AQ36" s="242"/>
      <c r="AR36" s="242"/>
      <c r="AS36" s="242"/>
    </row>
    <row r="37" spans="1:45">
      <c r="A37" s="194" t="s">
        <v>16</v>
      </c>
      <c r="Q37" s="297"/>
      <c r="S37" s="297"/>
      <c r="AA37" s="297"/>
    </row>
    <row r="38" spans="1:45" ht="15.75" thickBot="1">
      <c r="A38" s="194" t="s">
        <v>16</v>
      </c>
      <c r="B38" s="14" t="s">
        <v>433</v>
      </c>
      <c r="C38" s="14"/>
      <c r="D38" s="14"/>
      <c r="Q38" s="297"/>
      <c r="S38" s="297"/>
      <c r="AA38" s="297"/>
    </row>
    <row r="39" spans="1:45">
      <c r="A39" s="194" t="s">
        <v>16</v>
      </c>
      <c r="B39" s="195" t="str">
        <f>B14</f>
        <v>TFHCV1</v>
      </c>
      <c r="C39" s="195" t="str">
        <f>C14</f>
        <v>Transport Freight - HCV1</v>
      </c>
      <c r="D39" s="194" t="s">
        <v>48</v>
      </c>
      <c r="F39" s="240">
        <f>F46/F$48</f>
        <v>0.16367820456437782</v>
      </c>
      <c r="G39" s="64">
        <f>IF($D$4,X39,P39)</f>
        <v>0.16367820456437782</v>
      </c>
      <c r="H39" s="64">
        <f>IF($D$4,Z39,R39)</f>
        <v>0.16367820456437782</v>
      </c>
      <c r="I39" s="64">
        <f>IF($D$4,AB39,T39)</f>
        <v>0.16367820456437782</v>
      </c>
      <c r="J39" s="64">
        <f>IF($D$4,Z39,R39)</f>
        <v>0.16367820456437782</v>
      </c>
      <c r="K39" s="64">
        <f>IF($D$4,AB39,T39)</f>
        <v>0.16367820456437782</v>
      </c>
      <c r="L39" s="64">
        <f>IF($D$4,AB39,T39)</f>
        <v>0.16367820456437782</v>
      </c>
      <c r="M39" s="64">
        <f>IF($D$4,AC39,U39)</f>
        <v>0.16367820456437782</v>
      </c>
      <c r="N39" s="64">
        <f>IF($D$4,AD39,V39)</f>
        <v>0.16367820456437782</v>
      </c>
      <c r="P39" s="241">
        <f>$F39</f>
        <v>0.16367820456437782</v>
      </c>
      <c r="Q39" s="241">
        <f>P39</f>
        <v>0.16367820456437782</v>
      </c>
      <c r="R39" s="241">
        <f>Q39</f>
        <v>0.16367820456437782</v>
      </c>
      <c r="S39" s="241">
        <f>R39</f>
        <v>0.16367820456437782</v>
      </c>
      <c r="T39" s="35">
        <f>R39</f>
        <v>0.16367820456437782</v>
      </c>
      <c r="U39" s="35">
        <f>T39</f>
        <v>0.16367820456437782</v>
      </c>
      <c r="V39" s="35">
        <f>T39</f>
        <v>0.16367820456437782</v>
      </c>
      <c r="W39" s="242"/>
      <c r="X39" s="241">
        <f>P39</f>
        <v>0.16367820456437782</v>
      </c>
      <c r="Y39" s="241">
        <f t="shared" ref="Y39:AA39" si="55">Q39</f>
        <v>0.16367820456437782</v>
      </c>
      <c r="Z39" s="241">
        <f t="shared" si="55"/>
        <v>0.16367820456437782</v>
      </c>
      <c r="AA39" s="241">
        <f t="shared" si="55"/>
        <v>0.16367820456437782</v>
      </c>
      <c r="AB39" s="74">
        <f>Z39*0.95</f>
        <v>0.15549429433615891</v>
      </c>
      <c r="AC39" s="74">
        <f>AB39*0.95</f>
        <v>0.14771957961935095</v>
      </c>
      <c r="AD39" s="74">
        <f>AC39*0.95</f>
        <v>0.1403336006383834</v>
      </c>
      <c r="AE39" s="242"/>
      <c r="AF39" s="242"/>
      <c r="AG39" s="242"/>
      <c r="AH39" s="242"/>
      <c r="AI39" s="242"/>
      <c r="AJ39" s="242"/>
      <c r="AK39" s="242"/>
      <c r="AL39" s="242"/>
      <c r="AM39" s="242"/>
      <c r="AN39" s="242"/>
      <c r="AO39" s="242"/>
      <c r="AP39" s="242"/>
      <c r="AQ39" s="242"/>
      <c r="AR39" s="242"/>
      <c r="AS39" s="242"/>
    </row>
    <row r="40" spans="1:45">
      <c r="A40" s="194" t="s">
        <v>16</v>
      </c>
      <c r="B40" s="195" t="str">
        <f>B24</f>
        <v>TFROT</v>
      </c>
      <c r="C40" s="195" t="str">
        <f>C24</f>
        <v>Transport Freight - Rail Other</v>
      </c>
      <c r="D40" s="194" t="s">
        <v>48</v>
      </c>
      <c r="F40" s="240">
        <f>F47/F$48</f>
        <v>0.83632179543562224</v>
      </c>
      <c r="G40" s="64">
        <f t="shared" ref="G40:H40" si="56">1-G39</f>
        <v>0.83632179543562213</v>
      </c>
      <c r="H40" s="64">
        <f t="shared" si="56"/>
        <v>0.83632179543562213</v>
      </c>
      <c r="I40" s="64">
        <f t="shared" ref="I40" si="57">1-I39</f>
        <v>0.83632179543562213</v>
      </c>
      <c r="J40" s="64">
        <f>1-J39</f>
        <v>0.83632179543562213</v>
      </c>
      <c r="K40" s="64">
        <f>1-K39</f>
        <v>0.83632179543562213</v>
      </c>
      <c r="L40" s="64">
        <f>1-L39</f>
        <v>0.83632179543562213</v>
      </c>
      <c r="M40" s="64">
        <f>1-M39</f>
        <v>0.83632179543562213</v>
      </c>
      <c r="N40" s="64">
        <f>1-N39</f>
        <v>0.83632179543562213</v>
      </c>
      <c r="P40" s="241">
        <f>$G40</f>
        <v>0.83632179543562213</v>
      </c>
      <c r="Q40" s="64">
        <f t="shared" ref="Q40:V40" si="58">1-Q39</f>
        <v>0.83632179543562213</v>
      </c>
      <c r="R40" s="64">
        <f t="shared" si="58"/>
        <v>0.83632179543562213</v>
      </c>
      <c r="S40" s="64">
        <f t="shared" si="58"/>
        <v>0.83632179543562213</v>
      </c>
      <c r="T40" s="64">
        <f t="shared" si="58"/>
        <v>0.83632179543562213</v>
      </c>
      <c r="U40" s="64">
        <f t="shared" si="58"/>
        <v>0.83632179543562213</v>
      </c>
      <c r="V40" s="64">
        <f t="shared" si="58"/>
        <v>0.83632179543562213</v>
      </c>
      <c r="W40" s="242"/>
      <c r="X40" s="241">
        <f>P40</f>
        <v>0.83632179543562213</v>
      </c>
      <c r="Y40" s="241">
        <f t="shared" ref="Y40" si="59">Q40</f>
        <v>0.83632179543562213</v>
      </c>
      <c r="Z40" s="241">
        <f t="shared" ref="Z40" si="60">R40</f>
        <v>0.83632179543562213</v>
      </c>
      <c r="AA40" s="241">
        <f t="shared" ref="AA40" si="61">S40</f>
        <v>0.83632179543562213</v>
      </c>
      <c r="AB40" s="64">
        <f>1-AB39</f>
        <v>0.84450570566384109</v>
      </c>
      <c r="AC40" s="64">
        <f>1-AC39</f>
        <v>0.85228042038064911</v>
      </c>
      <c r="AD40" s="64">
        <f>1-AD39</f>
        <v>0.8596663993616166</v>
      </c>
      <c r="AE40" s="242"/>
      <c r="AF40" s="242"/>
      <c r="AG40" s="242"/>
      <c r="AH40" s="242"/>
      <c r="AI40" s="242"/>
      <c r="AJ40" s="242"/>
      <c r="AK40" s="242"/>
      <c r="AL40" s="242"/>
      <c r="AM40" s="242"/>
      <c r="AN40" s="242"/>
      <c r="AO40" s="242"/>
      <c r="AP40" s="242"/>
      <c r="AQ40" s="242"/>
      <c r="AR40" s="242"/>
      <c r="AS40" s="242"/>
    </row>
    <row r="41" spans="1:45">
      <c r="A41" s="194" t="s">
        <v>16</v>
      </c>
      <c r="I41" s="293"/>
      <c r="K41" s="293"/>
    </row>
    <row r="42" spans="1:45" ht="15.75" thickBot="1">
      <c r="A42" s="194" t="s">
        <v>16</v>
      </c>
      <c r="B42" s="14" t="s">
        <v>207</v>
      </c>
      <c r="C42" s="14"/>
      <c r="D42" s="14"/>
      <c r="G42" s="48"/>
      <c r="H42" s="48"/>
      <c r="I42" s="48"/>
      <c r="K42" s="293"/>
    </row>
    <row r="43" spans="1:45">
      <c r="A43" s="194" t="s">
        <v>16</v>
      </c>
      <c r="B43" s="195"/>
      <c r="C43" s="3" t="s">
        <v>5</v>
      </c>
      <c r="D43" s="5" t="s">
        <v>149</v>
      </c>
      <c r="E43" s="5"/>
      <c r="F43" s="48">
        <f>F63*F92</f>
        <v>17.151878492126293</v>
      </c>
      <c r="G43" s="48">
        <f>F43*(1+(F13+G13)/2*((G7/F7)^(1/(G$4-F$4))-1))^(G$4-F$4)</f>
        <v>17.976210697254331</v>
      </c>
      <c r="H43" s="48">
        <f>G43*(1+(G13+H13)/2*((H7/G7)^(1/(H$4-G$4))-1))^(H$4-G$4)</f>
        <v>18.275173489492516</v>
      </c>
      <c r="I43" s="48">
        <f>H43*(1+(H13+I13)/2*((I7/H7)^(1/(I$4-H$4))-1))^(I$4-H$4)</f>
        <v>18.474728708006445</v>
      </c>
      <c r="J43" s="48">
        <f>G43*(1+(G13+J13)/2*((J7/G7)^(1/(J$4-G$4))-1))^(J$4-G$4)</f>
        <v>17.381664585844597</v>
      </c>
      <c r="K43" s="48">
        <f>H43*(1+(H13+K13)/2*((K7/H7)^(1/(K$4-H$4))-1))^(K$4-H$4)</f>
        <v>17.672226072169018</v>
      </c>
      <c r="L43" s="48">
        <f>J43*(1+(J13+L13)/2*((L7/J7)^(1/(L$4-J$4))-1))^(L$4-J$4)</f>
        <v>20.48244861471408</v>
      </c>
      <c r="M43" s="48">
        <f>L43*(1+(L13+M13)/2*((M7/L7)^(1/(M$4-L$4))-1))^(M$4-L$4)</f>
        <v>25.633401816400347</v>
      </c>
      <c r="N43" s="48">
        <f>M43*(1+(M13+N13)/2*((N7/M7)^(1/(N$4-M$4))-1))^(N$4-M$4)</f>
        <v>33.146544753796483</v>
      </c>
      <c r="O43" s="48"/>
      <c r="P43" s="48">
        <f>$G43</f>
        <v>17.976210697254331</v>
      </c>
      <c r="Q43" s="48">
        <f>I43</f>
        <v>18.474728708006445</v>
      </c>
      <c r="R43" s="48">
        <f t="shared" ref="R43:S43" si="62">J43</f>
        <v>17.381664585844597</v>
      </c>
      <c r="S43" s="48">
        <f t="shared" si="62"/>
        <v>17.672226072169018</v>
      </c>
      <c r="T43" s="323">
        <f>R43*(1+(R13+T13)/2*((T7/R7)^(1/(T$4-R$4))-1))^(T$4-R$4)</f>
        <v>20.48244861471408</v>
      </c>
      <c r="U43" s="323">
        <f>T43*(1+(T13+U13)/2*((U7/T7)^(1/(U$4-T$4))-1))^(U$4-T$4)</f>
        <v>25.633401816400347</v>
      </c>
      <c r="V43" s="323">
        <f>U43*(1+(U13+V13)/2*((V7/U7)^(1/(V$4-U$4))-1))^(V$4-U$4)</f>
        <v>33.146544753796483</v>
      </c>
      <c r="X43" s="48">
        <f>P43</f>
        <v>17.976210697254331</v>
      </c>
      <c r="Y43" s="48">
        <f t="shared" ref="Y43:AA43" si="63">Q43</f>
        <v>18.474728708006445</v>
      </c>
      <c r="Z43" s="48">
        <f t="shared" si="63"/>
        <v>17.381664585844597</v>
      </c>
      <c r="AA43" s="48">
        <f t="shared" si="63"/>
        <v>17.672226072169018</v>
      </c>
      <c r="AB43" s="323">
        <f>Z43*(1+(Z13+AB13)/2*((AB7/Z7)^(1/(AB$4-Z$4))-1))^(AB$4-Z$4)</f>
        <v>20.48244861471408</v>
      </c>
      <c r="AC43" s="323">
        <f>AB43*(1+(AB13+AC13)/2*((AC7/AB7)^(1/(AC$4-AB$4))-1))^(AC$4-AB$4)</f>
        <v>25.633401816400347</v>
      </c>
      <c r="AD43" s="323">
        <f>AC43*(1+(AC13+AD13)/2*((AD7/AC7)^(1/(AD$4-AC$4))-1))^(AD$4-AC$4)</f>
        <v>33.146544753796483</v>
      </c>
    </row>
    <row r="44" spans="1:45">
      <c r="A44" s="194" t="s">
        <v>16</v>
      </c>
      <c r="I44" s="293"/>
      <c r="K44" s="293"/>
      <c r="Q44" s="297"/>
      <c r="R44" s="297"/>
    </row>
    <row r="45" spans="1:45" ht="15.75" thickBot="1">
      <c r="A45" s="194" t="s">
        <v>16</v>
      </c>
      <c r="B45" s="14" t="s">
        <v>411</v>
      </c>
      <c r="C45" s="14"/>
      <c r="D45" s="14"/>
      <c r="I45" s="293"/>
      <c r="K45" s="293"/>
      <c r="Q45" s="297"/>
      <c r="R45" s="297"/>
    </row>
    <row r="46" spans="1:45">
      <c r="A46" s="194" t="s">
        <v>16</v>
      </c>
      <c r="B46" s="195" t="str">
        <f>B39</f>
        <v>TFHCV1</v>
      </c>
      <c r="C46" s="195" t="str">
        <f>C39</f>
        <v>Transport Freight - HCV1</v>
      </c>
      <c r="D46" s="194" t="s">
        <v>149</v>
      </c>
      <c r="F46" s="10">
        <f>F64*F93</f>
        <v>4.9123710000000003</v>
      </c>
      <c r="G46" s="10">
        <f t="shared" ref="G46:N46" si="64">G39*G$48</f>
        <v>5.1484632519767128</v>
      </c>
      <c r="H46" s="10">
        <f t="shared" si="64"/>
        <v>5.2340874680848239</v>
      </c>
      <c r="I46" s="10">
        <f t="shared" si="64"/>
        <v>5.2912409319912115</v>
      </c>
      <c r="J46" s="10">
        <f t="shared" si="64"/>
        <v>4.9781827152301004</v>
      </c>
      <c r="K46" s="10">
        <f t="shared" si="64"/>
        <v>5.0614007615678354</v>
      </c>
      <c r="L46" s="10">
        <f t="shared" si="64"/>
        <v>5.8662604582991227</v>
      </c>
      <c r="M46" s="10">
        <f t="shared" si="64"/>
        <v>7.3415153781574052</v>
      </c>
      <c r="N46" s="10">
        <f t="shared" si="64"/>
        <v>9.4933114920036061</v>
      </c>
      <c r="P46" s="10">
        <f t="shared" ref="P46" si="65">P39*P$48</f>
        <v>5.1484632519767128</v>
      </c>
      <c r="Q46" s="10">
        <f t="shared" ref="Q46:Q48" si="66">$I46</f>
        <v>5.2912409319912115</v>
      </c>
      <c r="R46" s="10">
        <f t="shared" ref="R46:V47" si="67">R39*R$48</f>
        <v>4.9781827152301004</v>
      </c>
      <c r="S46" s="10">
        <f t="shared" si="67"/>
        <v>5.0618873580717327</v>
      </c>
      <c r="T46" s="322">
        <f t="shared" si="67"/>
        <v>5.8662604582991227</v>
      </c>
      <c r="U46" s="322">
        <f t="shared" si="67"/>
        <v>7.3415153781574052</v>
      </c>
      <c r="V46" s="322">
        <f t="shared" si="67"/>
        <v>9.4933114920036061</v>
      </c>
      <c r="W46" s="10"/>
      <c r="X46" s="10">
        <f t="shared" ref="X46:AD47" si="68">X39*X$48</f>
        <v>5.1484632519767128</v>
      </c>
      <c r="Y46" s="10">
        <f t="shared" si="68"/>
        <v>5.2912409319912115</v>
      </c>
      <c r="Z46" s="10">
        <f t="shared" si="68"/>
        <v>4.9781827152301004</v>
      </c>
      <c r="AA46" s="10">
        <f t="shared" si="68"/>
        <v>5.0618873580717327</v>
      </c>
      <c r="AB46" s="322">
        <f t="shared" si="68"/>
        <v>5.5729474353841661</v>
      </c>
      <c r="AC46" s="322">
        <f t="shared" si="68"/>
        <v>6.6257176287870569</v>
      </c>
      <c r="AD46" s="322">
        <f t="shared" si="68"/>
        <v>8.1393279404565906</v>
      </c>
      <c r="AE46" s="10"/>
      <c r="AF46" s="10"/>
      <c r="AG46" s="10"/>
      <c r="AH46" s="10"/>
      <c r="AI46" s="10"/>
      <c r="AJ46" s="10"/>
      <c r="AK46" s="10"/>
      <c r="AL46" s="10"/>
      <c r="AM46" s="10"/>
      <c r="AN46" s="10"/>
      <c r="AO46" s="10"/>
      <c r="AP46" s="10"/>
      <c r="AQ46" s="10"/>
      <c r="AR46" s="10"/>
      <c r="AS46" s="10"/>
    </row>
    <row r="47" spans="1:45">
      <c r="A47" s="194" t="s">
        <v>16</v>
      </c>
      <c r="B47" s="195" t="str">
        <f>B40</f>
        <v>TFROT</v>
      </c>
      <c r="C47" s="195" t="str">
        <f>C40</f>
        <v>Transport Freight - Rail Other</v>
      </c>
      <c r="D47" s="194" t="s">
        <v>149</v>
      </c>
      <c r="F47" s="10">
        <f>F103</f>
        <v>25.1</v>
      </c>
      <c r="G47" s="10">
        <f t="shared" ref="G47:H47" si="69">G40*G$48</f>
        <v>26.306324914102674</v>
      </c>
      <c r="H47" s="10">
        <f t="shared" si="69"/>
        <v>26.743826036129814</v>
      </c>
      <c r="I47" s="10">
        <f t="shared" ref="I47" si="70">I40*I$48</f>
        <v>27.035854456631917</v>
      </c>
      <c r="J47" s="10">
        <f>J40*J$48</f>
        <v>25.436268179312091</v>
      </c>
      <c r="K47" s="10">
        <f>K40*K$48</f>
        <v>25.861474859157145</v>
      </c>
      <c r="L47" s="10">
        <f>L40*L$48</f>
        <v>29.973944863551218</v>
      </c>
      <c r="M47" s="10">
        <f>M40*M$48</f>
        <v>37.511832064750571</v>
      </c>
      <c r="N47" s="10">
        <f>N40*N$48</f>
        <v>48.506539601607955</v>
      </c>
      <c r="P47" s="10">
        <f>P40*P$48</f>
        <v>26.306324914102674</v>
      </c>
      <c r="Q47" s="10">
        <f t="shared" si="66"/>
        <v>27.035854456631917</v>
      </c>
      <c r="R47" s="10">
        <f t="shared" si="67"/>
        <v>25.436268179312091</v>
      </c>
      <c r="S47" s="10">
        <f t="shared" si="67"/>
        <v>25.863961147804282</v>
      </c>
      <c r="T47" s="322">
        <f t="shared" si="67"/>
        <v>29.973944863551218</v>
      </c>
      <c r="U47" s="322">
        <f t="shared" si="67"/>
        <v>37.511832064750571</v>
      </c>
      <c r="V47" s="322">
        <f t="shared" si="67"/>
        <v>48.506539601607955</v>
      </c>
      <c r="W47" s="10"/>
      <c r="X47" s="10">
        <f t="shared" si="68"/>
        <v>26.306324914102674</v>
      </c>
      <c r="Y47" s="10">
        <f t="shared" si="68"/>
        <v>27.035854456631917</v>
      </c>
      <c r="Z47" s="10">
        <f t="shared" si="68"/>
        <v>25.436268179312091</v>
      </c>
      <c r="AA47" s="10">
        <f t="shared" si="68"/>
        <v>25.863961147804282</v>
      </c>
      <c r="AB47" s="322">
        <f t="shared" si="68"/>
        <v>30.267257886466176</v>
      </c>
      <c r="AC47" s="322">
        <f t="shared" si="68"/>
        <v>38.227629814120924</v>
      </c>
      <c r="AD47" s="322">
        <f t="shared" si="68"/>
        <v>49.860523153154979</v>
      </c>
      <c r="AE47" s="10"/>
      <c r="AF47" s="10"/>
      <c r="AG47" s="10"/>
      <c r="AH47" s="10"/>
      <c r="AI47" s="10"/>
      <c r="AJ47" s="10"/>
      <c r="AK47" s="10"/>
      <c r="AL47" s="10"/>
      <c r="AM47" s="10"/>
      <c r="AN47" s="10"/>
      <c r="AO47" s="10"/>
      <c r="AP47" s="10"/>
      <c r="AQ47" s="10"/>
      <c r="AR47" s="10"/>
      <c r="AS47" s="10"/>
    </row>
    <row r="48" spans="1:45">
      <c r="A48" s="194" t="s">
        <v>16</v>
      </c>
      <c r="B48" s="195"/>
      <c r="C48" s="3" t="s">
        <v>5</v>
      </c>
      <c r="D48" s="5" t="s">
        <v>149</v>
      </c>
      <c r="E48" s="5"/>
      <c r="F48" s="48">
        <f>SUM(F46:F47)</f>
        <v>30.012371000000002</v>
      </c>
      <c r="G48" s="48">
        <f>F48*(1+(F21+G21)/2*((G7/F7)^(1/(G$4-F$4))-1))^(G$4-F$4)</f>
        <v>31.454788166079389</v>
      </c>
      <c r="H48" s="48">
        <f>G48*(1+(G21+H21)/2*((H7/G7)^(1/(H$4-G$4))-1))^(H$4-G$4)</f>
        <v>31.977913504214641</v>
      </c>
      <c r="I48" s="48">
        <f>H48*(1+(H21+I21)/2*((I7/H7)^(1/(I$4-H$4))-1))^(I$4-H$4)</f>
        <v>32.327095388623128</v>
      </c>
      <c r="J48" s="48">
        <f>G48*(1+(G21+J21)/2*((J7/G7)^(1/(J$4-G$4))-1))^(J$4-G$4)</f>
        <v>30.414450894542192</v>
      </c>
      <c r="K48" s="48">
        <f>H48*(1+(H21+K21)/2*((K7/H7)^(1/(K$4-H$4))-1))^(K$4-H$4)</f>
        <v>30.922875620724984</v>
      </c>
      <c r="L48" s="48">
        <f>J48*(1+(J21+L21)/2*((L7/J7)^(1/(L$4-J$4))-1))^(L$4-J$4)</f>
        <v>35.840205321850341</v>
      </c>
      <c r="M48" s="48">
        <f>L48*(1+(L21+M21)/2*((M7/L7)^(1/(M$4-L$4))-1))^(M$4-L$4)</f>
        <v>44.853347442907982</v>
      </c>
      <c r="N48" s="48">
        <f>M48*(1+(M21+N21)/2*((N7/M7)^(1/(N$4-M$4))-1))^(N$4-M$4)</f>
        <v>57.999851093611568</v>
      </c>
      <c r="P48" s="48">
        <f>$G48</f>
        <v>31.454788166079389</v>
      </c>
      <c r="Q48" s="48">
        <f t="shared" si="66"/>
        <v>32.327095388623128</v>
      </c>
      <c r="R48" s="48">
        <f>P48*(1+(P21+R21)/2*((R7/P7)^(1/(R$4-P$4))-1))^(R$4-P$4)</f>
        <v>30.414450894542192</v>
      </c>
      <c r="S48" s="48">
        <f>Q48*(1+(Q21+S21)/2*((S7/Q7)^(1/(S$4-Q$4))-1))^(S$4-Q$4)</f>
        <v>30.925848505876019</v>
      </c>
      <c r="T48" s="323">
        <f>R48*(1+(R21+T21)/2*((T7/R7)^(1/(T$4-R$4))-1))^(T$4-R$4)</f>
        <v>35.840205321850341</v>
      </c>
      <c r="U48" s="323">
        <f>T48*(1+(T21+U21)/2*((U7/T7)^(1/(U$4-T$4))-1))^(U$4-T$4)</f>
        <v>44.853347442907982</v>
      </c>
      <c r="V48" s="323">
        <f>U48*(1+(U21+V21)/2*((V7/U7)^(1/(V$4-U$4))-1))^(V$4-U$4)</f>
        <v>57.999851093611568</v>
      </c>
      <c r="W48" s="195"/>
      <c r="X48" s="48">
        <f>P48</f>
        <v>31.454788166079389</v>
      </c>
      <c r="Y48" s="48">
        <f>Q48</f>
        <v>32.327095388623128</v>
      </c>
      <c r="Z48" s="48">
        <f>R48</f>
        <v>30.414450894542192</v>
      </c>
      <c r="AA48" s="48">
        <f>S48</f>
        <v>30.925848505876019</v>
      </c>
      <c r="AB48" s="323">
        <f>Z48*(1+(Z21+AB21)/2*((AB7/Z7)^(1/(AB$4-Z$4))-1))^(AB$4-Z$4)</f>
        <v>35.840205321850341</v>
      </c>
      <c r="AC48" s="323">
        <f>AB48*(1+(AB21+AC21)/2*((AC7/AB7)^(1/(AC$4-AB$4))-1))^(AC$4-AB$4)</f>
        <v>44.853347442907982</v>
      </c>
      <c r="AD48" s="323">
        <f>AC48*(1+(AC21+AD21)/2*((AD7/AC7)^(1/(AD$4-AC$4))-1))^(AD$4-AC$4)</f>
        <v>57.999851093611568</v>
      </c>
      <c r="AE48" s="195"/>
      <c r="AF48" s="195"/>
      <c r="AG48" s="195"/>
      <c r="AH48" s="195"/>
      <c r="AI48" s="195"/>
      <c r="AJ48" s="195"/>
      <c r="AK48" s="195"/>
      <c r="AL48" s="195"/>
      <c r="AM48" s="195"/>
      <c r="AN48" s="195"/>
      <c r="AO48" s="195"/>
      <c r="AP48" s="195"/>
      <c r="AQ48" s="195"/>
      <c r="AR48" s="195"/>
      <c r="AS48" s="195"/>
    </row>
    <row r="49" spans="1:45">
      <c r="A49" s="194" t="s">
        <v>16</v>
      </c>
      <c r="B49" s="195"/>
      <c r="C49" s="3"/>
      <c r="D49" s="5"/>
      <c r="E49" s="5"/>
      <c r="F49" s="48"/>
      <c r="G49" s="48"/>
      <c r="H49" s="48"/>
      <c r="I49" s="48"/>
      <c r="J49" s="48"/>
      <c r="K49" s="48"/>
      <c r="L49" s="48"/>
      <c r="M49" s="48"/>
      <c r="N49" s="48"/>
      <c r="P49" s="10"/>
      <c r="R49" s="195"/>
      <c r="T49" s="195"/>
      <c r="U49" s="195"/>
      <c r="V49" s="195"/>
      <c r="W49" s="195"/>
      <c r="X49" s="195"/>
      <c r="Z49" s="195"/>
      <c r="AB49" s="195"/>
      <c r="AC49" s="195"/>
      <c r="AD49" s="195"/>
      <c r="AE49" s="195"/>
      <c r="AF49" s="195"/>
      <c r="AG49" s="195"/>
      <c r="AH49" s="195"/>
      <c r="AI49" s="195"/>
      <c r="AJ49" s="195"/>
      <c r="AK49" s="195"/>
      <c r="AL49" s="195"/>
      <c r="AM49" s="195"/>
      <c r="AN49" s="195"/>
      <c r="AO49" s="195"/>
      <c r="AP49" s="195"/>
      <c r="AQ49" s="195"/>
      <c r="AR49" s="195"/>
      <c r="AS49" s="195"/>
    </row>
    <row r="50" spans="1:45" ht="15.75" thickBot="1">
      <c r="A50" s="194" t="s">
        <v>16</v>
      </c>
      <c r="B50" s="14" t="s">
        <v>208</v>
      </c>
      <c r="C50" s="14"/>
      <c r="D50" s="14"/>
      <c r="I50" s="293"/>
      <c r="K50" s="293"/>
    </row>
    <row r="51" spans="1:45">
      <c r="A51" s="194" t="s">
        <v>16</v>
      </c>
      <c r="B51" s="195" t="str">
        <f>B15</f>
        <v>TFHCV2</v>
      </c>
      <c r="C51" s="195" t="str">
        <f>C28</f>
        <v>Transport Freight - HCV2</v>
      </c>
      <c r="D51" s="194" t="s">
        <v>149</v>
      </c>
      <c r="F51" s="10">
        <f>F65*F94</f>
        <v>1.637614669131271</v>
      </c>
      <c r="G51" s="10">
        <f t="shared" ref="G51:H59" si="71">G28*G$60</f>
        <v>1.7163196641541021</v>
      </c>
      <c r="H51" s="10">
        <f t="shared" si="71"/>
        <v>1.74486381774745</v>
      </c>
      <c r="I51" s="10">
        <f t="shared" ref="I51" si="72">I28*I$60</f>
        <v>1.7639168067999393</v>
      </c>
      <c r="J51" s="10">
        <f t="shared" ref="J51:N59" si="73">J28*J$60</f>
        <v>1.6595540198565115</v>
      </c>
      <c r="K51" s="10">
        <f t="shared" si="73"/>
        <v>1.6872960396304906</v>
      </c>
      <c r="L51" s="10">
        <f t="shared" si="73"/>
        <v>1.9556084382583021</v>
      </c>
      <c r="M51" s="10">
        <f t="shared" si="73"/>
        <v>2.4474074284949929</v>
      </c>
      <c r="N51" s="10">
        <f t="shared" si="73"/>
        <v>3.1647418645573753</v>
      </c>
      <c r="P51" s="10">
        <f t="shared" ref="P51:V51" si="74">P28*P$60</f>
        <v>1.7163196641541021</v>
      </c>
      <c r="Q51" s="10">
        <f t="shared" si="74"/>
        <v>1.7639150720127121</v>
      </c>
      <c r="R51" s="10">
        <f t="shared" si="74"/>
        <v>1.6595540198565115</v>
      </c>
      <c r="S51" s="10">
        <f t="shared" si="74"/>
        <v>1.6874565944917681</v>
      </c>
      <c r="T51" s="322">
        <f t="shared" si="74"/>
        <v>1.9556084382583021</v>
      </c>
      <c r="U51" s="322">
        <f t="shared" si="74"/>
        <v>2.4474074284949929</v>
      </c>
      <c r="V51" s="322">
        <f t="shared" si="74"/>
        <v>3.1647418645573753</v>
      </c>
      <c r="W51" s="10"/>
      <c r="X51" s="10">
        <f>P51</f>
        <v>1.7163196641541021</v>
      </c>
      <c r="Y51" s="10">
        <f t="shared" ref="Y51:AA51" si="75">Q51</f>
        <v>1.7639150720127121</v>
      </c>
      <c r="Z51" s="10">
        <f t="shared" si="75"/>
        <v>1.6595540198565115</v>
      </c>
      <c r="AA51" s="10">
        <f t="shared" si="75"/>
        <v>1.6874565944917681</v>
      </c>
      <c r="AB51" s="322">
        <f t="shared" ref="AB51:AD59" si="76">AB28*AB$60</f>
        <v>1.8578280163453871</v>
      </c>
      <c r="AC51" s="322">
        <f t="shared" si="76"/>
        <v>2.2087852042167313</v>
      </c>
      <c r="AD51" s="322">
        <f t="shared" si="76"/>
        <v>2.7133705561248793</v>
      </c>
      <c r="AE51" s="10"/>
      <c r="AF51" s="10"/>
      <c r="AG51" s="10"/>
      <c r="AH51" s="10"/>
      <c r="AI51" s="10"/>
      <c r="AJ51" s="10"/>
      <c r="AK51" s="10"/>
      <c r="AL51" s="10"/>
      <c r="AM51" s="10"/>
      <c r="AN51" s="10"/>
      <c r="AO51" s="10"/>
      <c r="AP51" s="10"/>
      <c r="AQ51" s="10"/>
      <c r="AR51" s="10"/>
      <c r="AS51" s="10"/>
    </row>
    <row r="52" spans="1:45">
      <c r="A52" s="194" t="s">
        <v>16</v>
      </c>
      <c r="B52" s="195" t="str">
        <f t="shared" ref="B52:B58" si="77">B16</f>
        <v>TFHCV3</v>
      </c>
      <c r="C52" s="195" t="str">
        <f t="shared" ref="C52:C58" si="78">C29</f>
        <v>Transport Freight - HCV3</v>
      </c>
      <c r="D52" s="194" t="s">
        <v>149</v>
      </c>
      <c r="F52" s="10">
        <f t="shared" ref="F52:F58" si="79">F66*F95</f>
        <v>13.576270721867905</v>
      </c>
      <c r="G52" s="10">
        <f t="shared" si="71"/>
        <v>14.22875652315842</v>
      </c>
      <c r="H52" s="10">
        <f t="shared" si="71"/>
        <v>14.465395314941743</v>
      </c>
      <c r="I52" s="10">
        <f t="shared" ref="I52" si="80">I29*I$60</f>
        <v>14.623349772918479</v>
      </c>
      <c r="J52" s="10">
        <f t="shared" si="73"/>
        <v>13.758153902644418</v>
      </c>
      <c r="K52" s="10">
        <f t="shared" si="73"/>
        <v>13.988142787039763</v>
      </c>
      <c r="L52" s="10">
        <f t="shared" si="73"/>
        <v>16.212525500793355</v>
      </c>
      <c r="M52" s="10">
        <f t="shared" si="73"/>
        <v>20.289672804155337</v>
      </c>
      <c r="N52" s="10">
        <f t="shared" si="73"/>
        <v>26.236570255475549</v>
      </c>
      <c r="P52" s="10">
        <f t="shared" ref="P52:P59" si="81">P29*P$60</f>
        <v>14.22875652315842</v>
      </c>
      <c r="Q52" s="10">
        <f t="shared" ref="Q52:V59" si="82">Q29*Q$60</f>
        <v>14.623335391060838</v>
      </c>
      <c r="R52" s="10">
        <f t="shared" si="82"/>
        <v>13.758153902644418</v>
      </c>
      <c r="S52" s="10">
        <f t="shared" si="82"/>
        <v>13.989473830479653</v>
      </c>
      <c r="T52" s="322">
        <f t="shared" si="82"/>
        <v>16.212525500793355</v>
      </c>
      <c r="U52" s="322">
        <f t="shared" si="82"/>
        <v>20.289672804155337</v>
      </c>
      <c r="V52" s="322">
        <f t="shared" si="82"/>
        <v>26.236570255475549</v>
      </c>
      <c r="W52" s="10"/>
      <c r="X52" s="10">
        <f t="shared" ref="X52:X59" si="83">P52</f>
        <v>14.22875652315842</v>
      </c>
      <c r="Y52" s="10">
        <f t="shared" ref="Y52:Y60" si="84">Q52</f>
        <v>14.623335391060838</v>
      </c>
      <c r="Z52" s="10">
        <f t="shared" ref="Z52:Z60" si="85">R52</f>
        <v>13.758153902644418</v>
      </c>
      <c r="AA52" s="10">
        <f t="shared" ref="AA52:AA60" si="86">S52</f>
        <v>13.989473830479653</v>
      </c>
      <c r="AB52" s="322">
        <f t="shared" si="76"/>
        <v>15.401899225753688</v>
      </c>
      <c r="AC52" s="322">
        <f t="shared" si="76"/>
        <v>18.311429705750189</v>
      </c>
      <c r="AD52" s="322">
        <f t="shared" si="76"/>
        <v>22.494579422788345</v>
      </c>
      <c r="AE52" s="10"/>
      <c r="AF52" s="10"/>
      <c r="AG52" s="10"/>
      <c r="AH52" s="10"/>
      <c r="AI52" s="10"/>
      <c r="AJ52" s="10"/>
      <c r="AK52" s="10"/>
      <c r="AL52" s="10"/>
      <c r="AM52" s="10"/>
      <c r="AN52" s="10"/>
      <c r="AO52" s="10"/>
      <c r="AP52" s="10"/>
      <c r="AQ52" s="10"/>
      <c r="AR52" s="10"/>
      <c r="AS52" s="10"/>
    </row>
    <row r="53" spans="1:45">
      <c r="A53" s="194" t="s">
        <v>16</v>
      </c>
      <c r="B53" s="195" t="str">
        <f t="shared" si="77"/>
        <v>TFHCV4</v>
      </c>
      <c r="C53" s="195" t="str">
        <f t="shared" si="78"/>
        <v>Transport Freight - HCV4</v>
      </c>
      <c r="D53" s="194" t="s">
        <v>149</v>
      </c>
      <c r="F53" s="10">
        <f t="shared" si="79"/>
        <v>4.515932780515814</v>
      </c>
      <c r="G53" s="10">
        <f t="shared" si="71"/>
        <v>4.7329719129281322</v>
      </c>
      <c r="H53" s="10">
        <f t="shared" si="71"/>
        <v>4.8116860825884835</v>
      </c>
      <c r="I53" s="10">
        <f t="shared" ref="I53" si="87">I30*I$60</f>
        <v>4.864227147010304</v>
      </c>
      <c r="J53" s="10">
        <f t="shared" si="73"/>
        <v>4.5764333579660059</v>
      </c>
      <c r="K53" s="10">
        <f t="shared" si="73"/>
        <v>4.6529355405957507</v>
      </c>
      <c r="L53" s="10">
        <f t="shared" si="73"/>
        <v>5.3928414410631289</v>
      </c>
      <c r="M53" s="10">
        <f t="shared" si="73"/>
        <v>6.7490403218490576</v>
      </c>
      <c r="N53" s="10">
        <f t="shared" si="73"/>
        <v>8.7271821616051746</v>
      </c>
      <c r="P53" s="10">
        <f t="shared" si="81"/>
        <v>4.7329719129281322</v>
      </c>
      <c r="Q53" s="10">
        <f t="shared" si="82"/>
        <v>4.8642223631117147</v>
      </c>
      <c r="R53" s="10">
        <f t="shared" si="82"/>
        <v>4.5764333579660059</v>
      </c>
      <c r="S53" s="10">
        <f t="shared" si="82"/>
        <v>4.6533782912469155</v>
      </c>
      <c r="T53" s="322">
        <f t="shared" si="82"/>
        <v>5.3928414410631289</v>
      </c>
      <c r="U53" s="322">
        <f t="shared" si="82"/>
        <v>6.7490403218490576</v>
      </c>
      <c r="V53" s="322">
        <f t="shared" si="82"/>
        <v>8.7271821616051746</v>
      </c>
      <c r="W53" s="10"/>
      <c r="X53" s="10">
        <f t="shared" si="83"/>
        <v>4.7329719129281322</v>
      </c>
      <c r="Y53" s="10">
        <f t="shared" si="84"/>
        <v>4.8642223631117147</v>
      </c>
      <c r="Z53" s="10">
        <f t="shared" si="85"/>
        <v>4.5764333579660059</v>
      </c>
      <c r="AA53" s="10">
        <f t="shared" si="86"/>
        <v>4.6533782912469155</v>
      </c>
      <c r="AB53" s="322">
        <f t="shared" si="76"/>
        <v>5.1231993690099724</v>
      </c>
      <c r="AC53" s="322">
        <f t="shared" si="76"/>
        <v>6.0910088904687738</v>
      </c>
      <c r="AD53" s="322">
        <f t="shared" si="76"/>
        <v>7.4824678058062357</v>
      </c>
      <c r="AE53" s="10"/>
      <c r="AF53" s="10"/>
      <c r="AG53" s="10"/>
      <c r="AH53" s="10"/>
      <c r="AI53" s="10"/>
      <c r="AJ53" s="10"/>
      <c r="AK53" s="10"/>
      <c r="AL53" s="10"/>
      <c r="AM53" s="10"/>
      <c r="AN53" s="10"/>
      <c r="AO53" s="10"/>
      <c r="AP53" s="10"/>
      <c r="AQ53" s="10"/>
      <c r="AR53" s="10"/>
      <c r="AS53" s="10"/>
    </row>
    <row r="54" spans="1:45">
      <c r="A54" s="194" t="s">
        <v>16</v>
      </c>
      <c r="B54" s="195" t="str">
        <f t="shared" si="77"/>
        <v>TFHCV5</v>
      </c>
      <c r="C54" s="195" t="str">
        <f t="shared" si="78"/>
        <v>Transport Freight - HCV5</v>
      </c>
      <c r="D54" s="194" t="s">
        <v>149</v>
      </c>
      <c r="F54" s="10">
        <f t="shared" si="79"/>
        <v>2.9750185434856067</v>
      </c>
      <c r="G54" s="10">
        <f t="shared" si="71"/>
        <v>3.1180001765104728</v>
      </c>
      <c r="H54" s="10">
        <f t="shared" si="71"/>
        <v>3.1698557123999747</v>
      </c>
      <c r="I54" s="10">
        <f t="shared" ref="I54" si="88">I31*I$60</f>
        <v>3.2044688584644594</v>
      </c>
      <c r="J54" s="10">
        <f t="shared" si="73"/>
        <v>3.0148752793038378</v>
      </c>
      <c r="K54" s="10">
        <f t="shared" si="73"/>
        <v>3.0652735963298534</v>
      </c>
      <c r="L54" s="10">
        <f t="shared" si="73"/>
        <v>3.552710828305977</v>
      </c>
      <c r="M54" s="10">
        <f t="shared" si="73"/>
        <v>4.4461512347709542</v>
      </c>
      <c r="N54" s="10">
        <f t="shared" si="73"/>
        <v>5.7493169241076743</v>
      </c>
      <c r="P54" s="10">
        <f t="shared" si="81"/>
        <v>3.1180001765104728</v>
      </c>
      <c r="Q54" s="10">
        <f t="shared" si="82"/>
        <v>3.2044657069146676</v>
      </c>
      <c r="R54" s="10">
        <f t="shared" si="82"/>
        <v>3.0148752793038378</v>
      </c>
      <c r="S54" s="10">
        <f t="shared" si="82"/>
        <v>3.0655652728142861</v>
      </c>
      <c r="T54" s="322">
        <f t="shared" si="82"/>
        <v>3.552710828305977</v>
      </c>
      <c r="U54" s="322">
        <f t="shared" si="82"/>
        <v>4.4461512347709542</v>
      </c>
      <c r="V54" s="322">
        <f t="shared" si="82"/>
        <v>5.7493169241076743</v>
      </c>
      <c r="W54" s="10"/>
      <c r="X54" s="10">
        <f t="shared" si="83"/>
        <v>3.1180001765104728</v>
      </c>
      <c r="Y54" s="10">
        <f t="shared" si="84"/>
        <v>3.2044657069146676</v>
      </c>
      <c r="Z54" s="10">
        <f t="shared" si="85"/>
        <v>3.0148752793038378</v>
      </c>
      <c r="AA54" s="10">
        <f t="shared" si="86"/>
        <v>3.0655652728142861</v>
      </c>
      <c r="AB54" s="322">
        <f t="shared" si="76"/>
        <v>3.3750752868906782</v>
      </c>
      <c r="AC54" s="322">
        <f t="shared" si="76"/>
        <v>4.0126514893807856</v>
      </c>
      <c r="AD54" s="322">
        <f t="shared" si="76"/>
        <v>4.9293205978068171</v>
      </c>
      <c r="AE54" s="10"/>
      <c r="AF54" s="10"/>
      <c r="AG54" s="10"/>
      <c r="AH54" s="10"/>
      <c r="AI54" s="10"/>
      <c r="AJ54" s="10"/>
      <c r="AK54" s="10"/>
      <c r="AL54" s="10"/>
      <c r="AM54" s="10"/>
      <c r="AN54" s="10"/>
      <c r="AO54" s="10"/>
      <c r="AP54" s="10"/>
      <c r="AQ54" s="10"/>
      <c r="AR54" s="10"/>
      <c r="AS54" s="10"/>
    </row>
    <row r="55" spans="1:45">
      <c r="A55" s="194" t="s">
        <v>16</v>
      </c>
      <c r="B55" s="195" t="str">
        <f t="shared" si="77"/>
        <v>TFHCV6</v>
      </c>
      <c r="C55" s="195" t="str">
        <f t="shared" si="78"/>
        <v>Transport Freight - HCV6</v>
      </c>
      <c r="D55" s="194" t="s">
        <v>149</v>
      </c>
      <c r="F55" s="10">
        <f>F69*F98</f>
        <v>98.309314568087203</v>
      </c>
      <c r="G55" s="10">
        <f t="shared" si="71"/>
        <v>103.03413430720434</v>
      </c>
      <c r="H55" s="10">
        <f t="shared" si="71"/>
        <v>104.74769747171659</v>
      </c>
      <c r="I55" s="10">
        <f>I32*I$60</f>
        <v>105.89148686828882</v>
      </c>
      <c r="J55" s="10">
        <f t="shared" si="73"/>
        <v>99.626378082797544</v>
      </c>
      <c r="K55" s="10">
        <f t="shared" si="73"/>
        <v>101.29178753480312</v>
      </c>
      <c r="L55" s="10">
        <f t="shared" si="73"/>
        <v>117.39912248754413</v>
      </c>
      <c r="M55" s="10">
        <f t="shared" si="73"/>
        <v>146.92280870433564</v>
      </c>
      <c r="N55" s="10">
        <f t="shared" si="73"/>
        <v>189.98584303999428</v>
      </c>
      <c r="P55" s="10">
        <f t="shared" si="81"/>
        <v>103.03413430720434</v>
      </c>
      <c r="Q55" s="10">
        <f t="shared" si="82"/>
        <v>105.89138272550942</v>
      </c>
      <c r="R55" s="10">
        <f t="shared" si="82"/>
        <v>99.626378082797544</v>
      </c>
      <c r="S55" s="10">
        <f t="shared" si="82"/>
        <v>101.3014259672502</v>
      </c>
      <c r="T55" s="322">
        <f t="shared" si="82"/>
        <v>117.39912248754413</v>
      </c>
      <c r="U55" s="322">
        <f t="shared" si="82"/>
        <v>146.92280870433564</v>
      </c>
      <c r="V55" s="322">
        <f t="shared" si="82"/>
        <v>189.98584303999428</v>
      </c>
      <c r="W55" s="10"/>
      <c r="X55" s="10">
        <f t="shared" si="83"/>
        <v>103.03413430720434</v>
      </c>
      <c r="Y55" s="10">
        <f t="shared" si="84"/>
        <v>105.89138272550942</v>
      </c>
      <c r="Z55" s="10">
        <f t="shared" si="85"/>
        <v>99.626378082797544</v>
      </c>
      <c r="AA55" s="10">
        <f t="shared" si="86"/>
        <v>101.3014259672502</v>
      </c>
      <c r="AB55" s="322">
        <f t="shared" si="76"/>
        <v>111.52916636316692</v>
      </c>
      <c r="AC55" s="322">
        <f t="shared" si="76"/>
        <v>132.59783485566291</v>
      </c>
      <c r="AD55" s="322">
        <f t="shared" si="76"/>
        <v>162.88911217641507</v>
      </c>
      <c r="AE55" s="10"/>
      <c r="AF55" s="10"/>
      <c r="AG55" s="10"/>
      <c r="AH55" s="10"/>
      <c r="AI55" s="10"/>
      <c r="AJ55" s="10"/>
      <c r="AK55" s="10"/>
      <c r="AL55" s="10"/>
      <c r="AM55" s="10"/>
      <c r="AN55" s="10"/>
      <c r="AO55" s="10"/>
      <c r="AP55" s="10"/>
      <c r="AQ55" s="10"/>
      <c r="AR55" s="10"/>
      <c r="AS55" s="10"/>
    </row>
    <row r="56" spans="1:45">
      <c r="A56" s="194" t="s">
        <v>16</v>
      </c>
      <c r="B56" s="195" t="str">
        <f t="shared" si="77"/>
        <v>TFHCV7</v>
      </c>
      <c r="C56" s="195" t="str">
        <f t="shared" si="78"/>
        <v>Transport Freight - HCV7</v>
      </c>
      <c r="D56" s="194" t="s">
        <v>149</v>
      </c>
      <c r="F56" s="10">
        <f t="shared" si="79"/>
        <v>28.003212301240232</v>
      </c>
      <c r="G56" s="10">
        <f t="shared" si="71"/>
        <v>29.349067786255869</v>
      </c>
      <c r="H56" s="10">
        <f t="shared" si="71"/>
        <v>29.837172838134627</v>
      </c>
      <c r="I56" s="10">
        <f t="shared" ref="I56" si="89">I33*I$60</f>
        <v>30.162978967908185</v>
      </c>
      <c r="J56" s="10">
        <f t="shared" si="73"/>
        <v>28.378375218189547</v>
      </c>
      <c r="K56" s="10">
        <f t="shared" si="73"/>
        <v>28.852763781042402</v>
      </c>
      <c r="L56" s="10">
        <f t="shared" si="73"/>
        <v>33.440906036641188</v>
      </c>
      <c r="M56" s="10">
        <f t="shared" si="73"/>
        <v>41.85066920787574</v>
      </c>
      <c r="N56" s="10">
        <f t="shared" si="73"/>
        <v>54.117088703679066</v>
      </c>
      <c r="P56" s="10">
        <f t="shared" si="81"/>
        <v>29.349067786255869</v>
      </c>
      <c r="Q56" s="10">
        <f t="shared" si="82"/>
        <v>30.162949303045053</v>
      </c>
      <c r="R56" s="10">
        <f t="shared" si="82"/>
        <v>28.378375218189547</v>
      </c>
      <c r="S56" s="10">
        <f t="shared" si="82"/>
        <v>28.855509269313302</v>
      </c>
      <c r="T56" s="322">
        <f t="shared" si="82"/>
        <v>33.440906036641188</v>
      </c>
      <c r="U56" s="322">
        <f t="shared" si="82"/>
        <v>41.85066920787574</v>
      </c>
      <c r="V56" s="322">
        <f t="shared" si="82"/>
        <v>54.117088703679066</v>
      </c>
      <c r="W56" s="10"/>
      <c r="X56" s="10">
        <f t="shared" si="83"/>
        <v>29.349067786255869</v>
      </c>
      <c r="Y56" s="10">
        <f t="shared" si="84"/>
        <v>30.162949303045053</v>
      </c>
      <c r="Z56" s="10">
        <f t="shared" si="85"/>
        <v>28.378375218189547</v>
      </c>
      <c r="AA56" s="10">
        <f t="shared" si="86"/>
        <v>28.855509269313302</v>
      </c>
      <c r="AB56" s="322">
        <f t="shared" si="76"/>
        <v>31.768860734809127</v>
      </c>
      <c r="AC56" s="322">
        <f t="shared" si="76"/>
        <v>37.77022896010785</v>
      </c>
      <c r="AD56" s="322">
        <f t="shared" si="76"/>
        <v>46.398638927316831</v>
      </c>
      <c r="AE56" s="10"/>
      <c r="AF56" s="10"/>
      <c r="AG56" s="10"/>
      <c r="AH56" s="10"/>
      <c r="AI56" s="10"/>
      <c r="AJ56" s="10"/>
      <c r="AK56" s="10"/>
      <c r="AL56" s="10"/>
      <c r="AM56" s="10"/>
      <c r="AN56" s="10"/>
      <c r="AO56" s="10"/>
      <c r="AP56" s="10"/>
      <c r="AQ56" s="10"/>
      <c r="AR56" s="10"/>
      <c r="AS56" s="10"/>
    </row>
    <row r="57" spans="1:45">
      <c r="A57" s="194" t="s">
        <v>16</v>
      </c>
      <c r="B57" s="195" t="str">
        <f t="shared" si="77"/>
        <v>TFHCV8</v>
      </c>
      <c r="C57" s="195" t="str">
        <f t="shared" si="78"/>
        <v>Transport Freight - HCV8</v>
      </c>
      <c r="D57" s="194" t="s">
        <v>149</v>
      </c>
      <c r="F57" s="10">
        <f t="shared" si="79"/>
        <v>1.0763192990282064</v>
      </c>
      <c r="G57" s="10">
        <f t="shared" si="71"/>
        <v>1.12804801559981</v>
      </c>
      <c r="H57" s="10">
        <f t="shared" si="71"/>
        <v>1.1468086092645235</v>
      </c>
      <c r="I57" s="10">
        <f t="shared" ref="I57" si="90">I34*I$60</f>
        <v>1.159331152087278</v>
      </c>
      <c r="J57" s="10">
        <f t="shared" si="73"/>
        <v>1.0907388978745283</v>
      </c>
      <c r="K57" s="10">
        <f t="shared" si="73"/>
        <v>1.1089722905276336</v>
      </c>
      <c r="L57" s="10">
        <f t="shared" si="73"/>
        <v>1.2853201324560779</v>
      </c>
      <c r="M57" s="10">
        <f t="shared" si="73"/>
        <v>1.6085541351870973</v>
      </c>
      <c r="N57" s="10">
        <f t="shared" si="73"/>
        <v>2.0800209044735705</v>
      </c>
      <c r="P57" s="10">
        <f t="shared" si="81"/>
        <v>1.12804801559981</v>
      </c>
      <c r="Q57" s="10">
        <f t="shared" si="82"/>
        <v>1.1593300119014898</v>
      </c>
      <c r="R57" s="10">
        <f t="shared" si="82"/>
        <v>1.0907388978745283</v>
      </c>
      <c r="S57" s="10">
        <f t="shared" si="82"/>
        <v>1.1090778149217437</v>
      </c>
      <c r="T57" s="322">
        <f t="shared" si="82"/>
        <v>1.2853201324560779</v>
      </c>
      <c r="U57" s="322">
        <f t="shared" si="82"/>
        <v>1.6085541351870973</v>
      </c>
      <c r="V57" s="322">
        <f t="shared" si="82"/>
        <v>2.0800209044735705</v>
      </c>
      <c r="W57" s="10"/>
      <c r="X57" s="10">
        <f t="shared" si="83"/>
        <v>1.12804801559981</v>
      </c>
      <c r="Y57" s="10">
        <f t="shared" si="84"/>
        <v>1.1593300119014898</v>
      </c>
      <c r="Z57" s="10">
        <f t="shared" si="85"/>
        <v>1.0907388978745283</v>
      </c>
      <c r="AA57" s="10">
        <f t="shared" si="86"/>
        <v>1.1090778149217437</v>
      </c>
      <c r="AB57" s="322">
        <f t="shared" si="76"/>
        <v>1.2210541258332739</v>
      </c>
      <c r="AC57" s="322">
        <f t="shared" si="76"/>
        <v>1.4517201070063552</v>
      </c>
      <c r="AD57" s="322">
        <f t="shared" si="76"/>
        <v>1.7833579229730274</v>
      </c>
      <c r="AE57" s="10"/>
      <c r="AF57" s="10"/>
      <c r="AG57" s="10"/>
      <c r="AH57" s="10"/>
      <c r="AI57" s="10"/>
      <c r="AJ57" s="10"/>
      <c r="AK57" s="10"/>
      <c r="AL57" s="10"/>
      <c r="AM57" s="10"/>
      <c r="AN57" s="10"/>
      <c r="AO57" s="10"/>
      <c r="AP57" s="10"/>
      <c r="AQ57" s="10"/>
      <c r="AR57" s="10"/>
      <c r="AS57" s="10"/>
    </row>
    <row r="58" spans="1:45">
      <c r="A58" s="194" t="s">
        <v>16</v>
      </c>
      <c r="B58" s="195" t="str">
        <f t="shared" si="77"/>
        <v>TFHCV9</v>
      </c>
      <c r="C58" s="195" t="str">
        <f t="shared" si="78"/>
        <v>Transport Freight - HCV9</v>
      </c>
      <c r="D58" s="194" t="s">
        <v>149</v>
      </c>
      <c r="F58" s="10">
        <f t="shared" si="79"/>
        <v>0.87560973396075781</v>
      </c>
      <c r="G58" s="10">
        <f t="shared" si="71"/>
        <v>0.91769219759054577</v>
      </c>
      <c r="H58" s="10">
        <f t="shared" si="71"/>
        <v>0.93295435858917986</v>
      </c>
      <c r="I58" s="10">
        <f t="shared" ref="I58" si="91">I35*I$60</f>
        <v>0.94314172622204151</v>
      </c>
      <c r="J58" s="10">
        <f t="shared" si="73"/>
        <v>0.88734039894191019</v>
      </c>
      <c r="K58" s="10">
        <f t="shared" si="73"/>
        <v>0.90217367016969785</v>
      </c>
      <c r="L58" s="10">
        <f t="shared" si="73"/>
        <v>1.0456365692322114</v>
      </c>
      <c r="M58" s="10">
        <f t="shared" si="73"/>
        <v>1.3085946332508718</v>
      </c>
      <c r="N58" s="10">
        <f t="shared" si="73"/>
        <v>1.6921433560127854</v>
      </c>
      <c r="P58" s="10">
        <f t="shared" si="81"/>
        <v>0.91769219759054577</v>
      </c>
      <c r="Q58" s="10">
        <f t="shared" si="82"/>
        <v>0.94314079865549549</v>
      </c>
      <c r="R58" s="10">
        <f t="shared" si="82"/>
        <v>0.88734039894191019</v>
      </c>
      <c r="S58" s="10">
        <f t="shared" si="82"/>
        <v>0.9022595166157632</v>
      </c>
      <c r="T58" s="322">
        <f t="shared" si="82"/>
        <v>1.0456365692322114</v>
      </c>
      <c r="U58" s="322">
        <f t="shared" si="82"/>
        <v>1.3085946332508718</v>
      </c>
      <c r="V58" s="322">
        <f t="shared" si="82"/>
        <v>1.6921433560127854</v>
      </c>
      <c r="W58" s="10"/>
      <c r="X58" s="10">
        <f t="shared" si="83"/>
        <v>0.91769219759054577</v>
      </c>
      <c r="Y58" s="10">
        <f t="shared" si="84"/>
        <v>0.94314079865549549</v>
      </c>
      <c r="Z58" s="10">
        <f t="shared" si="85"/>
        <v>0.88734039894191019</v>
      </c>
      <c r="AA58" s="10">
        <f t="shared" si="86"/>
        <v>0.9022595166157632</v>
      </c>
      <c r="AB58" s="322">
        <f t="shared" si="76"/>
        <v>0.99335474077060071</v>
      </c>
      <c r="AC58" s="322">
        <f t="shared" si="76"/>
        <v>1.1810066565089117</v>
      </c>
      <c r="AD58" s="322">
        <f t="shared" si="76"/>
        <v>1.4508014098614619</v>
      </c>
      <c r="AE58" s="10"/>
      <c r="AF58" s="10"/>
      <c r="AG58" s="10"/>
      <c r="AH58" s="10"/>
      <c r="AI58" s="10"/>
      <c r="AJ58" s="10"/>
      <c r="AK58" s="10"/>
      <c r="AL58" s="10"/>
      <c r="AM58" s="10"/>
      <c r="AN58" s="10"/>
      <c r="AO58" s="10"/>
      <c r="AP58" s="10"/>
      <c r="AQ58" s="10"/>
      <c r="AR58" s="10"/>
      <c r="AS58" s="10"/>
    </row>
    <row r="59" spans="1:45">
      <c r="A59" s="194" t="s">
        <v>16</v>
      </c>
      <c r="B59" s="195" t="str">
        <f>B23</f>
        <v>TFRCO</v>
      </c>
      <c r="C59" s="195" t="str">
        <f>C36</f>
        <v>Transport Freight - Rail Corridor</v>
      </c>
      <c r="D59" s="194" t="s">
        <v>149</v>
      </c>
      <c r="F59" s="10">
        <f>F102</f>
        <v>22</v>
      </c>
      <c r="G59" s="10">
        <f t="shared" si="71"/>
        <v>23.057336578097942</v>
      </c>
      <c r="H59" s="10">
        <f t="shared" si="71"/>
        <v>23.440803697006192</v>
      </c>
      <c r="I59" s="10">
        <f t="shared" ref="I59" si="92">I36*I$60</f>
        <v>23.696764862386523</v>
      </c>
      <c r="J59" s="10">
        <f t="shared" si="73"/>
        <v>22.294737049596232</v>
      </c>
      <c r="K59" s="10">
        <f t="shared" si="73"/>
        <v>22.667428163404651</v>
      </c>
      <c r="L59" s="10">
        <f t="shared" si="73"/>
        <v>26.271983545742081</v>
      </c>
      <c r="M59" s="10">
        <f t="shared" si="73"/>
        <v>32.878896630458648</v>
      </c>
      <c r="N59" s="10">
        <f t="shared" si="73"/>
        <v>42.515692081090613</v>
      </c>
      <c r="P59" s="10">
        <f t="shared" si="81"/>
        <v>23.057336578097942</v>
      </c>
      <c r="Q59" s="10">
        <f t="shared" si="82"/>
        <v>23.696741556953494</v>
      </c>
      <c r="R59" s="10">
        <f t="shared" si="82"/>
        <v>22.294737049596232</v>
      </c>
      <c r="S59" s="10">
        <f t="shared" si="82"/>
        <v>22.669585085307396</v>
      </c>
      <c r="T59" s="322">
        <f t="shared" si="82"/>
        <v>26.271983545742081</v>
      </c>
      <c r="U59" s="322">
        <f t="shared" si="82"/>
        <v>32.878896630458648</v>
      </c>
      <c r="V59" s="322">
        <f t="shared" si="82"/>
        <v>42.515692081090613</v>
      </c>
      <c r="W59" s="10"/>
      <c r="X59" s="10">
        <f t="shared" si="83"/>
        <v>23.057336578097942</v>
      </c>
      <c r="Y59" s="10">
        <f t="shared" si="84"/>
        <v>23.696741556953494</v>
      </c>
      <c r="Z59" s="10">
        <f t="shared" si="85"/>
        <v>22.294737049596232</v>
      </c>
      <c r="AA59" s="10">
        <f t="shared" si="86"/>
        <v>22.669585085307396</v>
      </c>
      <c r="AB59" s="322">
        <f t="shared" si="76"/>
        <v>35.2862171174568</v>
      </c>
      <c r="AC59" s="322">
        <f t="shared" si="76"/>
        <v>54.877129231275859</v>
      </c>
      <c r="AD59" s="322">
        <f t="shared" si="76"/>
        <v>84.126950471903442</v>
      </c>
      <c r="AE59" s="10"/>
      <c r="AF59" s="10"/>
      <c r="AG59" s="10"/>
      <c r="AH59" s="10"/>
      <c r="AI59" s="10"/>
      <c r="AJ59" s="10"/>
      <c r="AK59" s="10"/>
      <c r="AL59" s="10"/>
      <c r="AM59" s="10"/>
      <c r="AN59" s="10"/>
      <c r="AO59" s="10"/>
      <c r="AP59" s="10"/>
      <c r="AQ59" s="10"/>
      <c r="AR59" s="10"/>
      <c r="AS59" s="10"/>
    </row>
    <row r="60" spans="1:45">
      <c r="A60" s="194" t="s">
        <v>16</v>
      </c>
      <c r="B60" s="195"/>
      <c r="C60" s="3" t="s">
        <v>5</v>
      </c>
      <c r="D60" s="5" t="s">
        <v>149</v>
      </c>
      <c r="E60" s="5"/>
      <c r="F60" s="48">
        <f>SUM(F51:F59)</f>
        <v>172.96929261731697</v>
      </c>
      <c r="G60" s="48">
        <f>F60*(1+(F22+G22)/2*((G7/F7)^(1/(G$4-F$4))-1))^(G$4-F$4)</f>
        <v>181.28232716149964</v>
      </c>
      <c r="H60" s="48">
        <f>G60*(1+(G22+H22)/2*((H7/G7)^(1/(H$4-G$4))-1))^(H$4-G$4)</f>
        <v>184.29723790238876</v>
      </c>
      <c r="I60" s="48">
        <f>H60*(1+(H22+I22)/2*((I7/H7)^(1/(I$4-H$4))-1))^(I$4-H$4)</f>
        <v>186.30966616208602</v>
      </c>
      <c r="J60" s="48">
        <f>G60*(1+(G22+J22)/2*((J7/G7)^(1/(J$4-G$4))-1))^(J$4-G$4)</f>
        <v>175.28658620717053</v>
      </c>
      <c r="K60" s="48">
        <f>H60*(1+(H22+K22)/2*((K7/H7)^(1/(K$4-H$4))-1))^(K$4-H$4)</f>
        <v>178.21677340354336</v>
      </c>
      <c r="L60" s="48">
        <f>J60*(1+(J22+L22)/2*((L7/J7)^(1/(L$4-J$4))-1))^(L$4-J$4)</f>
        <v>206.55665498003646</v>
      </c>
      <c r="M60" s="48">
        <f>L60*(1+(L22+M22)/2*((M7/L7)^(1/(M$4-L$4))-1))^(M$4-L$4)</f>
        <v>258.50179510037833</v>
      </c>
      <c r="N60" s="48">
        <f>M60*(1+(M22+N22)/2*((N7/M7)^(1/(N$4-M$4))-1))^(N$4-M$4)</f>
        <v>334.26859929099606</v>
      </c>
      <c r="P60" s="82">
        <f>$G60</f>
        <v>181.28232716149964</v>
      </c>
      <c r="Q60" s="48">
        <f>P60*(1+(P22+Q22)/2*((Q7/P7)^(1/(Q$4-P$4))-1))^(Q$4-P$4)</f>
        <v>186.30948292916489</v>
      </c>
      <c r="R60" s="48">
        <f>P60*(1+(P22+R22)/2*((R7/P7)^(1/(R$4-P$4))-1))^(R$4-P$4)</f>
        <v>175.28658620717053</v>
      </c>
      <c r="S60" s="48">
        <f>Q60*(1+(Q22+S22)/2*((S7/Q7)^(1/(S$4-Q$4))-1))^(S$4-Q$4)</f>
        <v>178.23373164244103</v>
      </c>
      <c r="T60" s="323">
        <f>R60*(1+(R22+T22)/2*((T7/R7)^(1/(T$4-R$4))-1))^(T$4-R$4)</f>
        <v>206.55665498003646</v>
      </c>
      <c r="U60" s="323">
        <f>T60*(1+(T22+U22)/2*((U7/T7)^(1/(U$4-T$4))-1))^(U$4-T$4)</f>
        <v>258.50179510037833</v>
      </c>
      <c r="V60" s="323">
        <f>U60*(1+(U22+V22)/2*((V7/U7)^(1/(V$4-U$4))-1))^(V$4-U$4)</f>
        <v>334.26859929099606</v>
      </c>
      <c r="X60" s="82">
        <f>P60</f>
        <v>181.28232716149964</v>
      </c>
      <c r="Y60" s="82">
        <f t="shared" si="84"/>
        <v>186.30948292916489</v>
      </c>
      <c r="Z60" s="82">
        <f t="shared" si="85"/>
        <v>175.28658620717053</v>
      </c>
      <c r="AA60" s="82">
        <f t="shared" si="86"/>
        <v>178.23373164244103</v>
      </c>
      <c r="AB60" s="323">
        <f>Z60*(1+(Z22+AB22)/2*((AB7/Z7)^(1/(AB$4-Z$4))-1))^(AB$4-Z$4)</f>
        <v>206.55665498003646</v>
      </c>
      <c r="AC60" s="323">
        <f>AB60*(1+(AB22+AC22)/2*((AC7/AB7)^(1/(AC$4-AB$4))-1))^(AC$4-AB$4)</f>
        <v>258.50179510037833</v>
      </c>
      <c r="AD60" s="323">
        <f>AC60*(1+(AC22+AD22)/2*((AD7/AC7)^(1/(AD$4-AC$4))-1))^(AD$4-AC$4)</f>
        <v>334.26859929099606</v>
      </c>
    </row>
    <row r="61" spans="1:45">
      <c r="A61" s="194" t="s">
        <v>16</v>
      </c>
      <c r="B61" s="195"/>
      <c r="C61" s="3"/>
      <c r="D61" s="5"/>
      <c r="E61" s="5"/>
      <c r="F61" s="48"/>
      <c r="G61" s="10"/>
      <c r="H61" s="10"/>
      <c r="J61" s="10"/>
      <c r="L61" s="10"/>
      <c r="M61" s="10"/>
      <c r="N61" s="10"/>
    </row>
    <row r="62" spans="1:45" ht="15.75" thickBot="1">
      <c r="A62" s="194" t="s">
        <v>16</v>
      </c>
      <c r="B62" s="14" t="s">
        <v>148</v>
      </c>
      <c r="C62" s="14"/>
      <c r="D62" s="14"/>
    </row>
    <row r="63" spans="1:45">
      <c r="A63" s="194" t="s">
        <v>16</v>
      </c>
      <c r="B63" s="194" t="s">
        <v>151</v>
      </c>
      <c r="C63" s="194" t="s">
        <v>152</v>
      </c>
      <c r="D63" s="194" t="s">
        <v>147</v>
      </c>
      <c r="F63" s="50">
        <f>[2]Calib_1011!$AC$36</f>
        <v>0.39784000000000003</v>
      </c>
      <c r="G63" s="63">
        <f t="shared" ref="G63:I72" si="93">F63</f>
        <v>0.39784000000000003</v>
      </c>
      <c r="H63" s="63">
        <f t="shared" si="93"/>
        <v>0.39784000000000003</v>
      </c>
      <c r="I63" s="63">
        <f t="shared" si="93"/>
        <v>0.39784000000000003</v>
      </c>
      <c r="J63" s="63">
        <f t="shared" ref="J63:J72" si="94">IF($D$4,Z63,R63)</f>
        <v>0.39784000000000003</v>
      </c>
      <c r="K63" s="63">
        <f t="shared" ref="K63:K72" si="95">IF($D$4,AB63,T63)</f>
        <v>0.39784000000000003</v>
      </c>
      <c r="L63" s="63">
        <f t="shared" ref="L63:L72" si="96">IF($D$4,AB63,T63)</f>
        <v>0.39784000000000003</v>
      </c>
      <c r="M63" s="63">
        <f t="shared" ref="M63:M72" si="97">IF($D$4,AC63,U63)</f>
        <v>0.39784000000000003</v>
      </c>
      <c r="N63" s="63">
        <f t="shared" ref="N63:N72" si="98">IF($D$4,AD63,V63)</f>
        <v>0.39784000000000003</v>
      </c>
      <c r="O63" s="195"/>
      <c r="P63" s="63">
        <f>$G63</f>
        <v>0.39784000000000003</v>
      </c>
      <c r="Q63" s="63">
        <f>P63</f>
        <v>0.39784000000000003</v>
      </c>
      <c r="R63" s="63">
        <f t="shared" ref="R63:S63" si="99">Q63</f>
        <v>0.39784000000000003</v>
      </c>
      <c r="S63" s="63">
        <f t="shared" si="99"/>
        <v>0.39784000000000003</v>
      </c>
      <c r="T63" s="47">
        <f t="shared" ref="T63:T72" si="100">R63</f>
        <v>0.39784000000000003</v>
      </c>
      <c r="U63" s="47">
        <f t="shared" ref="U63:U72" si="101">T63</f>
        <v>0.39784000000000003</v>
      </c>
      <c r="V63" s="47">
        <f>T63</f>
        <v>0.39784000000000003</v>
      </c>
      <c r="W63" s="243"/>
      <c r="X63" s="63">
        <f>P63</f>
        <v>0.39784000000000003</v>
      </c>
      <c r="Y63" s="63">
        <f t="shared" ref="Y63:AA63" si="102">Q63</f>
        <v>0.39784000000000003</v>
      </c>
      <c r="Z63" s="63">
        <f t="shared" si="102"/>
        <v>0.39784000000000003</v>
      </c>
      <c r="AA63" s="63">
        <f t="shared" si="102"/>
        <v>0.39784000000000003</v>
      </c>
      <c r="AB63" s="47">
        <f t="shared" ref="AB63:AB72" si="103">Z63</f>
        <v>0.39784000000000003</v>
      </c>
      <c r="AC63" s="47">
        <f t="shared" ref="AC63:AC72" si="104">AB63</f>
        <v>0.39784000000000003</v>
      </c>
      <c r="AD63" s="47">
        <f>AB63</f>
        <v>0.39784000000000003</v>
      </c>
      <c r="AE63" s="243"/>
      <c r="AF63" s="243"/>
      <c r="AG63" s="243"/>
      <c r="AH63" s="243"/>
      <c r="AI63" s="243"/>
      <c r="AJ63" s="243"/>
      <c r="AK63" s="243"/>
      <c r="AL63" s="243"/>
      <c r="AM63" s="243"/>
      <c r="AN63" s="243"/>
      <c r="AO63" s="243"/>
      <c r="AP63" s="243"/>
      <c r="AQ63" s="243"/>
      <c r="AR63" s="243"/>
      <c r="AS63" s="243"/>
    </row>
    <row r="64" spans="1:45">
      <c r="A64" s="194" t="s">
        <v>16</v>
      </c>
      <c r="B64" s="194" t="s">
        <v>412</v>
      </c>
      <c r="C64" s="194" t="s">
        <v>421</v>
      </c>
      <c r="D64" s="194" t="s">
        <v>147</v>
      </c>
      <c r="F64" s="50">
        <f>[2]Calib_1011!$AC$35</f>
        <v>1.4841</v>
      </c>
      <c r="G64" s="63">
        <f t="shared" si="93"/>
        <v>1.4841</v>
      </c>
      <c r="H64" s="63">
        <f t="shared" si="93"/>
        <v>1.4841</v>
      </c>
      <c r="I64" s="63">
        <f t="shared" si="93"/>
        <v>1.4841</v>
      </c>
      <c r="J64" s="63">
        <f t="shared" si="94"/>
        <v>1.4841</v>
      </c>
      <c r="K64" s="63">
        <f t="shared" si="95"/>
        <v>1.4841</v>
      </c>
      <c r="L64" s="63">
        <f t="shared" si="96"/>
        <v>1.4841</v>
      </c>
      <c r="M64" s="63">
        <f t="shared" si="97"/>
        <v>1.4841</v>
      </c>
      <c r="N64" s="63">
        <f t="shared" si="98"/>
        <v>1.4841</v>
      </c>
      <c r="O64" s="195"/>
      <c r="P64" s="63">
        <f t="shared" ref="P64:P70" si="105">$G64</f>
        <v>1.4841</v>
      </c>
      <c r="Q64" s="63">
        <f t="shared" ref="Q64:Q71" si="106">P64</f>
        <v>1.4841</v>
      </c>
      <c r="R64" s="63">
        <f t="shared" ref="R64:S64" si="107">Q64</f>
        <v>1.4841</v>
      </c>
      <c r="S64" s="63">
        <f t="shared" si="107"/>
        <v>1.4841</v>
      </c>
      <c r="T64" s="47">
        <f t="shared" si="100"/>
        <v>1.4841</v>
      </c>
      <c r="U64" s="47">
        <f t="shared" si="101"/>
        <v>1.4841</v>
      </c>
      <c r="V64" s="47">
        <f t="shared" ref="V64:V70" si="108">T64</f>
        <v>1.4841</v>
      </c>
      <c r="W64" s="243"/>
      <c r="X64" s="63">
        <f t="shared" ref="X64:X72" si="109">P64</f>
        <v>1.4841</v>
      </c>
      <c r="Y64" s="63">
        <f t="shared" ref="Y64:Y72" si="110">Q64</f>
        <v>1.4841</v>
      </c>
      <c r="Z64" s="63">
        <f t="shared" ref="Z64:Z72" si="111">R64</f>
        <v>1.4841</v>
      </c>
      <c r="AA64" s="63">
        <f t="shared" ref="AA64:AA72" si="112">S64</f>
        <v>1.4841</v>
      </c>
      <c r="AB64" s="47">
        <f t="shared" si="103"/>
        <v>1.4841</v>
      </c>
      <c r="AC64" s="47">
        <f t="shared" si="104"/>
        <v>1.4841</v>
      </c>
      <c r="AD64" s="47">
        <f t="shared" ref="AD64:AD70" si="113">AB64</f>
        <v>1.4841</v>
      </c>
      <c r="AE64" s="243"/>
      <c r="AF64" s="243"/>
      <c r="AG64" s="243"/>
      <c r="AH64" s="243"/>
      <c r="AI64" s="243"/>
      <c r="AJ64" s="243"/>
      <c r="AK64" s="243"/>
      <c r="AL64" s="243"/>
      <c r="AM64" s="243"/>
      <c r="AN64" s="243"/>
      <c r="AO64" s="243"/>
      <c r="AP64" s="243"/>
      <c r="AQ64" s="243"/>
      <c r="AR64" s="243"/>
      <c r="AS64" s="243"/>
    </row>
    <row r="65" spans="1:46">
      <c r="A65" s="194" t="s">
        <v>16</v>
      </c>
      <c r="B65" s="194" t="s">
        <v>413</v>
      </c>
      <c r="C65" s="194" t="s">
        <v>422</v>
      </c>
      <c r="D65" s="194" t="s">
        <v>147</v>
      </c>
      <c r="F65" s="50">
        <f>[2]Calib_1011!$AC27</f>
        <v>2.5009999999999999</v>
      </c>
      <c r="G65" s="63">
        <f t="shared" si="93"/>
        <v>2.5009999999999999</v>
      </c>
      <c r="H65" s="63">
        <f t="shared" si="93"/>
        <v>2.5009999999999999</v>
      </c>
      <c r="I65" s="63">
        <f t="shared" si="93"/>
        <v>2.5009999999999999</v>
      </c>
      <c r="J65" s="63">
        <f t="shared" si="94"/>
        <v>2.5009999999999999</v>
      </c>
      <c r="K65" s="63">
        <f t="shared" si="95"/>
        <v>2.5009999999999999</v>
      </c>
      <c r="L65" s="63">
        <f t="shared" si="96"/>
        <v>2.5009999999999999</v>
      </c>
      <c r="M65" s="63">
        <f t="shared" si="97"/>
        <v>2.5009999999999999</v>
      </c>
      <c r="N65" s="63">
        <f t="shared" si="98"/>
        <v>2.5009999999999999</v>
      </c>
      <c r="O65" s="195"/>
      <c r="P65" s="63">
        <f>$G65</f>
        <v>2.5009999999999999</v>
      </c>
      <c r="Q65" s="63">
        <f t="shared" si="106"/>
        <v>2.5009999999999999</v>
      </c>
      <c r="R65" s="63">
        <f t="shared" ref="R65:S65" si="114">Q65</f>
        <v>2.5009999999999999</v>
      </c>
      <c r="S65" s="63">
        <f t="shared" si="114"/>
        <v>2.5009999999999999</v>
      </c>
      <c r="T65" s="47">
        <f t="shared" si="100"/>
        <v>2.5009999999999999</v>
      </c>
      <c r="U65" s="47">
        <f t="shared" si="101"/>
        <v>2.5009999999999999</v>
      </c>
      <c r="V65" s="47">
        <f t="shared" si="108"/>
        <v>2.5009999999999999</v>
      </c>
      <c r="W65" s="243"/>
      <c r="X65" s="63">
        <f t="shared" si="109"/>
        <v>2.5009999999999999</v>
      </c>
      <c r="Y65" s="63">
        <f t="shared" si="110"/>
        <v>2.5009999999999999</v>
      </c>
      <c r="Z65" s="63">
        <f t="shared" si="111"/>
        <v>2.5009999999999999</v>
      </c>
      <c r="AA65" s="63">
        <f t="shared" si="112"/>
        <v>2.5009999999999999</v>
      </c>
      <c r="AB65" s="47">
        <f t="shared" si="103"/>
        <v>2.5009999999999999</v>
      </c>
      <c r="AC65" s="47">
        <f t="shared" si="104"/>
        <v>2.5009999999999999</v>
      </c>
      <c r="AD65" s="47">
        <f t="shared" si="113"/>
        <v>2.5009999999999999</v>
      </c>
      <c r="AE65" s="243"/>
      <c r="AF65" s="243"/>
      <c r="AG65" s="243"/>
      <c r="AH65" s="243"/>
      <c r="AI65" s="243"/>
      <c r="AJ65" s="243"/>
      <c r="AK65" s="243"/>
      <c r="AL65" s="243"/>
      <c r="AM65" s="243"/>
      <c r="AN65" s="243"/>
      <c r="AO65" s="243"/>
      <c r="AP65" s="243"/>
      <c r="AQ65" s="243"/>
      <c r="AR65" s="243"/>
      <c r="AS65" s="243"/>
    </row>
    <row r="66" spans="1:46">
      <c r="A66" s="194" t="s">
        <v>16</v>
      </c>
      <c r="B66" s="194" t="s">
        <v>414</v>
      </c>
      <c r="C66" s="194" t="s">
        <v>423</v>
      </c>
      <c r="D66" s="194" t="s">
        <v>147</v>
      </c>
      <c r="F66" s="50">
        <f>[2]Calib_1011!$AC28</f>
        <v>5.0070955734014992</v>
      </c>
      <c r="G66" s="63">
        <f t="shared" si="93"/>
        <v>5.0070955734014992</v>
      </c>
      <c r="H66" s="63">
        <f t="shared" si="93"/>
        <v>5.0070955734014992</v>
      </c>
      <c r="I66" s="63">
        <f t="shared" si="93"/>
        <v>5.0070955734014992</v>
      </c>
      <c r="J66" s="63">
        <f t="shared" si="94"/>
        <v>5.0070955734014992</v>
      </c>
      <c r="K66" s="63">
        <f t="shared" si="95"/>
        <v>5.0070955734014992</v>
      </c>
      <c r="L66" s="63">
        <f t="shared" si="96"/>
        <v>5.0070955734014992</v>
      </c>
      <c r="M66" s="63">
        <f t="shared" si="97"/>
        <v>5.0070955734014992</v>
      </c>
      <c r="N66" s="63">
        <f t="shared" si="98"/>
        <v>5.0070955734014992</v>
      </c>
      <c r="O66" s="195"/>
      <c r="P66" s="63">
        <f t="shared" si="105"/>
        <v>5.0070955734014992</v>
      </c>
      <c r="Q66" s="63">
        <f t="shared" si="106"/>
        <v>5.0070955734014992</v>
      </c>
      <c r="R66" s="63">
        <f t="shared" ref="R66:S66" si="115">Q66</f>
        <v>5.0070955734014992</v>
      </c>
      <c r="S66" s="63">
        <f t="shared" si="115"/>
        <v>5.0070955734014992</v>
      </c>
      <c r="T66" s="47">
        <f t="shared" si="100"/>
        <v>5.0070955734014992</v>
      </c>
      <c r="U66" s="47">
        <f t="shared" si="101"/>
        <v>5.0070955734014992</v>
      </c>
      <c r="V66" s="47">
        <f t="shared" si="108"/>
        <v>5.0070955734014992</v>
      </c>
      <c r="W66" s="243"/>
      <c r="X66" s="63">
        <f t="shared" si="109"/>
        <v>5.0070955734014992</v>
      </c>
      <c r="Y66" s="63">
        <f t="shared" si="110"/>
        <v>5.0070955734014992</v>
      </c>
      <c r="Z66" s="63">
        <f t="shared" si="111"/>
        <v>5.0070955734014992</v>
      </c>
      <c r="AA66" s="63">
        <f t="shared" si="112"/>
        <v>5.0070955734014992</v>
      </c>
      <c r="AB66" s="47">
        <f t="shared" si="103"/>
        <v>5.0070955734014992</v>
      </c>
      <c r="AC66" s="47">
        <f t="shared" si="104"/>
        <v>5.0070955734014992</v>
      </c>
      <c r="AD66" s="47">
        <f t="shared" si="113"/>
        <v>5.0070955734014992</v>
      </c>
      <c r="AE66" s="243"/>
      <c r="AF66" s="243"/>
      <c r="AG66" s="243"/>
      <c r="AH66" s="243"/>
      <c r="AI66" s="243"/>
      <c r="AJ66" s="243"/>
      <c r="AK66" s="243"/>
      <c r="AL66" s="243"/>
      <c r="AM66" s="243"/>
      <c r="AN66" s="243"/>
      <c r="AO66" s="243"/>
      <c r="AP66" s="243"/>
      <c r="AQ66" s="243"/>
      <c r="AR66" s="243"/>
      <c r="AS66" s="243"/>
    </row>
    <row r="67" spans="1:46">
      <c r="A67" s="194" t="s">
        <v>16</v>
      </c>
      <c r="B67" s="194" t="s">
        <v>415</v>
      </c>
      <c r="C67" s="194" t="s">
        <v>424</v>
      </c>
      <c r="D67" s="194" t="s">
        <v>147</v>
      </c>
      <c r="F67" s="50">
        <f>[2]Calib_1011!$AC29</f>
        <v>7.9193584801965402</v>
      </c>
      <c r="G67" s="63">
        <f t="shared" si="93"/>
        <v>7.9193584801965402</v>
      </c>
      <c r="H67" s="63">
        <f t="shared" si="93"/>
        <v>7.9193584801965402</v>
      </c>
      <c r="I67" s="63">
        <f t="shared" si="93"/>
        <v>7.9193584801965402</v>
      </c>
      <c r="J67" s="63">
        <f t="shared" si="94"/>
        <v>7.9193584801965402</v>
      </c>
      <c r="K67" s="63">
        <f t="shared" si="95"/>
        <v>7.9193584801965402</v>
      </c>
      <c r="L67" s="63">
        <f t="shared" si="96"/>
        <v>7.9193584801965402</v>
      </c>
      <c r="M67" s="63">
        <f t="shared" si="97"/>
        <v>7.9193584801965402</v>
      </c>
      <c r="N67" s="63">
        <f t="shared" si="98"/>
        <v>7.9193584801965402</v>
      </c>
      <c r="O67" s="195"/>
      <c r="P67" s="63">
        <f t="shared" si="105"/>
        <v>7.9193584801965402</v>
      </c>
      <c r="Q67" s="63">
        <f t="shared" si="106"/>
        <v>7.9193584801965402</v>
      </c>
      <c r="R67" s="63">
        <f t="shared" ref="R67:S67" si="116">Q67</f>
        <v>7.9193584801965402</v>
      </c>
      <c r="S67" s="63">
        <f t="shared" si="116"/>
        <v>7.9193584801965402</v>
      </c>
      <c r="T67" s="47">
        <f t="shared" si="100"/>
        <v>7.9193584801965402</v>
      </c>
      <c r="U67" s="47">
        <f t="shared" si="101"/>
        <v>7.9193584801965402</v>
      </c>
      <c r="V67" s="47">
        <f t="shared" si="108"/>
        <v>7.9193584801965402</v>
      </c>
      <c r="W67" s="243"/>
      <c r="X67" s="63">
        <f t="shared" si="109"/>
        <v>7.9193584801965402</v>
      </c>
      <c r="Y67" s="63">
        <f t="shared" si="110"/>
        <v>7.9193584801965402</v>
      </c>
      <c r="Z67" s="63">
        <f t="shared" si="111"/>
        <v>7.9193584801965402</v>
      </c>
      <c r="AA67" s="63">
        <f t="shared" si="112"/>
        <v>7.9193584801965402</v>
      </c>
      <c r="AB67" s="47">
        <f t="shared" si="103"/>
        <v>7.9193584801965402</v>
      </c>
      <c r="AC67" s="47">
        <f t="shared" si="104"/>
        <v>7.9193584801965402</v>
      </c>
      <c r="AD67" s="47">
        <f t="shared" si="113"/>
        <v>7.9193584801965402</v>
      </c>
      <c r="AE67" s="243"/>
      <c r="AF67" s="243"/>
      <c r="AG67" s="243"/>
      <c r="AH67" s="243"/>
      <c r="AI67" s="243"/>
      <c r="AJ67" s="243"/>
      <c r="AK67" s="243"/>
      <c r="AL67" s="243"/>
      <c r="AM67" s="243"/>
      <c r="AN67" s="243"/>
      <c r="AO67" s="243"/>
      <c r="AP67" s="243"/>
      <c r="AQ67" s="243"/>
      <c r="AR67" s="243"/>
      <c r="AS67" s="243"/>
    </row>
    <row r="68" spans="1:46">
      <c r="A68" s="194" t="s">
        <v>16</v>
      </c>
      <c r="B68" s="194" t="s">
        <v>416</v>
      </c>
      <c r="C68" s="194" t="s">
        <v>425</v>
      </c>
      <c r="D68" s="194" t="s">
        <v>147</v>
      </c>
      <c r="F68" s="50">
        <f>[2]Calib_1011!$AC30</f>
        <v>10.886935146339562</v>
      </c>
      <c r="G68" s="63">
        <f t="shared" si="93"/>
        <v>10.886935146339562</v>
      </c>
      <c r="H68" s="63">
        <f t="shared" si="93"/>
        <v>10.886935146339562</v>
      </c>
      <c r="I68" s="63">
        <f t="shared" si="93"/>
        <v>10.886935146339562</v>
      </c>
      <c r="J68" s="63">
        <f t="shared" si="94"/>
        <v>10.886935146339562</v>
      </c>
      <c r="K68" s="63">
        <f t="shared" si="95"/>
        <v>10.886935146339562</v>
      </c>
      <c r="L68" s="63">
        <f t="shared" si="96"/>
        <v>10.886935146339562</v>
      </c>
      <c r="M68" s="63">
        <f t="shared" si="97"/>
        <v>10.886935146339562</v>
      </c>
      <c r="N68" s="63">
        <f t="shared" si="98"/>
        <v>10.886935146339562</v>
      </c>
      <c r="O68" s="195"/>
      <c r="P68" s="63">
        <f t="shared" si="105"/>
        <v>10.886935146339562</v>
      </c>
      <c r="Q68" s="63">
        <f t="shared" si="106"/>
        <v>10.886935146339562</v>
      </c>
      <c r="R68" s="63">
        <f t="shared" ref="R68:S68" si="117">Q68</f>
        <v>10.886935146339562</v>
      </c>
      <c r="S68" s="63">
        <f t="shared" si="117"/>
        <v>10.886935146339562</v>
      </c>
      <c r="T68" s="47">
        <f t="shared" si="100"/>
        <v>10.886935146339562</v>
      </c>
      <c r="U68" s="47">
        <f t="shared" si="101"/>
        <v>10.886935146339562</v>
      </c>
      <c r="V68" s="47">
        <f t="shared" si="108"/>
        <v>10.886935146339562</v>
      </c>
      <c r="W68" s="243"/>
      <c r="X68" s="63">
        <f t="shared" si="109"/>
        <v>10.886935146339562</v>
      </c>
      <c r="Y68" s="63">
        <f t="shared" si="110"/>
        <v>10.886935146339562</v>
      </c>
      <c r="Z68" s="63">
        <f t="shared" si="111"/>
        <v>10.886935146339562</v>
      </c>
      <c r="AA68" s="63">
        <f t="shared" si="112"/>
        <v>10.886935146339562</v>
      </c>
      <c r="AB68" s="47">
        <f t="shared" si="103"/>
        <v>10.886935146339562</v>
      </c>
      <c r="AC68" s="47">
        <f t="shared" si="104"/>
        <v>10.886935146339562</v>
      </c>
      <c r="AD68" s="47">
        <f t="shared" si="113"/>
        <v>10.886935146339562</v>
      </c>
      <c r="AE68" s="243"/>
      <c r="AF68" s="243"/>
      <c r="AG68" s="243"/>
      <c r="AH68" s="243"/>
      <c r="AI68" s="243"/>
      <c r="AJ68" s="243"/>
      <c r="AK68" s="243"/>
      <c r="AL68" s="243"/>
      <c r="AM68" s="243"/>
      <c r="AN68" s="243"/>
      <c r="AO68" s="243"/>
      <c r="AP68" s="243"/>
      <c r="AQ68" s="243"/>
      <c r="AR68" s="243"/>
      <c r="AS68" s="243"/>
    </row>
    <row r="69" spans="1:46">
      <c r="A69" s="194" t="s">
        <v>16</v>
      </c>
      <c r="B69" s="194" t="s">
        <v>417</v>
      </c>
      <c r="C69" s="194" t="s">
        <v>426</v>
      </c>
      <c r="D69" s="194" t="s">
        <v>147</v>
      </c>
      <c r="F69" s="50">
        <f>[2]Calib_1011!$AC31</f>
        <v>19.520776457571557</v>
      </c>
      <c r="G69" s="63">
        <f t="shared" si="93"/>
        <v>19.520776457571557</v>
      </c>
      <c r="H69" s="63">
        <f t="shared" si="93"/>
        <v>19.520776457571557</v>
      </c>
      <c r="I69" s="63">
        <v>19.520776457571557</v>
      </c>
      <c r="J69" s="63">
        <f t="shared" si="94"/>
        <v>19.520776457571557</v>
      </c>
      <c r="K69" s="63">
        <f t="shared" si="95"/>
        <v>19.520776457571557</v>
      </c>
      <c r="L69" s="63">
        <f t="shared" si="96"/>
        <v>19.520776457571557</v>
      </c>
      <c r="M69" s="63">
        <f t="shared" si="97"/>
        <v>19.520776457571557</v>
      </c>
      <c r="N69" s="63">
        <f t="shared" si="98"/>
        <v>19.520776457571557</v>
      </c>
      <c r="O69" s="195"/>
      <c r="P69" s="63">
        <f t="shared" si="105"/>
        <v>19.520776457571557</v>
      </c>
      <c r="Q69" s="63">
        <f t="shared" si="106"/>
        <v>19.520776457571557</v>
      </c>
      <c r="R69" s="63">
        <f t="shared" ref="R69:S69" si="118">Q69</f>
        <v>19.520776457571557</v>
      </c>
      <c r="S69" s="63">
        <f t="shared" si="118"/>
        <v>19.520776457571557</v>
      </c>
      <c r="T69" s="47">
        <f t="shared" si="100"/>
        <v>19.520776457571557</v>
      </c>
      <c r="U69" s="47">
        <f t="shared" si="101"/>
        <v>19.520776457571557</v>
      </c>
      <c r="V69" s="47">
        <f t="shared" si="108"/>
        <v>19.520776457571557</v>
      </c>
      <c r="W69" s="243"/>
      <c r="X69" s="63">
        <f t="shared" si="109"/>
        <v>19.520776457571557</v>
      </c>
      <c r="Y69" s="63">
        <f t="shared" si="110"/>
        <v>19.520776457571557</v>
      </c>
      <c r="Z69" s="63">
        <f t="shared" si="111"/>
        <v>19.520776457571557</v>
      </c>
      <c r="AA69" s="63">
        <f t="shared" si="112"/>
        <v>19.520776457571557</v>
      </c>
      <c r="AB69" s="47">
        <f t="shared" si="103"/>
        <v>19.520776457571557</v>
      </c>
      <c r="AC69" s="47">
        <f t="shared" si="104"/>
        <v>19.520776457571557</v>
      </c>
      <c r="AD69" s="47">
        <f t="shared" si="113"/>
        <v>19.520776457571557</v>
      </c>
      <c r="AE69" s="243"/>
      <c r="AF69" s="243"/>
      <c r="AG69" s="243"/>
      <c r="AH69" s="243"/>
      <c r="AI69" s="243"/>
      <c r="AJ69" s="243"/>
      <c r="AK69" s="243"/>
      <c r="AL69" s="243"/>
      <c r="AM69" s="243"/>
      <c r="AN69" s="243"/>
      <c r="AO69" s="243"/>
      <c r="AP69" s="243"/>
      <c r="AQ69" s="243"/>
      <c r="AR69" s="243"/>
      <c r="AS69" s="243"/>
    </row>
    <row r="70" spans="1:46">
      <c r="A70" s="194" t="s">
        <v>16</v>
      </c>
      <c r="B70" s="194" t="s">
        <v>418</v>
      </c>
      <c r="C70" s="194" t="s">
        <v>427</v>
      </c>
      <c r="D70" s="194" t="s">
        <v>147</v>
      </c>
      <c r="F70" s="50">
        <f>[2]Calib_1011!$AC32</f>
        <v>17.889918497338776</v>
      </c>
      <c r="G70" s="63">
        <f t="shared" si="93"/>
        <v>17.889918497338776</v>
      </c>
      <c r="H70" s="63">
        <f t="shared" si="93"/>
        <v>17.889918497338776</v>
      </c>
      <c r="I70" s="63">
        <f t="shared" si="93"/>
        <v>17.889918497338776</v>
      </c>
      <c r="J70" s="63">
        <f t="shared" si="94"/>
        <v>17.889918497338776</v>
      </c>
      <c r="K70" s="63">
        <f t="shared" si="95"/>
        <v>17.889918497338776</v>
      </c>
      <c r="L70" s="63">
        <f t="shared" si="96"/>
        <v>17.889918497338776</v>
      </c>
      <c r="M70" s="63">
        <f t="shared" si="97"/>
        <v>17.889918497338776</v>
      </c>
      <c r="N70" s="63">
        <f t="shared" si="98"/>
        <v>17.889918497338776</v>
      </c>
      <c r="O70" s="195"/>
      <c r="P70" s="63">
        <f t="shared" si="105"/>
        <v>17.889918497338776</v>
      </c>
      <c r="Q70" s="63">
        <f t="shared" si="106"/>
        <v>17.889918497338776</v>
      </c>
      <c r="R70" s="63">
        <f t="shared" ref="R70:S70" si="119">Q70</f>
        <v>17.889918497338776</v>
      </c>
      <c r="S70" s="63">
        <f t="shared" si="119"/>
        <v>17.889918497338776</v>
      </c>
      <c r="T70" s="47">
        <f t="shared" si="100"/>
        <v>17.889918497338776</v>
      </c>
      <c r="U70" s="47">
        <f t="shared" si="101"/>
        <v>17.889918497338776</v>
      </c>
      <c r="V70" s="47">
        <f t="shared" si="108"/>
        <v>17.889918497338776</v>
      </c>
      <c r="W70" s="243"/>
      <c r="X70" s="63">
        <f t="shared" si="109"/>
        <v>17.889918497338776</v>
      </c>
      <c r="Y70" s="63">
        <f t="shared" si="110"/>
        <v>17.889918497338776</v>
      </c>
      <c r="Z70" s="63">
        <f t="shared" si="111"/>
        <v>17.889918497338776</v>
      </c>
      <c r="AA70" s="63">
        <f t="shared" si="112"/>
        <v>17.889918497338776</v>
      </c>
      <c r="AB70" s="47">
        <f t="shared" si="103"/>
        <v>17.889918497338776</v>
      </c>
      <c r="AC70" s="47">
        <f t="shared" si="104"/>
        <v>17.889918497338776</v>
      </c>
      <c r="AD70" s="47">
        <f t="shared" si="113"/>
        <v>17.889918497338776</v>
      </c>
      <c r="AE70" s="243"/>
      <c r="AF70" s="243"/>
      <c r="AG70" s="243"/>
      <c r="AH70" s="243"/>
      <c r="AI70" s="243"/>
      <c r="AJ70" s="243"/>
      <c r="AK70" s="243"/>
      <c r="AL70" s="243"/>
      <c r="AM70" s="243"/>
      <c r="AN70" s="243"/>
      <c r="AO70" s="243"/>
      <c r="AP70" s="243"/>
      <c r="AQ70" s="243"/>
      <c r="AR70" s="243"/>
      <c r="AS70" s="243"/>
    </row>
    <row r="71" spans="1:46">
      <c r="A71" s="194" t="s">
        <v>16</v>
      </c>
      <c r="B71" s="194" t="s">
        <v>419</v>
      </c>
      <c r="C71" s="194" t="s">
        <v>428</v>
      </c>
      <c r="D71" s="194" t="s">
        <v>147</v>
      </c>
      <c r="F71" s="50">
        <f>[2]Calib_1011!$AC33</f>
        <v>18.402975262404723</v>
      </c>
      <c r="G71" s="63">
        <f t="shared" si="93"/>
        <v>18.402975262404723</v>
      </c>
      <c r="H71" s="63">
        <f t="shared" si="93"/>
        <v>18.402975262404723</v>
      </c>
      <c r="I71" s="63">
        <f t="shared" si="93"/>
        <v>18.402975262404723</v>
      </c>
      <c r="J71" s="63">
        <f t="shared" si="94"/>
        <v>18.402975262404723</v>
      </c>
      <c r="K71" s="63">
        <f t="shared" si="95"/>
        <v>18.402975262404723</v>
      </c>
      <c r="L71" s="63">
        <f t="shared" si="96"/>
        <v>18.402975262404723</v>
      </c>
      <c r="M71" s="63">
        <f t="shared" si="97"/>
        <v>18.402975262404723</v>
      </c>
      <c r="N71" s="63">
        <f t="shared" si="98"/>
        <v>18.402975262404723</v>
      </c>
      <c r="O71" s="195"/>
      <c r="P71" s="63">
        <f>$G71</f>
        <v>18.402975262404723</v>
      </c>
      <c r="Q71" s="63">
        <f t="shared" si="106"/>
        <v>18.402975262404723</v>
      </c>
      <c r="R71" s="63">
        <f t="shared" ref="R71:S71" si="120">Q71</f>
        <v>18.402975262404723</v>
      </c>
      <c r="S71" s="63">
        <f t="shared" si="120"/>
        <v>18.402975262404723</v>
      </c>
      <c r="T71" s="47">
        <f t="shared" si="100"/>
        <v>18.402975262404723</v>
      </c>
      <c r="U71" s="47">
        <f t="shared" si="101"/>
        <v>18.402975262404723</v>
      </c>
      <c r="V71" s="47">
        <f>T71</f>
        <v>18.402975262404723</v>
      </c>
      <c r="W71" s="243"/>
      <c r="X71" s="63">
        <f t="shared" si="109"/>
        <v>18.402975262404723</v>
      </c>
      <c r="Y71" s="63">
        <f t="shared" si="110"/>
        <v>18.402975262404723</v>
      </c>
      <c r="Z71" s="63">
        <f t="shared" si="111"/>
        <v>18.402975262404723</v>
      </c>
      <c r="AA71" s="63">
        <f t="shared" si="112"/>
        <v>18.402975262404723</v>
      </c>
      <c r="AB71" s="47">
        <f t="shared" si="103"/>
        <v>18.402975262404723</v>
      </c>
      <c r="AC71" s="47">
        <f t="shared" si="104"/>
        <v>18.402975262404723</v>
      </c>
      <c r="AD71" s="47">
        <f>AB71</f>
        <v>18.402975262404723</v>
      </c>
      <c r="AE71" s="243"/>
      <c r="AF71" s="243"/>
      <c r="AG71" s="243"/>
      <c r="AH71" s="243"/>
      <c r="AI71" s="243"/>
      <c r="AJ71" s="243"/>
      <c r="AK71" s="243"/>
      <c r="AL71" s="243"/>
      <c r="AM71" s="243"/>
      <c r="AN71" s="243"/>
      <c r="AO71" s="243"/>
      <c r="AP71" s="243"/>
      <c r="AQ71" s="243"/>
      <c r="AR71" s="243"/>
      <c r="AS71" s="243"/>
    </row>
    <row r="72" spans="1:46">
      <c r="A72" s="194" t="s">
        <v>16</v>
      </c>
      <c r="B72" s="194" t="s">
        <v>420</v>
      </c>
      <c r="C72" s="194" t="s">
        <v>429</v>
      </c>
      <c r="D72" s="194" t="s">
        <v>147</v>
      </c>
      <c r="F72" s="50">
        <f>[2]Calib_1011!$AC34</f>
        <v>21.907017031495844</v>
      </c>
      <c r="G72" s="63">
        <f>F72</f>
        <v>21.907017031495844</v>
      </c>
      <c r="H72" s="63">
        <f t="shared" si="93"/>
        <v>21.907017031495844</v>
      </c>
      <c r="I72" s="63">
        <f t="shared" si="93"/>
        <v>21.907017031495844</v>
      </c>
      <c r="J72" s="63">
        <f t="shared" si="94"/>
        <v>21.907017031495844</v>
      </c>
      <c r="K72" s="63">
        <f t="shared" si="95"/>
        <v>21.907017031495844</v>
      </c>
      <c r="L72" s="63">
        <f t="shared" si="96"/>
        <v>21.907017031495844</v>
      </c>
      <c r="M72" s="63">
        <f t="shared" si="97"/>
        <v>21.907017031495844</v>
      </c>
      <c r="N72" s="63">
        <f t="shared" si="98"/>
        <v>21.907017031495844</v>
      </c>
      <c r="O72" s="195"/>
      <c r="P72" s="63">
        <f>$G72</f>
        <v>21.907017031495844</v>
      </c>
      <c r="Q72" s="63">
        <f>P72</f>
        <v>21.907017031495844</v>
      </c>
      <c r="R72" s="63">
        <f t="shared" ref="R72:S72" si="121">Q72</f>
        <v>21.907017031495844</v>
      </c>
      <c r="S72" s="63">
        <f t="shared" si="121"/>
        <v>21.907017031495844</v>
      </c>
      <c r="T72" s="47">
        <f t="shared" si="100"/>
        <v>21.907017031495844</v>
      </c>
      <c r="U72" s="47">
        <f t="shared" si="101"/>
        <v>21.907017031495844</v>
      </c>
      <c r="V72" s="47">
        <f>T72</f>
        <v>21.907017031495844</v>
      </c>
      <c r="W72" s="243"/>
      <c r="X72" s="63">
        <f t="shared" si="109"/>
        <v>21.907017031495844</v>
      </c>
      <c r="Y72" s="63">
        <f t="shared" si="110"/>
        <v>21.907017031495844</v>
      </c>
      <c r="Z72" s="63">
        <f t="shared" si="111"/>
        <v>21.907017031495844</v>
      </c>
      <c r="AA72" s="63">
        <f t="shared" si="112"/>
        <v>21.907017031495844</v>
      </c>
      <c r="AB72" s="47">
        <f t="shared" si="103"/>
        <v>21.907017031495844</v>
      </c>
      <c r="AC72" s="47">
        <f t="shared" si="104"/>
        <v>21.907017031495844</v>
      </c>
      <c r="AD72" s="47">
        <f>AB72</f>
        <v>21.907017031495844</v>
      </c>
      <c r="AE72" s="243"/>
      <c r="AF72" s="243"/>
      <c r="AG72" s="243"/>
      <c r="AH72" s="243"/>
      <c r="AI72" s="243"/>
      <c r="AJ72" s="243"/>
      <c r="AK72" s="243"/>
      <c r="AL72" s="243"/>
      <c r="AM72" s="243"/>
      <c r="AN72" s="243"/>
      <c r="AO72" s="243"/>
      <c r="AP72" s="243"/>
      <c r="AQ72" s="243"/>
      <c r="AR72" s="243"/>
      <c r="AS72" s="243"/>
    </row>
    <row r="73" spans="1:46">
      <c r="A73" s="194" t="s">
        <v>16</v>
      </c>
      <c r="P73" s="63">
        <f>SUM(P86:P88)/P89</f>
        <v>0.42007695406549039</v>
      </c>
      <c r="Q73" s="63"/>
      <c r="R73" s="63"/>
      <c r="S73" s="63"/>
    </row>
    <row r="74" spans="1:46">
      <c r="A74" s="194" t="s">
        <v>16</v>
      </c>
      <c r="P74" s="5" t="s">
        <v>41</v>
      </c>
      <c r="X74" s="5" t="s">
        <v>197</v>
      </c>
      <c r="AI74" s="194" t="s">
        <v>476</v>
      </c>
    </row>
    <row r="75" spans="1:46" ht="15.75" thickBot="1">
      <c r="A75" s="194" t="s">
        <v>16</v>
      </c>
      <c r="B75" s="14" t="s">
        <v>210</v>
      </c>
      <c r="C75" s="14"/>
      <c r="D75" s="14"/>
      <c r="E75" s="270" t="s">
        <v>632</v>
      </c>
      <c r="F75" s="194">
        <f t="shared" ref="F75:K75" si="122">F$4</f>
        <v>2012</v>
      </c>
      <c r="G75" s="194">
        <f t="shared" si="122"/>
        <v>2015</v>
      </c>
      <c r="H75" s="194">
        <f t="shared" si="122"/>
        <v>2017</v>
      </c>
      <c r="I75" s="293">
        <f t="shared" si="122"/>
        <v>2019</v>
      </c>
      <c r="J75" s="293">
        <f t="shared" si="122"/>
        <v>2020</v>
      </c>
      <c r="K75" s="293">
        <f t="shared" si="122"/>
        <v>2021</v>
      </c>
      <c r="L75" s="194">
        <f>L$4</f>
        <v>2030</v>
      </c>
      <c r="M75" s="194">
        <f>M$4</f>
        <v>2040</v>
      </c>
      <c r="N75" s="194">
        <f>N$4</f>
        <v>2050</v>
      </c>
      <c r="P75" s="7">
        <f t="shared" ref="P75:T75" si="123">P$4</f>
        <v>2015</v>
      </c>
      <c r="Q75" s="7">
        <f t="shared" si="123"/>
        <v>2019</v>
      </c>
      <c r="R75" s="7">
        <f t="shared" si="123"/>
        <v>2020</v>
      </c>
      <c r="S75" s="7">
        <f t="shared" si="123"/>
        <v>2021</v>
      </c>
      <c r="T75" s="7">
        <f t="shared" si="123"/>
        <v>2030</v>
      </c>
      <c r="U75" s="7">
        <f>U$4</f>
        <v>2040</v>
      </c>
      <c r="V75" s="7">
        <f>V$4</f>
        <v>2050</v>
      </c>
      <c r="W75" s="194">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633</v>
      </c>
    </row>
    <row r="76" spans="1:46">
      <c r="A76" s="194" t="s">
        <v>16</v>
      </c>
      <c r="B76" s="195" t="str">
        <f>B92</f>
        <v>TFLCV</v>
      </c>
      <c r="C76" s="195" t="str">
        <f>C92</f>
        <v>Transport Freight - LCV</v>
      </c>
      <c r="D76" s="194" t="s">
        <v>149</v>
      </c>
      <c r="E76" s="271">
        <v>21.7</v>
      </c>
      <c r="F76" s="244">
        <f>F63*F92</f>
        <v>17.151878492126293</v>
      </c>
      <c r="G76" s="244">
        <f t="shared" ref="G76:H76" si="125">G63*G92</f>
        <v>17.664096000000001</v>
      </c>
      <c r="H76" s="244">
        <f t="shared" si="125"/>
        <v>18.039187972530819</v>
      </c>
      <c r="I76" s="244">
        <f t="shared" ref="I76:N85" si="126">I63*I92</f>
        <v>18.474728708006445</v>
      </c>
      <c r="J76" s="244">
        <f t="shared" si="126"/>
        <v>17.381664585844597</v>
      </c>
      <c r="K76" s="244">
        <f>K63*K92</f>
        <v>17.672226072169018</v>
      </c>
      <c r="L76" s="244">
        <f t="shared" si="126"/>
        <v>20.48244861471408</v>
      </c>
      <c r="M76" s="244">
        <f t="shared" si="126"/>
        <v>25.633401816400351</v>
      </c>
      <c r="N76" s="244">
        <f t="shared" si="126"/>
        <v>33.146544753796483</v>
      </c>
      <c r="O76" s="8"/>
      <c r="P76" s="244">
        <f>P43</f>
        <v>17.976210697254331</v>
      </c>
      <c r="Q76" s="244">
        <f t="shared" ref="Q76:V76" si="127">Q43</f>
        <v>18.474728708006445</v>
      </c>
      <c r="R76" s="244">
        <f t="shared" si="127"/>
        <v>17.381664585844597</v>
      </c>
      <c r="S76" s="244">
        <f t="shared" si="127"/>
        <v>17.672226072169018</v>
      </c>
      <c r="T76" s="244">
        <f t="shared" si="127"/>
        <v>20.48244861471408</v>
      </c>
      <c r="U76" s="244">
        <f t="shared" si="127"/>
        <v>25.633401816400347</v>
      </c>
      <c r="V76" s="244">
        <f t="shared" si="127"/>
        <v>33.146544753796483</v>
      </c>
      <c r="W76" s="8"/>
      <c r="X76" s="244">
        <f>X43</f>
        <v>17.976210697254331</v>
      </c>
      <c r="Y76" s="244">
        <f>Y43</f>
        <v>18.474728708006445</v>
      </c>
      <c r="Z76" s="244">
        <f t="shared" ref="Z76:AD76" si="128">Z43</f>
        <v>17.381664585844597</v>
      </c>
      <c r="AA76" s="244">
        <f t="shared" si="128"/>
        <v>17.672226072169018</v>
      </c>
      <c r="AB76" s="244">
        <f t="shared" si="128"/>
        <v>20.48244861471408</v>
      </c>
      <c r="AC76" s="244">
        <f t="shared" si="128"/>
        <v>25.633401816400347</v>
      </c>
      <c r="AD76" s="244">
        <f t="shared" si="128"/>
        <v>33.146544753796483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94" t="s">
        <v>16</v>
      </c>
      <c r="B77" s="195" t="str">
        <f t="shared" ref="B77:C88" si="129">B93</f>
        <v>TFHCV1</v>
      </c>
      <c r="C77" s="195" t="str">
        <f t="shared" si="129"/>
        <v>Transport Freight - HCV1</v>
      </c>
      <c r="D77" s="194" t="s">
        <v>149</v>
      </c>
      <c r="E77" s="271">
        <v>7</v>
      </c>
      <c r="F77" s="244">
        <f t="shared" ref="F77:H77" si="130">F64*F93</f>
        <v>4.9123710000000003</v>
      </c>
      <c r="G77" s="244">
        <f t="shared" si="130"/>
        <v>5.0459399999999999</v>
      </c>
      <c r="H77" s="244">
        <f t="shared" si="130"/>
        <v>5.1201449999999999</v>
      </c>
      <c r="I77" s="244">
        <f t="shared" si="126"/>
        <v>5.2912409319912115</v>
      </c>
      <c r="J77" s="244">
        <f t="shared" si="126"/>
        <v>4.9781827152301004</v>
      </c>
      <c r="K77" s="244">
        <f t="shared" si="126"/>
        <v>5.0614007615678354</v>
      </c>
      <c r="L77" s="244">
        <f t="shared" si="126"/>
        <v>5.8662604582991227</v>
      </c>
      <c r="M77" s="244">
        <f t="shared" si="126"/>
        <v>7.3415153781574043</v>
      </c>
      <c r="N77" s="244">
        <f t="shared" si="126"/>
        <v>9.4933114920036061</v>
      </c>
      <c r="O77" s="8"/>
      <c r="P77" s="244">
        <f>P46</f>
        <v>5.1484632519767128</v>
      </c>
      <c r="Q77" s="244">
        <f t="shared" ref="Q77:V77" si="131">Q46</f>
        <v>5.2912409319912115</v>
      </c>
      <c r="R77" s="244">
        <f t="shared" si="131"/>
        <v>4.9781827152301004</v>
      </c>
      <c r="S77" s="244">
        <f t="shared" si="131"/>
        <v>5.0618873580717327</v>
      </c>
      <c r="T77" s="244">
        <f t="shared" si="131"/>
        <v>5.8662604582991227</v>
      </c>
      <c r="U77" s="244">
        <f t="shared" si="131"/>
        <v>7.3415153781574052</v>
      </c>
      <c r="V77" s="244">
        <f t="shared" si="131"/>
        <v>9.4933114920036061</v>
      </c>
      <c r="W77" s="8"/>
      <c r="X77" s="244">
        <f>X46</f>
        <v>5.1484632519767128</v>
      </c>
      <c r="Y77" s="244">
        <f>Y46</f>
        <v>5.2912409319912115</v>
      </c>
      <c r="Z77" s="244">
        <f t="shared" ref="Z77:AD77" si="132">Z46</f>
        <v>4.9781827152301004</v>
      </c>
      <c r="AA77" s="244">
        <f t="shared" si="132"/>
        <v>5.0618873580717327</v>
      </c>
      <c r="AB77" s="244">
        <f t="shared" si="132"/>
        <v>5.5729474353841661</v>
      </c>
      <c r="AC77" s="244">
        <f t="shared" si="132"/>
        <v>6.6257176287870569</v>
      </c>
      <c r="AD77" s="244">
        <f t="shared" si="132"/>
        <v>8.1393279404565906</v>
      </c>
      <c r="AI77" s="194" t="s">
        <v>596</v>
      </c>
      <c r="AJ77" s="195">
        <f>SUM(P78:P85)</f>
        <v>158.22499058340168</v>
      </c>
      <c r="AK77" s="195">
        <f>SUM(R78:R85)</f>
        <v>152.99184915757431</v>
      </c>
      <c r="AL77" s="195">
        <f>SUM(T78:T85)</f>
        <v>180.28467143429438</v>
      </c>
      <c r="AM77" s="195">
        <f>SUM(U78:U85)</f>
        <v>225.62289846991968</v>
      </c>
      <c r="AN77" s="195">
        <f>SUM(V78:V85)</f>
        <v>291.75290720990546</v>
      </c>
      <c r="AO77" s="195"/>
      <c r="AP77" s="195">
        <f>SUM(G78:G85)</f>
        <v>173.33384904646832</v>
      </c>
      <c r="AQ77" s="195">
        <f>SUM(J78:J85)</f>
        <v>152.99184915757431</v>
      </c>
      <c r="AR77" s="195">
        <f>SUM(L78:L85)</f>
        <v>180.28467143429438</v>
      </c>
      <c r="AS77" s="195">
        <f>SUM(M78:M85)</f>
        <v>225.62289846991968</v>
      </c>
      <c r="AT77" s="195">
        <f>SUM(N78:N85)</f>
        <v>291.75290720990546</v>
      </c>
    </row>
    <row r="78" spans="1:46">
      <c r="A78" s="194" t="s">
        <v>16</v>
      </c>
      <c r="B78" s="195" t="str">
        <f t="shared" si="129"/>
        <v>TFHCV2</v>
      </c>
      <c r="C78" s="195" t="str">
        <f t="shared" si="129"/>
        <v>Transport Freight - HCV2</v>
      </c>
      <c r="D78" s="194" t="s">
        <v>149</v>
      </c>
      <c r="E78" s="271">
        <v>2.011130021669262</v>
      </c>
      <c r="F78" s="244">
        <f t="shared" ref="F78:H78" si="133">F65*F94</f>
        <v>1.637614669131271</v>
      </c>
      <c r="G78" s="244">
        <f t="shared" si="133"/>
        <v>1.7610152149444733</v>
      </c>
      <c r="H78" s="244">
        <f t="shared" si="133"/>
        <v>1.8407596050545592</v>
      </c>
      <c r="I78" s="244">
        <f t="shared" si="126"/>
        <v>1.7639168067999393</v>
      </c>
      <c r="J78" s="244">
        <f t="shared" si="126"/>
        <v>1.6595540198565117</v>
      </c>
      <c r="K78" s="244">
        <f t="shared" si="126"/>
        <v>1.6872960396304906</v>
      </c>
      <c r="L78" s="244">
        <f t="shared" si="126"/>
        <v>1.9556084382583021</v>
      </c>
      <c r="M78" s="244">
        <f t="shared" si="126"/>
        <v>2.4474074284949929</v>
      </c>
      <c r="N78" s="244">
        <f t="shared" si="126"/>
        <v>3.1647418645573753</v>
      </c>
      <c r="O78" s="8"/>
      <c r="P78" s="244">
        <f>P51</f>
        <v>1.7163196641541021</v>
      </c>
      <c r="Q78" s="244">
        <f t="shared" ref="Q78:V78" si="134">Q51</f>
        <v>1.7639150720127121</v>
      </c>
      <c r="R78" s="244">
        <f t="shared" si="134"/>
        <v>1.6595540198565115</v>
      </c>
      <c r="S78" s="244">
        <f t="shared" si="134"/>
        <v>1.6874565944917681</v>
      </c>
      <c r="T78" s="244">
        <f t="shared" si="134"/>
        <v>1.9556084382583021</v>
      </c>
      <c r="U78" s="244">
        <f t="shared" si="134"/>
        <v>2.4474074284949929</v>
      </c>
      <c r="V78" s="244">
        <f t="shared" si="134"/>
        <v>3.1647418645573753</v>
      </c>
      <c r="W78" s="8"/>
      <c r="X78" s="244">
        <f>X51</f>
        <v>1.7163196641541021</v>
      </c>
      <c r="Y78" s="244">
        <f>Y51</f>
        <v>1.7639150720127121</v>
      </c>
      <c r="Z78" s="244">
        <f t="shared" ref="Z78:AD78" si="135">Z51</f>
        <v>1.6595540198565115</v>
      </c>
      <c r="AA78" s="244">
        <f t="shared" si="135"/>
        <v>1.6874565944917681</v>
      </c>
      <c r="AB78" s="244">
        <f t="shared" si="135"/>
        <v>1.8578280163453871</v>
      </c>
      <c r="AC78" s="244">
        <f t="shared" si="135"/>
        <v>2.2087852042167313</v>
      </c>
      <c r="AD78" s="244">
        <f t="shared" si="135"/>
        <v>2.7133705561248793</v>
      </c>
      <c r="AI78" s="194" t="s">
        <v>631</v>
      </c>
      <c r="AJ78" s="195">
        <f>P86</f>
        <v>23.057336578097942</v>
      </c>
      <c r="AK78" s="195">
        <f>R86</f>
        <v>22.294737049596232</v>
      </c>
      <c r="AL78" s="195">
        <f>T86</f>
        <v>26.271983545742081</v>
      </c>
      <c r="AM78" s="195">
        <f>U86</f>
        <v>32.878896630458648</v>
      </c>
      <c r="AN78" s="195">
        <f>V86</f>
        <v>42.515692081090613</v>
      </c>
      <c r="AO78" s="195"/>
      <c r="AP78" s="195">
        <f>H86</f>
        <v>23.440803697006192</v>
      </c>
      <c r="AQ78" s="195">
        <f>J86</f>
        <v>22.294737049596232</v>
      </c>
      <c r="AR78" s="195">
        <f>L86</f>
        <v>26.271983545742081</v>
      </c>
      <c r="AS78" s="195">
        <f>M86</f>
        <v>32.878896630458648</v>
      </c>
      <c r="AT78" s="195">
        <f>N86</f>
        <v>42.515692081090613</v>
      </c>
    </row>
    <row r="79" spans="1:46">
      <c r="A79" s="194" t="s">
        <v>16</v>
      </c>
      <c r="B79" s="195" t="str">
        <f t="shared" si="129"/>
        <v>TFHCV3</v>
      </c>
      <c r="C79" s="195" t="str">
        <f t="shared" si="129"/>
        <v>Transport Freight - HCV3</v>
      </c>
      <c r="D79" s="194" t="s">
        <v>149</v>
      </c>
      <c r="E79" s="271">
        <v>16.207267472028231</v>
      </c>
      <c r="F79" s="244">
        <f t="shared" ref="F79:H79" si="136">F66*F95</f>
        <v>13.576270721867905</v>
      </c>
      <c r="G79" s="244">
        <f t="shared" si="136"/>
        <v>14.520577162864347</v>
      </c>
      <c r="H79" s="244">
        <f t="shared" si="136"/>
        <v>15.174488450030418</v>
      </c>
      <c r="I79" s="244">
        <f t="shared" si="126"/>
        <v>14.623349772918479</v>
      </c>
      <c r="J79" s="244">
        <f t="shared" si="126"/>
        <v>13.758153902644418</v>
      </c>
      <c r="K79" s="244">
        <f t="shared" si="126"/>
        <v>13.988142787039763</v>
      </c>
      <c r="L79" s="244">
        <f t="shared" si="126"/>
        <v>16.212525500793355</v>
      </c>
      <c r="M79" s="244">
        <f t="shared" si="126"/>
        <v>20.289672804155341</v>
      </c>
      <c r="N79" s="244">
        <f t="shared" si="126"/>
        <v>26.236570255475549</v>
      </c>
      <c r="O79" s="8"/>
      <c r="P79" s="244">
        <f t="shared" ref="P79:P85" si="137">P52</f>
        <v>14.22875652315842</v>
      </c>
      <c r="Q79" s="244">
        <f t="shared" ref="Q79:V79" si="138">Q52</f>
        <v>14.623335391060838</v>
      </c>
      <c r="R79" s="244">
        <f t="shared" si="138"/>
        <v>13.758153902644418</v>
      </c>
      <c r="S79" s="244">
        <f t="shared" si="138"/>
        <v>13.989473830479653</v>
      </c>
      <c r="T79" s="244">
        <f t="shared" si="138"/>
        <v>16.212525500793355</v>
      </c>
      <c r="U79" s="244">
        <f t="shared" si="138"/>
        <v>20.289672804155337</v>
      </c>
      <c r="V79" s="244">
        <f t="shared" si="138"/>
        <v>26.236570255475549</v>
      </c>
      <c r="W79" s="8"/>
      <c r="X79" s="244">
        <f t="shared" ref="X79:X85" si="139">X52</f>
        <v>14.22875652315842</v>
      </c>
      <c r="Y79" s="244">
        <f t="shared" ref="Y79:AD79" si="140">Y52</f>
        <v>14.623335391060838</v>
      </c>
      <c r="Z79" s="244">
        <f t="shared" si="140"/>
        <v>13.758153902644418</v>
      </c>
      <c r="AA79" s="244">
        <f t="shared" si="140"/>
        <v>13.989473830479653</v>
      </c>
      <c r="AB79" s="244">
        <f t="shared" si="140"/>
        <v>15.401899225753688</v>
      </c>
      <c r="AC79" s="244">
        <f t="shared" si="140"/>
        <v>18.311429705750189</v>
      </c>
      <c r="AD79" s="244">
        <f t="shared" si="140"/>
        <v>22.494579422788345</v>
      </c>
      <c r="AI79" s="195"/>
    </row>
    <row r="80" spans="1:46">
      <c r="A80" s="194" t="s">
        <v>16</v>
      </c>
      <c r="B80" s="195" t="str">
        <f t="shared" si="129"/>
        <v>TFHCV4</v>
      </c>
      <c r="C80" s="195" t="str">
        <f t="shared" si="129"/>
        <v>Transport Freight - HCV4</v>
      </c>
      <c r="D80" s="194" t="s">
        <v>149</v>
      </c>
      <c r="E80" s="271">
        <v>5.3871747310586002</v>
      </c>
      <c r="F80" s="244">
        <f t="shared" ref="F80:H80" si="141">F67*F96</f>
        <v>4.515932780515814</v>
      </c>
      <c r="G80" s="244">
        <f t="shared" si="141"/>
        <v>4.2489873256924318</v>
      </c>
      <c r="H80" s="244">
        <f t="shared" si="141"/>
        <v>4.3066025770402403</v>
      </c>
      <c r="I80" s="244">
        <f t="shared" si="126"/>
        <v>4.864227147010304</v>
      </c>
      <c r="J80" s="244">
        <f t="shared" si="126"/>
        <v>4.5764333579660059</v>
      </c>
      <c r="K80" s="244">
        <f t="shared" si="126"/>
        <v>4.6529355405957507</v>
      </c>
      <c r="L80" s="244">
        <f t="shared" si="126"/>
        <v>5.3928414410631289</v>
      </c>
      <c r="M80" s="244">
        <f t="shared" si="126"/>
        <v>6.7490403218490576</v>
      </c>
      <c r="N80" s="244">
        <f t="shared" si="126"/>
        <v>8.7271821616051746</v>
      </c>
      <c r="O80" s="8"/>
      <c r="P80" s="244">
        <f t="shared" si="137"/>
        <v>4.7329719129281322</v>
      </c>
      <c r="Q80" s="244">
        <f t="shared" ref="Q80:V80" si="142">Q53</f>
        <v>4.8642223631117147</v>
      </c>
      <c r="R80" s="244">
        <f t="shared" si="142"/>
        <v>4.5764333579660059</v>
      </c>
      <c r="S80" s="244">
        <f t="shared" si="142"/>
        <v>4.6533782912469155</v>
      </c>
      <c r="T80" s="244">
        <f t="shared" si="142"/>
        <v>5.3928414410631289</v>
      </c>
      <c r="U80" s="244">
        <f t="shared" si="142"/>
        <v>6.7490403218490576</v>
      </c>
      <c r="V80" s="244">
        <f t="shared" si="142"/>
        <v>8.7271821616051746</v>
      </c>
      <c r="W80" s="8"/>
      <c r="X80" s="244">
        <f t="shared" si="139"/>
        <v>4.7329719129281322</v>
      </c>
      <c r="Y80" s="244">
        <f t="shared" ref="Y80:AD80" si="143">Y53</f>
        <v>4.8642223631117147</v>
      </c>
      <c r="Z80" s="244">
        <f t="shared" si="143"/>
        <v>4.5764333579660059</v>
      </c>
      <c r="AA80" s="244">
        <f t="shared" si="143"/>
        <v>4.6533782912469155</v>
      </c>
      <c r="AB80" s="244">
        <f t="shared" si="143"/>
        <v>5.1231993690099724</v>
      </c>
      <c r="AC80" s="244">
        <f t="shared" si="143"/>
        <v>6.0910088904687738</v>
      </c>
      <c r="AD80" s="244">
        <f t="shared" si="143"/>
        <v>7.4824678058062357</v>
      </c>
      <c r="AI80" s="195" t="s">
        <v>475</v>
      </c>
      <c r="AJ80" s="195">
        <f>SUM(AJ77:AJ78)</f>
        <v>181.28232716149961</v>
      </c>
      <c r="AK80" s="195">
        <f>SUM(AK77:AK78)</f>
        <v>175.28658620717053</v>
      </c>
      <c r="AL80" s="195">
        <f>SUM(AL77:AL78)</f>
        <v>206.55665498003646</v>
      </c>
      <c r="AM80" s="195">
        <f>SUM(AM77:AM78)</f>
        <v>258.50179510037833</v>
      </c>
      <c r="AN80" s="195">
        <f>SUM(AN77:AN78)</f>
        <v>334.26859929099606</v>
      </c>
      <c r="AO80" s="195"/>
      <c r="AP80" s="195">
        <f>SUM(AP77:AP78)</f>
        <v>196.77465274347452</v>
      </c>
      <c r="AQ80" s="195">
        <f>SUM(AQ77:AQ78)</f>
        <v>175.28658620717053</v>
      </c>
      <c r="AR80" s="195">
        <f>SUM(AR77:AR78)</f>
        <v>206.55665498003646</v>
      </c>
      <c r="AS80" s="195">
        <f>SUM(AS77:AS78)</f>
        <v>258.50179510037833</v>
      </c>
      <c r="AT80" s="195">
        <f>SUM(AT77:AT78)</f>
        <v>334.26859929099606</v>
      </c>
    </row>
    <row r="81" spans="1:46">
      <c r="A81" s="194" t="s">
        <v>16</v>
      </c>
      <c r="B81" s="195" t="str">
        <f t="shared" si="129"/>
        <v>TFHCV5</v>
      </c>
      <c r="C81" s="195" t="str">
        <f t="shared" si="129"/>
        <v>Transport Freight - HCV5</v>
      </c>
      <c r="D81" s="194" t="s">
        <v>149</v>
      </c>
      <c r="E81" s="271">
        <v>3.9725286670479121</v>
      </c>
      <c r="F81" s="244">
        <f t="shared" ref="F81:H81" si="144">F68*F97</f>
        <v>2.9750185434856067</v>
      </c>
      <c r="G81" s="244">
        <f t="shared" si="144"/>
        <v>3.1102185642863693</v>
      </c>
      <c r="H81" s="244">
        <f t="shared" si="144"/>
        <v>3.1523923845431949</v>
      </c>
      <c r="I81" s="244">
        <f t="shared" si="126"/>
        <v>3.2044688584644594</v>
      </c>
      <c r="J81" s="244">
        <f t="shared" si="126"/>
        <v>3.0148752793038378</v>
      </c>
      <c r="K81" s="244">
        <f t="shared" si="126"/>
        <v>3.0652735963298534</v>
      </c>
      <c r="L81" s="244">
        <f t="shared" si="126"/>
        <v>3.552710828305977</v>
      </c>
      <c r="M81" s="244">
        <f t="shared" si="126"/>
        <v>4.4461512347709542</v>
      </c>
      <c r="N81" s="244">
        <f t="shared" si="126"/>
        <v>5.7493169241076743</v>
      </c>
      <c r="O81" s="8"/>
      <c r="P81" s="244">
        <f t="shared" si="137"/>
        <v>3.1180001765104728</v>
      </c>
      <c r="Q81" s="244">
        <f t="shared" ref="Q81:V81" si="145">Q54</f>
        <v>3.2044657069146676</v>
      </c>
      <c r="R81" s="244">
        <f t="shared" si="145"/>
        <v>3.0148752793038378</v>
      </c>
      <c r="S81" s="244">
        <f t="shared" si="145"/>
        <v>3.0655652728142861</v>
      </c>
      <c r="T81" s="244">
        <f t="shared" si="145"/>
        <v>3.552710828305977</v>
      </c>
      <c r="U81" s="244">
        <f t="shared" si="145"/>
        <v>4.4461512347709542</v>
      </c>
      <c r="V81" s="244">
        <f t="shared" si="145"/>
        <v>5.7493169241076743</v>
      </c>
      <c r="W81" s="8"/>
      <c r="X81" s="244">
        <f t="shared" si="139"/>
        <v>3.1180001765104728</v>
      </c>
      <c r="Y81" s="244">
        <f t="shared" ref="Y81:AD81" si="146">Y54</f>
        <v>3.2044657069146676</v>
      </c>
      <c r="Z81" s="244">
        <f t="shared" si="146"/>
        <v>3.0148752793038378</v>
      </c>
      <c r="AA81" s="244">
        <f t="shared" si="146"/>
        <v>3.0655652728142861</v>
      </c>
      <c r="AB81" s="244">
        <f t="shared" si="146"/>
        <v>3.3750752868906782</v>
      </c>
      <c r="AC81" s="244">
        <f t="shared" si="146"/>
        <v>4.0126514893807856</v>
      </c>
      <c r="AD81" s="244">
        <f t="shared" si="146"/>
        <v>4.9293205978068171</v>
      </c>
      <c r="AE81" s="195"/>
      <c r="AF81" s="195"/>
      <c r="AG81" s="195"/>
      <c r="AH81" s="195"/>
      <c r="AI81" s="194" t="s">
        <v>474</v>
      </c>
      <c r="AJ81" s="199">
        <f>AJ78/AJ80</f>
        <v>0.12719020623315794</v>
      </c>
      <c r="AK81" s="199">
        <f>AK78/AK80</f>
        <v>0.12719020623315791</v>
      </c>
      <c r="AL81" s="199">
        <f>AL78/AL80</f>
        <v>0.12719020623315791</v>
      </c>
      <c r="AM81" s="199">
        <f>AM78/AM80</f>
        <v>0.12719020623315791</v>
      </c>
      <c r="AN81" s="199">
        <f>AN78/AN80</f>
        <v>0.12719020623315791</v>
      </c>
      <c r="AO81" s="199"/>
      <c r="AP81" s="199">
        <f>AP78/AP80</f>
        <v>0.11912511784515671</v>
      </c>
      <c r="AQ81" s="199">
        <f>AQ78/AQ80</f>
        <v>0.12719020623315791</v>
      </c>
      <c r="AR81" s="199">
        <f>AR78/AR80</f>
        <v>0.12719020623315791</v>
      </c>
      <c r="AS81" s="199">
        <f>AS78/AS80</f>
        <v>0.12719020623315791</v>
      </c>
      <c r="AT81" s="199">
        <f>AT78/AT80</f>
        <v>0.12719020623315791</v>
      </c>
    </row>
    <row r="82" spans="1:46">
      <c r="A82" s="194" t="s">
        <v>16</v>
      </c>
      <c r="B82" s="195" t="str">
        <f t="shared" si="129"/>
        <v>TFHCV6</v>
      </c>
      <c r="C82" s="195" t="str">
        <f t="shared" si="129"/>
        <v>Transport Freight - HCV6</v>
      </c>
      <c r="D82" s="194" t="s">
        <v>149</v>
      </c>
      <c r="E82" s="271">
        <v>140.25526500597067</v>
      </c>
      <c r="F82" s="244">
        <f>F69*F98</f>
        <v>98.309314568087203</v>
      </c>
      <c r="G82" s="244">
        <f t="shared" ref="G82" si="147">G69*G98</f>
        <v>117.31986651000506</v>
      </c>
      <c r="H82" s="244">
        <f>H69*H98</f>
        <v>129.63325694576622</v>
      </c>
      <c r="I82" s="244">
        <f>I69*I98</f>
        <v>105.89148686828884</v>
      </c>
      <c r="J82" s="244">
        <f t="shared" si="126"/>
        <v>99.626378082797544</v>
      </c>
      <c r="K82" s="244">
        <f t="shared" si="126"/>
        <v>101.29178753480312</v>
      </c>
      <c r="L82" s="244">
        <f t="shared" si="126"/>
        <v>117.39912248754413</v>
      </c>
      <c r="M82" s="244">
        <f t="shared" si="126"/>
        <v>146.92280870433564</v>
      </c>
      <c r="N82" s="244">
        <f t="shared" si="126"/>
        <v>189.98584303999428</v>
      </c>
      <c r="O82" s="8"/>
      <c r="P82" s="244">
        <f>P55</f>
        <v>103.03413430720434</v>
      </c>
      <c r="Q82" s="244">
        <f t="shared" ref="Q82:V82" si="148">Q55</f>
        <v>105.89138272550942</v>
      </c>
      <c r="R82" s="244">
        <f t="shared" si="148"/>
        <v>99.626378082797544</v>
      </c>
      <c r="S82" s="244">
        <f t="shared" si="148"/>
        <v>101.3014259672502</v>
      </c>
      <c r="T82" s="244">
        <f t="shared" si="148"/>
        <v>117.39912248754413</v>
      </c>
      <c r="U82" s="244">
        <f t="shared" si="148"/>
        <v>146.92280870433564</v>
      </c>
      <c r="V82" s="244">
        <f t="shared" si="148"/>
        <v>189.98584303999428</v>
      </c>
      <c r="W82" s="8"/>
      <c r="X82" s="244">
        <f t="shared" si="139"/>
        <v>103.03413430720434</v>
      </c>
      <c r="Y82" s="244">
        <f t="shared" ref="Y82:AD82" si="149">Y55</f>
        <v>105.89138272550942</v>
      </c>
      <c r="Z82" s="244">
        <f t="shared" si="149"/>
        <v>99.626378082797544</v>
      </c>
      <c r="AA82" s="244">
        <f t="shared" si="149"/>
        <v>101.3014259672502</v>
      </c>
      <c r="AB82" s="244">
        <f t="shared" si="149"/>
        <v>111.52916636316692</v>
      </c>
      <c r="AC82" s="244">
        <f t="shared" si="149"/>
        <v>132.59783485566291</v>
      </c>
      <c r="AD82" s="244">
        <f t="shared" si="149"/>
        <v>162.88911217641507</v>
      </c>
      <c r="AE82" s="195"/>
      <c r="AF82" s="195"/>
      <c r="AG82" s="195"/>
      <c r="AH82" s="195"/>
      <c r="AI82" s="195"/>
      <c r="AJ82" s="195"/>
      <c r="AK82" s="195"/>
      <c r="AL82" s="195"/>
      <c r="AM82" s="195"/>
      <c r="AN82" s="195"/>
      <c r="AO82" s="195"/>
      <c r="AP82" s="195"/>
      <c r="AQ82" s="195"/>
      <c r="AR82" s="195"/>
      <c r="AS82" s="195"/>
    </row>
    <row r="83" spans="1:46">
      <c r="A83" s="194" t="s">
        <v>16</v>
      </c>
      <c r="B83" s="195" t="str">
        <f t="shared" si="129"/>
        <v>TFHCV7</v>
      </c>
      <c r="C83" s="195" t="str">
        <f t="shared" si="129"/>
        <v>Transport Freight - HCV7</v>
      </c>
      <c r="D83" s="194" t="s">
        <v>149</v>
      </c>
      <c r="E83" s="271">
        <v>32.638769732712682</v>
      </c>
      <c r="F83" s="244">
        <f t="shared" ref="F83:H83" si="150">F70*F99</f>
        <v>28.003212301240232</v>
      </c>
      <c r="G83" s="244">
        <f t="shared" si="150"/>
        <v>30.412861445475919</v>
      </c>
      <c r="H83" s="244">
        <f t="shared" si="150"/>
        <v>31.844054925263023</v>
      </c>
      <c r="I83" s="244">
        <f t="shared" si="126"/>
        <v>30.162978967908185</v>
      </c>
      <c r="J83" s="244">
        <f t="shared" si="126"/>
        <v>28.378375218189547</v>
      </c>
      <c r="K83" s="244">
        <f t="shared" si="126"/>
        <v>28.852763781042402</v>
      </c>
      <c r="L83" s="244">
        <f t="shared" si="126"/>
        <v>33.440906036641188</v>
      </c>
      <c r="M83" s="244">
        <f t="shared" si="126"/>
        <v>41.85066920787574</v>
      </c>
      <c r="N83" s="244">
        <f t="shared" si="126"/>
        <v>54.117088703679066</v>
      </c>
      <c r="O83" s="8"/>
      <c r="P83" s="244">
        <f t="shared" si="137"/>
        <v>29.349067786255869</v>
      </c>
      <c r="Q83" s="244">
        <f t="shared" ref="Q83:V83" si="151">Q56</f>
        <v>30.162949303045053</v>
      </c>
      <c r="R83" s="244">
        <f t="shared" si="151"/>
        <v>28.378375218189547</v>
      </c>
      <c r="S83" s="244">
        <f t="shared" si="151"/>
        <v>28.855509269313302</v>
      </c>
      <c r="T83" s="244">
        <f t="shared" si="151"/>
        <v>33.440906036641188</v>
      </c>
      <c r="U83" s="244">
        <f t="shared" si="151"/>
        <v>41.85066920787574</v>
      </c>
      <c r="V83" s="244">
        <f t="shared" si="151"/>
        <v>54.117088703679066</v>
      </c>
      <c r="W83" s="8"/>
      <c r="X83" s="244">
        <f t="shared" si="139"/>
        <v>29.349067786255869</v>
      </c>
      <c r="Y83" s="244">
        <f t="shared" ref="Y83:AD83" si="152">Y56</f>
        <v>30.162949303045053</v>
      </c>
      <c r="Z83" s="244">
        <f t="shared" si="152"/>
        <v>28.378375218189547</v>
      </c>
      <c r="AA83" s="244">
        <f t="shared" si="152"/>
        <v>28.855509269313302</v>
      </c>
      <c r="AB83" s="244">
        <f t="shared" si="152"/>
        <v>31.768860734809127</v>
      </c>
      <c r="AC83" s="244">
        <f t="shared" si="152"/>
        <v>37.77022896010785</v>
      </c>
      <c r="AD83" s="244">
        <f t="shared" si="152"/>
        <v>46.398638927316831</v>
      </c>
      <c r="AE83" s="195"/>
      <c r="AF83" s="195"/>
      <c r="AG83" s="195"/>
      <c r="AH83" s="195"/>
      <c r="AI83" s="195"/>
      <c r="AJ83" s="195"/>
      <c r="AK83" s="195"/>
      <c r="AL83" s="195"/>
      <c r="AM83" s="195"/>
      <c r="AN83" s="195"/>
      <c r="AO83" s="195"/>
      <c r="AP83" s="195"/>
      <c r="AQ83" s="195"/>
      <c r="AR83" s="195"/>
      <c r="AS83" s="195"/>
    </row>
    <row r="84" spans="1:46">
      <c r="A84" s="194" t="s">
        <v>16</v>
      </c>
      <c r="B84" s="195" t="str">
        <f>B100</f>
        <v>TFHCV8</v>
      </c>
      <c r="C84" s="195" t="str">
        <f>C100</f>
        <v>Transport Freight - HCV8</v>
      </c>
      <c r="D84" s="194" t="s">
        <v>149</v>
      </c>
      <c r="E84" s="271">
        <v>1.371120760523014</v>
      </c>
      <c r="F84" s="244">
        <f t="shared" ref="F84:H84" si="153">F71*F100</f>
        <v>1.0763192990282064</v>
      </c>
      <c r="G84" s="244">
        <f t="shared" si="153"/>
        <v>1.4702862493909399</v>
      </c>
      <c r="H84" s="244">
        <f t="shared" si="153"/>
        <v>1.8779533896770146</v>
      </c>
      <c r="I84" s="244">
        <f t="shared" si="126"/>
        <v>1.159331152087278</v>
      </c>
      <c r="J84" s="244">
        <f t="shared" si="126"/>
        <v>1.0907388978745283</v>
      </c>
      <c r="K84" s="244">
        <f t="shared" si="126"/>
        <v>1.1089722905276336</v>
      </c>
      <c r="L84" s="244">
        <f t="shared" si="126"/>
        <v>1.2853201324560779</v>
      </c>
      <c r="M84" s="244">
        <f t="shared" si="126"/>
        <v>1.6085541351870973</v>
      </c>
      <c r="N84" s="244">
        <f t="shared" si="126"/>
        <v>2.0800209044735705</v>
      </c>
      <c r="O84" s="8"/>
      <c r="P84" s="244">
        <f t="shared" si="137"/>
        <v>1.12804801559981</v>
      </c>
      <c r="Q84" s="244">
        <f t="shared" ref="Q84:V84" si="154">Q57</f>
        <v>1.1593300119014898</v>
      </c>
      <c r="R84" s="244">
        <f t="shared" si="154"/>
        <v>1.0907388978745283</v>
      </c>
      <c r="S84" s="244">
        <f t="shared" si="154"/>
        <v>1.1090778149217437</v>
      </c>
      <c r="T84" s="244">
        <f t="shared" si="154"/>
        <v>1.2853201324560779</v>
      </c>
      <c r="U84" s="244">
        <f t="shared" si="154"/>
        <v>1.6085541351870973</v>
      </c>
      <c r="V84" s="244">
        <f t="shared" si="154"/>
        <v>2.0800209044735705</v>
      </c>
      <c r="W84" s="8"/>
      <c r="X84" s="244">
        <f t="shared" si="139"/>
        <v>1.12804801559981</v>
      </c>
      <c r="Y84" s="244">
        <f t="shared" ref="Y84:AD84" si="155">Y57</f>
        <v>1.1593300119014898</v>
      </c>
      <c r="Z84" s="244">
        <f t="shared" si="155"/>
        <v>1.0907388978745283</v>
      </c>
      <c r="AA84" s="244">
        <f t="shared" si="155"/>
        <v>1.1090778149217437</v>
      </c>
      <c r="AB84" s="244">
        <f t="shared" si="155"/>
        <v>1.2210541258332739</v>
      </c>
      <c r="AC84" s="244">
        <f t="shared" si="155"/>
        <v>1.4517201070063552</v>
      </c>
      <c r="AD84" s="244">
        <f t="shared" si="155"/>
        <v>1.7833579229730274</v>
      </c>
      <c r="AE84" s="195"/>
      <c r="AF84" s="195"/>
      <c r="AG84" s="195"/>
      <c r="AH84" s="195"/>
      <c r="AI84" s="195"/>
      <c r="AJ84" s="195"/>
      <c r="AK84" s="195"/>
      <c r="AL84" s="195"/>
      <c r="AM84" s="195"/>
      <c r="AN84" s="195"/>
      <c r="AO84" s="195"/>
      <c r="AP84" s="195"/>
      <c r="AQ84" s="195"/>
      <c r="AR84" s="195"/>
      <c r="AS84" s="195"/>
    </row>
    <row r="85" spans="1:46">
      <c r="A85" s="194" t="s">
        <v>16</v>
      </c>
      <c r="B85" s="195" t="str">
        <f t="shared" si="129"/>
        <v>TFHCV9</v>
      </c>
      <c r="C85" s="195" t="str">
        <f t="shared" si="129"/>
        <v>Transport Freight - HCV9</v>
      </c>
      <c r="D85" s="194" t="s">
        <v>149</v>
      </c>
      <c r="E85" s="271">
        <v>0.85603927035432403</v>
      </c>
      <c r="F85" s="244">
        <f t="shared" ref="F85:H85" si="156">F72*F101</f>
        <v>0.87560973396075781</v>
      </c>
      <c r="G85" s="244">
        <f t="shared" si="156"/>
        <v>0.49003657380877025</v>
      </c>
      <c r="H85" s="244">
        <f t="shared" si="156"/>
        <v>0.4966539831210422</v>
      </c>
      <c r="I85" s="244">
        <f t="shared" si="126"/>
        <v>0.94314172622204151</v>
      </c>
      <c r="J85" s="244">
        <f t="shared" si="126"/>
        <v>0.88734039894191019</v>
      </c>
      <c r="K85" s="244">
        <f t="shared" si="126"/>
        <v>0.90217367016969774</v>
      </c>
      <c r="L85" s="244">
        <f t="shared" si="126"/>
        <v>1.0456365692322114</v>
      </c>
      <c r="M85" s="244">
        <f t="shared" si="126"/>
        <v>1.3085946332508718</v>
      </c>
      <c r="N85" s="244">
        <f t="shared" si="126"/>
        <v>1.6921433560127854</v>
      </c>
      <c r="O85" s="8"/>
      <c r="P85" s="244">
        <f t="shared" si="137"/>
        <v>0.91769219759054577</v>
      </c>
      <c r="Q85" s="244">
        <f t="shared" ref="Q85:V85" si="157">Q58</f>
        <v>0.94314079865549549</v>
      </c>
      <c r="R85" s="244">
        <f t="shared" si="157"/>
        <v>0.88734039894191019</v>
      </c>
      <c r="S85" s="244">
        <f t="shared" si="157"/>
        <v>0.9022595166157632</v>
      </c>
      <c r="T85" s="244">
        <f t="shared" si="157"/>
        <v>1.0456365692322114</v>
      </c>
      <c r="U85" s="244">
        <f t="shared" si="157"/>
        <v>1.3085946332508718</v>
      </c>
      <c r="V85" s="244">
        <f t="shared" si="157"/>
        <v>1.6921433560127854</v>
      </c>
      <c r="W85" s="8"/>
      <c r="X85" s="244">
        <f t="shared" si="139"/>
        <v>0.91769219759054577</v>
      </c>
      <c r="Y85" s="244">
        <f t="shared" ref="Y85:AD85" si="158">Y58</f>
        <v>0.94314079865549549</v>
      </c>
      <c r="Z85" s="244">
        <f t="shared" si="158"/>
        <v>0.88734039894191019</v>
      </c>
      <c r="AA85" s="244">
        <f t="shared" si="158"/>
        <v>0.9022595166157632</v>
      </c>
      <c r="AB85" s="244">
        <f t="shared" si="158"/>
        <v>0.99335474077060071</v>
      </c>
      <c r="AC85" s="244">
        <f t="shared" si="158"/>
        <v>1.1810066565089117</v>
      </c>
      <c r="AD85" s="244">
        <f t="shared" si="158"/>
        <v>1.4508014098614619</v>
      </c>
      <c r="AE85" s="195"/>
      <c r="AF85" s="195"/>
      <c r="AG85" s="195"/>
      <c r="AH85" s="195"/>
      <c r="AI85" s="195"/>
      <c r="AJ85" s="195"/>
      <c r="AK85" s="195"/>
      <c r="AL85" s="195"/>
      <c r="AM85" s="195"/>
      <c r="AN85" s="195"/>
      <c r="AO85" s="195"/>
      <c r="AP85" s="195"/>
      <c r="AQ85" s="195"/>
      <c r="AR85" s="195"/>
      <c r="AS85" s="195"/>
    </row>
    <row r="86" spans="1:46">
      <c r="A86" s="194" t="s">
        <v>16</v>
      </c>
      <c r="B86" s="195" t="str">
        <f t="shared" si="129"/>
        <v>TFRCO</v>
      </c>
      <c r="C86" s="195" t="str">
        <f t="shared" si="129"/>
        <v>Transport Freight - Rail Corridor</v>
      </c>
      <c r="D86" s="194" t="s">
        <v>149</v>
      </c>
      <c r="E86" s="48"/>
      <c r="F86" s="244">
        <f t="shared" ref="F86:H86" si="159">F59</f>
        <v>22</v>
      </c>
      <c r="G86" s="244">
        <f t="shared" si="159"/>
        <v>23.057336578097942</v>
      </c>
      <c r="H86" s="244">
        <f t="shared" si="159"/>
        <v>23.440803697006192</v>
      </c>
      <c r="I86" s="244">
        <f t="shared" ref="I86:N86" si="160">I59</f>
        <v>23.696764862386523</v>
      </c>
      <c r="J86" s="244">
        <f t="shared" si="160"/>
        <v>22.294737049596232</v>
      </c>
      <c r="K86" s="244">
        <f t="shared" si="160"/>
        <v>22.667428163404651</v>
      </c>
      <c r="L86" s="244">
        <f t="shared" si="160"/>
        <v>26.271983545742081</v>
      </c>
      <c r="M86" s="244">
        <f t="shared" si="160"/>
        <v>32.878896630458648</v>
      </c>
      <c r="N86" s="244">
        <f t="shared" si="160"/>
        <v>42.515692081090613</v>
      </c>
      <c r="O86" s="8"/>
      <c r="P86" s="244">
        <f>P59</f>
        <v>23.057336578097942</v>
      </c>
      <c r="Q86" s="244">
        <f t="shared" ref="Q86:V86" si="161">Q59</f>
        <v>23.696741556953494</v>
      </c>
      <c r="R86" s="244">
        <f t="shared" si="161"/>
        <v>22.294737049596232</v>
      </c>
      <c r="S86" s="244">
        <f t="shared" si="161"/>
        <v>22.669585085307396</v>
      </c>
      <c r="T86" s="244">
        <f t="shared" si="161"/>
        <v>26.271983545742081</v>
      </c>
      <c r="U86" s="244">
        <f t="shared" si="161"/>
        <v>32.878896630458648</v>
      </c>
      <c r="V86" s="244">
        <f t="shared" si="161"/>
        <v>42.515692081090613</v>
      </c>
      <c r="W86" s="8"/>
      <c r="X86" s="244">
        <f>X59</f>
        <v>23.057336578097942</v>
      </c>
      <c r="Y86" s="244">
        <f>Y59</f>
        <v>23.696741556953494</v>
      </c>
      <c r="Z86" s="244">
        <f t="shared" ref="Z86:AD86" si="162">Z59</f>
        <v>22.294737049596232</v>
      </c>
      <c r="AA86" s="244">
        <f t="shared" si="162"/>
        <v>22.669585085307396</v>
      </c>
      <c r="AB86" s="244">
        <f t="shared" si="162"/>
        <v>35.2862171174568</v>
      </c>
      <c r="AC86" s="244">
        <f t="shared" si="162"/>
        <v>54.877129231275859</v>
      </c>
      <c r="AD86" s="244">
        <f t="shared" si="162"/>
        <v>84.126950471903442</v>
      </c>
      <c r="AE86" s="195"/>
      <c r="AF86" s="195"/>
      <c r="AG86" s="195"/>
      <c r="AH86" s="195"/>
      <c r="AI86" s="195"/>
      <c r="AJ86" s="195"/>
      <c r="AK86" s="195"/>
      <c r="AL86" s="195"/>
      <c r="AM86" s="195"/>
      <c r="AN86" s="195"/>
      <c r="AO86" s="195"/>
      <c r="AP86" s="195"/>
      <c r="AQ86" s="195"/>
      <c r="AR86" s="195"/>
      <c r="AS86" s="195"/>
    </row>
    <row r="87" spans="1:46">
      <c r="A87" s="194" t="s">
        <v>16</v>
      </c>
      <c r="B87" s="195" t="str">
        <f t="shared" si="129"/>
        <v>TFROT</v>
      </c>
      <c r="C87" s="195" t="str">
        <f t="shared" si="129"/>
        <v>Transport Freight - Rail Other</v>
      </c>
      <c r="D87" s="194" t="s">
        <v>149</v>
      </c>
      <c r="E87" s="48"/>
      <c r="F87" s="244">
        <f t="shared" ref="F87:H87" si="163">F47</f>
        <v>25.1</v>
      </c>
      <c r="G87" s="244">
        <f t="shared" si="163"/>
        <v>26.306324914102674</v>
      </c>
      <c r="H87" s="244">
        <f t="shared" si="163"/>
        <v>26.743826036129814</v>
      </c>
      <c r="I87" s="244">
        <f t="shared" ref="I87:N87" si="164">I47</f>
        <v>27.035854456631917</v>
      </c>
      <c r="J87" s="244">
        <f t="shared" si="164"/>
        <v>25.436268179312091</v>
      </c>
      <c r="K87" s="244">
        <f t="shared" si="164"/>
        <v>25.861474859157145</v>
      </c>
      <c r="L87" s="244">
        <f t="shared" si="164"/>
        <v>29.973944863551218</v>
      </c>
      <c r="M87" s="244">
        <f t="shared" si="164"/>
        <v>37.511832064750571</v>
      </c>
      <c r="N87" s="244">
        <f t="shared" si="164"/>
        <v>48.506539601607955</v>
      </c>
      <c r="O87" s="8"/>
      <c r="P87" s="244">
        <f>P47</f>
        <v>26.306324914102674</v>
      </c>
      <c r="Q87" s="244">
        <f t="shared" ref="Q87:V87" si="165">Q47</f>
        <v>27.035854456631917</v>
      </c>
      <c r="R87" s="244">
        <f t="shared" si="165"/>
        <v>25.436268179312091</v>
      </c>
      <c r="S87" s="244">
        <f t="shared" si="165"/>
        <v>25.863961147804282</v>
      </c>
      <c r="T87" s="244">
        <f t="shared" si="165"/>
        <v>29.973944863551218</v>
      </c>
      <c r="U87" s="244">
        <f t="shared" si="165"/>
        <v>37.511832064750571</v>
      </c>
      <c r="V87" s="244">
        <f t="shared" si="165"/>
        <v>48.506539601607955</v>
      </c>
      <c r="W87" s="8"/>
      <c r="X87" s="244">
        <f>X47</f>
        <v>26.306324914102674</v>
      </c>
      <c r="Y87" s="244">
        <f>Y47</f>
        <v>27.035854456631917</v>
      </c>
      <c r="Z87" s="244">
        <f t="shared" ref="Z87:AD87" si="166">Z47</f>
        <v>25.436268179312091</v>
      </c>
      <c r="AA87" s="244">
        <f t="shared" si="166"/>
        <v>25.863961147804282</v>
      </c>
      <c r="AB87" s="244">
        <f t="shared" si="166"/>
        <v>30.267257886466176</v>
      </c>
      <c r="AC87" s="244">
        <f t="shared" si="166"/>
        <v>38.227629814120924</v>
      </c>
      <c r="AD87" s="244">
        <f t="shared" si="166"/>
        <v>49.860523153154979</v>
      </c>
      <c r="AE87" s="195"/>
      <c r="AF87" s="195"/>
      <c r="AG87" s="195"/>
      <c r="AH87" s="195"/>
      <c r="AI87" s="195"/>
      <c r="AJ87" s="195"/>
      <c r="AK87" s="195"/>
      <c r="AL87" s="195"/>
      <c r="AM87" s="195"/>
      <c r="AN87" s="195"/>
      <c r="AO87" s="195"/>
      <c r="AP87" s="195"/>
      <c r="AQ87" s="195"/>
      <c r="AR87" s="195"/>
      <c r="AS87" s="195"/>
    </row>
    <row r="88" spans="1:46">
      <c r="A88" s="194" t="s">
        <v>16</v>
      </c>
      <c r="B88" s="195" t="str">
        <f t="shared" si="129"/>
        <v>TFREX</v>
      </c>
      <c r="C88" s="195" t="str">
        <f t="shared" si="129"/>
        <v>Transport Freight - Rail Export (bulk mining)</v>
      </c>
      <c r="D88" s="194" t="s">
        <v>149</v>
      </c>
      <c r="F88" s="244">
        <f t="shared" ref="F88:H88" si="167">F104</f>
        <v>82.000000000000014</v>
      </c>
      <c r="G88" s="244">
        <f t="shared" si="167"/>
        <v>82.000000000000014</v>
      </c>
      <c r="H88" s="244">
        <f t="shared" si="167"/>
        <v>82.000000000000014</v>
      </c>
      <c r="I88" s="244">
        <f t="shared" ref="I88:N88" si="168">I104</f>
        <v>83.472345553875925</v>
      </c>
      <c r="J88" s="244">
        <f t="shared" si="168"/>
        <v>75.296230147600653</v>
      </c>
      <c r="K88" s="244">
        <f t="shared" si="168"/>
        <v>79.105852655656591</v>
      </c>
      <c r="L88" s="244">
        <f t="shared" si="168"/>
        <v>88.040877070249095</v>
      </c>
      <c r="M88" s="244">
        <f t="shared" si="168"/>
        <v>106.52661741121337</v>
      </c>
      <c r="N88" s="244">
        <f t="shared" si="168"/>
        <v>129.58709683179268</v>
      </c>
      <c r="O88" s="8"/>
      <c r="P88" s="244">
        <f>F104</f>
        <v>82.000000000000014</v>
      </c>
      <c r="Q88" s="244">
        <f t="shared" ref="Q88:V88" si="169">G104</f>
        <v>82.000000000000014</v>
      </c>
      <c r="R88" s="244">
        <f t="shared" si="169"/>
        <v>82.000000000000014</v>
      </c>
      <c r="S88" s="244">
        <f t="shared" si="169"/>
        <v>83.472345553875925</v>
      </c>
      <c r="T88" s="244">
        <f t="shared" si="169"/>
        <v>75.296230147600653</v>
      </c>
      <c r="U88" s="244">
        <f t="shared" si="169"/>
        <v>79.105852655656591</v>
      </c>
      <c r="V88" s="244">
        <f t="shared" si="169"/>
        <v>88.040877070249095</v>
      </c>
      <c r="W88" s="8"/>
      <c r="X88" s="244">
        <f>P88</f>
        <v>82.000000000000014</v>
      </c>
      <c r="Y88" s="244">
        <f>Q88</f>
        <v>82.000000000000014</v>
      </c>
      <c r="Z88" s="244">
        <f t="shared" ref="Z88:AD88" si="170">R88</f>
        <v>82.000000000000014</v>
      </c>
      <c r="AA88" s="244">
        <f t="shared" si="170"/>
        <v>83.472345553875925</v>
      </c>
      <c r="AB88" s="244">
        <f t="shared" si="170"/>
        <v>75.296230147600653</v>
      </c>
      <c r="AC88" s="244">
        <f t="shared" si="170"/>
        <v>79.105852655656591</v>
      </c>
      <c r="AD88" s="244">
        <f t="shared" si="170"/>
        <v>88.040877070249095</v>
      </c>
      <c r="AE88" s="195"/>
      <c r="AF88" s="195"/>
      <c r="AG88" s="195"/>
      <c r="AH88" s="195"/>
      <c r="AI88" s="195"/>
      <c r="AJ88" s="195"/>
      <c r="AK88" s="195"/>
      <c r="AL88" s="195"/>
      <c r="AM88" s="195"/>
      <c r="AN88" s="195"/>
      <c r="AO88" s="195"/>
      <c r="AP88" s="195"/>
      <c r="AQ88" s="195"/>
      <c r="AR88" s="195"/>
      <c r="AS88" s="195"/>
    </row>
    <row r="89" spans="1:46">
      <c r="A89" s="194" t="s">
        <v>16</v>
      </c>
      <c r="C89" s="5" t="s">
        <v>211</v>
      </c>
      <c r="E89" s="272">
        <f>SUM(E76:E85)-SUM(G76:G85)</f>
        <v>35.355410614896385</v>
      </c>
      <c r="F89" s="83">
        <f t="shared" ref="F89:K89" si="171">SUM(F76:F88)</f>
        <v>302.13354210944328</v>
      </c>
      <c r="G89" s="83">
        <f t="shared" si="171"/>
        <v>327.40754653866895</v>
      </c>
      <c r="H89" s="83">
        <f t="shared" si="171"/>
        <v>343.67012496616258</v>
      </c>
      <c r="I89" s="83">
        <f t="shared" si="171"/>
        <v>320.58383581259153</v>
      </c>
      <c r="J89" s="83">
        <f t="shared" si="171"/>
        <v>298.37893183515797</v>
      </c>
      <c r="K89" s="83">
        <f t="shared" si="171"/>
        <v>305.91772775209398</v>
      </c>
      <c r="L89" s="83">
        <f t="shared" ref="L89:N89" si="172">SUM(L76:L88)</f>
        <v>350.92018598684996</v>
      </c>
      <c r="M89" s="83">
        <f t="shared" si="172"/>
        <v>435.51516177090008</v>
      </c>
      <c r="N89" s="83">
        <f t="shared" si="172"/>
        <v>555.00209197019683</v>
      </c>
      <c r="O89" s="83"/>
      <c r="P89" s="83">
        <f t="shared" ref="P89:V89" si="173">SUM(P76:P88)</f>
        <v>312.71332602483335</v>
      </c>
      <c r="Q89" s="83">
        <f t="shared" si="173"/>
        <v>319.11130702579447</v>
      </c>
      <c r="R89" s="83">
        <f t="shared" si="173"/>
        <v>305.08270168755735</v>
      </c>
      <c r="S89" s="83">
        <f t="shared" si="173"/>
        <v>310.30415177436197</v>
      </c>
      <c r="T89" s="83">
        <f t="shared" si="173"/>
        <v>338.17553906420153</v>
      </c>
      <c r="U89" s="83">
        <f t="shared" si="173"/>
        <v>408.0943970153433</v>
      </c>
      <c r="V89" s="83">
        <f t="shared" si="173"/>
        <v>513.4558722086532</v>
      </c>
      <c r="W89" s="83"/>
      <c r="X89" s="83">
        <f t="shared" ref="X89:AD89" si="174">SUM(X76:X88)</f>
        <v>312.71332602483335</v>
      </c>
      <c r="Y89" s="83">
        <f t="shared" si="174"/>
        <v>319.11130702579447</v>
      </c>
      <c r="Z89" s="83">
        <f t="shared" si="174"/>
        <v>305.08270168755735</v>
      </c>
      <c r="AA89" s="83">
        <f t="shared" si="174"/>
        <v>310.30415177436197</v>
      </c>
      <c r="AB89" s="83">
        <f t="shared" si="174"/>
        <v>338.17553906420153</v>
      </c>
      <c r="AC89" s="83">
        <f t="shared" si="174"/>
        <v>408.0943970153433</v>
      </c>
      <c r="AD89" s="83">
        <f t="shared" si="174"/>
        <v>513.45587220865332</v>
      </c>
    </row>
    <row r="90" spans="1:46">
      <c r="A90" s="194" t="s">
        <v>16</v>
      </c>
      <c r="N90" s="194">
        <f>N89/F89</f>
        <v>1.8369429891672067</v>
      </c>
      <c r="P90" s="5" t="s">
        <v>41</v>
      </c>
      <c r="X90" s="5" t="s">
        <v>197</v>
      </c>
    </row>
    <row r="91" spans="1:46" ht="15.75" thickBot="1">
      <c r="A91" s="194" t="s">
        <v>16</v>
      </c>
      <c r="B91" s="14" t="s">
        <v>209</v>
      </c>
      <c r="C91" s="14"/>
      <c r="D91" s="14"/>
      <c r="F91" s="194">
        <f t="shared" ref="F91:K91" si="175">F$4</f>
        <v>2012</v>
      </c>
      <c r="G91" s="194">
        <f t="shared" si="175"/>
        <v>2015</v>
      </c>
      <c r="H91" s="194">
        <f t="shared" si="175"/>
        <v>2017</v>
      </c>
      <c r="I91" s="293">
        <f t="shared" si="175"/>
        <v>2019</v>
      </c>
      <c r="J91" s="293">
        <f t="shared" si="175"/>
        <v>2020</v>
      </c>
      <c r="K91" s="293">
        <f t="shared" si="175"/>
        <v>2021</v>
      </c>
      <c r="L91" s="194">
        <f>L$4</f>
        <v>2030</v>
      </c>
      <c r="M91" s="194">
        <f>M$4</f>
        <v>2040</v>
      </c>
      <c r="N91" s="194">
        <f>N$4</f>
        <v>2050</v>
      </c>
      <c r="P91" s="7">
        <f>P75</f>
        <v>2015</v>
      </c>
      <c r="Q91" s="7">
        <f t="shared" ref="Q91:T91" si="176">Q75</f>
        <v>2019</v>
      </c>
      <c r="R91" s="7">
        <f t="shared" si="176"/>
        <v>2020</v>
      </c>
      <c r="S91" s="7">
        <f t="shared" si="176"/>
        <v>2021</v>
      </c>
      <c r="T91" s="7">
        <f t="shared" si="176"/>
        <v>2030</v>
      </c>
      <c r="U91" s="7">
        <f>U75</f>
        <v>2040</v>
      </c>
      <c r="V91" s="7">
        <f>V75</f>
        <v>2050</v>
      </c>
      <c r="W91" s="297"/>
      <c r="X91" s="7">
        <f>X75</f>
        <v>2015</v>
      </c>
      <c r="Y91" s="7">
        <f t="shared" ref="Y91:AA91" si="177">Y75</f>
        <v>2019</v>
      </c>
      <c r="Z91" s="7">
        <f t="shared" si="177"/>
        <v>2020</v>
      </c>
      <c r="AA91" s="7">
        <f t="shared" si="177"/>
        <v>2021</v>
      </c>
      <c r="AB91" s="7">
        <f>AB75</f>
        <v>2030</v>
      </c>
      <c r="AC91" s="7">
        <f>AC75</f>
        <v>2040</v>
      </c>
      <c r="AD91" s="7">
        <f>AD75</f>
        <v>2050</v>
      </c>
    </row>
    <row r="92" spans="1:46">
      <c r="A92" s="194" t="s">
        <v>16</v>
      </c>
      <c r="B92" s="195" t="str">
        <f>'[2]TS BYDem'!D19</f>
        <v>TFLCV</v>
      </c>
      <c r="C92" s="195" t="str">
        <f>C13</f>
        <v>Transport Freight - LCV</v>
      </c>
      <c r="D92" s="194" t="s">
        <v>150</v>
      </c>
      <c r="F92" s="245">
        <v>43.112503750568798</v>
      </c>
      <c r="G92" s="246">
        <v>44.4</v>
      </c>
      <c r="H92" s="195">
        <v>45.342821165621402</v>
      </c>
      <c r="I92" s="195">
        <f t="shared" ref="I92:N92" si="178">I43/I63</f>
        <v>46.437584727544852</v>
      </c>
      <c r="J92" s="195">
        <f t="shared" si="178"/>
        <v>43.690087939484705</v>
      </c>
      <c r="K92" s="10">
        <f t="shared" si="178"/>
        <v>44.420435532296942</v>
      </c>
      <c r="L92" s="10">
        <f t="shared" si="178"/>
        <v>51.484135870485822</v>
      </c>
      <c r="M92" s="10">
        <f t="shared" si="178"/>
        <v>64.431434286146057</v>
      </c>
      <c r="N92" s="10">
        <f t="shared" si="178"/>
        <v>83.316269741093109</v>
      </c>
      <c r="P92" s="10">
        <f>P76/P63</f>
        <v>45.18452316824434</v>
      </c>
      <c r="Q92" s="10">
        <f t="shared" ref="Q92:V92" si="179">Q76/Q63</f>
        <v>46.437584727544852</v>
      </c>
      <c r="R92" s="10">
        <f t="shared" si="179"/>
        <v>43.690087939484705</v>
      </c>
      <c r="S92" s="10">
        <f t="shared" si="179"/>
        <v>44.420435532296942</v>
      </c>
      <c r="T92" s="10">
        <f t="shared" si="179"/>
        <v>51.484135870485822</v>
      </c>
      <c r="U92" s="10">
        <f t="shared" si="179"/>
        <v>64.431434286146057</v>
      </c>
      <c r="V92" s="10">
        <f t="shared" si="179"/>
        <v>83.316269741093109</v>
      </c>
      <c r="W92" s="297"/>
      <c r="X92" s="10">
        <f>P92</f>
        <v>45.18452316824434</v>
      </c>
      <c r="Y92" s="10">
        <f t="shared" ref="Y92:AA92" si="180">Q92</f>
        <v>46.437584727544852</v>
      </c>
      <c r="Z92" s="10">
        <f t="shared" si="180"/>
        <v>43.690087939484705</v>
      </c>
      <c r="AA92" s="10">
        <f t="shared" si="180"/>
        <v>44.420435532296942</v>
      </c>
      <c r="AB92" s="10">
        <f t="shared" ref="AB92:AD92" si="181">AB76/AB63</f>
        <v>51.484135870485822</v>
      </c>
      <c r="AC92" s="10">
        <f t="shared" si="181"/>
        <v>64.431434286146057</v>
      </c>
      <c r="AD92" s="10">
        <f t="shared" si="181"/>
        <v>83.316269741093109</v>
      </c>
    </row>
    <row r="93" spans="1:46">
      <c r="A93" s="194" t="s">
        <v>16</v>
      </c>
      <c r="B93" s="195" t="str">
        <f>'[2]TS BYDem'!D20</f>
        <v>TFHCV1</v>
      </c>
      <c r="C93" s="195" t="str">
        <f t="shared" ref="C93:C99" si="182">C14</f>
        <v>Transport Freight - HCV1</v>
      </c>
      <c r="D93" s="194" t="s">
        <v>150</v>
      </c>
      <c r="F93" s="245">
        <v>3.31</v>
      </c>
      <c r="G93" s="10">
        <v>3.4</v>
      </c>
      <c r="H93" s="10">
        <v>3.45</v>
      </c>
      <c r="I93" s="10">
        <f t="shared" ref="I93:N93" si="183">I46/I64</f>
        <v>3.5652859861136119</v>
      </c>
      <c r="J93" s="10">
        <f t="shared" si="183"/>
        <v>3.3543445288256186</v>
      </c>
      <c r="K93" s="10">
        <f>K46/K64</f>
        <v>3.4104176009486125</v>
      </c>
      <c r="L93" s="10">
        <f>L46/L64</f>
        <v>3.9527393425639263</v>
      </c>
      <c r="M93" s="10">
        <f t="shared" si="183"/>
        <v>4.9467794475826459</v>
      </c>
      <c r="N93" s="10">
        <f t="shared" si="183"/>
        <v>6.3966791267459104</v>
      </c>
      <c r="P93" s="10">
        <f t="shared" ref="P93:V100" si="184">P77/P64</f>
        <v>3.469081094250194</v>
      </c>
      <c r="Q93" s="10">
        <f t="shared" si="184"/>
        <v>3.5652859861136119</v>
      </c>
      <c r="R93" s="10">
        <f t="shared" si="184"/>
        <v>3.3543445288256186</v>
      </c>
      <c r="S93" s="10">
        <f t="shared" si="184"/>
        <v>3.4107454740729954</v>
      </c>
      <c r="T93" s="10">
        <f t="shared" si="184"/>
        <v>3.9527393425639263</v>
      </c>
      <c r="U93" s="10">
        <f t="shared" si="184"/>
        <v>4.9467794475826459</v>
      </c>
      <c r="V93" s="10">
        <f t="shared" si="184"/>
        <v>6.3966791267459104</v>
      </c>
      <c r="W93" s="297"/>
      <c r="X93" s="10">
        <f t="shared" ref="X93:X101" si="185">P93</f>
        <v>3.469081094250194</v>
      </c>
      <c r="Y93" s="10">
        <f t="shared" ref="Y93:Y101" si="186">Q93</f>
        <v>3.5652859861136119</v>
      </c>
      <c r="Z93" s="10">
        <f t="shared" ref="Z93:Z101" si="187">R93</f>
        <v>3.3543445288256186</v>
      </c>
      <c r="AA93" s="10">
        <f t="shared" ref="AA93:AA101" si="188">S93</f>
        <v>3.4107454740729954</v>
      </c>
      <c r="AB93" s="10">
        <f t="shared" ref="AB93:AD93" si="189">AB77/AB64</f>
        <v>3.7551023754357296</v>
      </c>
      <c r="AC93" s="10">
        <f t="shared" si="189"/>
        <v>4.464468451443337</v>
      </c>
      <c r="AD93" s="10">
        <f t="shared" si="189"/>
        <v>5.4843527662937746</v>
      </c>
    </row>
    <row r="94" spans="1:46">
      <c r="A94" s="194" t="s">
        <v>16</v>
      </c>
      <c r="B94" s="195" t="str">
        <f>'[2]TS BYDem'!D21</f>
        <v>TFHCV2</v>
      </c>
      <c r="C94" s="195" t="str">
        <f t="shared" si="182"/>
        <v>Transport Freight - HCV2</v>
      </c>
      <c r="D94" s="194" t="s">
        <v>150</v>
      </c>
      <c r="F94" s="245">
        <v>0.65478395407088008</v>
      </c>
      <c r="G94" s="10">
        <v>0.704124436203308</v>
      </c>
      <c r="H94" s="10">
        <v>0.73600943824652509</v>
      </c>
      <c r="I94" s="10">
        <f t="shared" ref="I94:N94" si="190">I51/I65</f>
        <v>0.70528460887642519</v>
      </c>
      <c r="J94" s="10">
        <f t="shared" si="190"/>
        <v>0.66355618546841733</v>
      </c>
      <c r="K94" s="10">
        <f t="shared" si="190"/>
        <v>0.6746485564296244</v>
      </c>
      <c r="L94" s="10">
        <f t="shared" si="190"/>
        <v>0.78193060306209605</v>
      </c>
      <c r="M94" s="10">
        <f t="shared" si="190"/>
        <v>0.97857154278088487</v>
      </c>
      <c r="N94" s="10">
        <f t="shared" si="190"/>
        <v>1.2653905895871154</v>
      </c>
      <c r="P94" s="10">
        <f t="shared" si="184"/>
        <v>0.68625336431591455</v>
      </c>
      <c r="Q94" s="10">
        <f t="shared" si="184"/>
        <v>0.70528391523898926</v>
      </c>
      <c r="R94" s="10">
        <f t="shared" si="184"/>
        <v>0.66355618546841733</v>
      </c>
      <c r="S94" s="10">
        <f t="shared" si="184"/>
        <v>0.67471275269562903</v>
      </c>
      <c r="T94" s="10">
        <f t="shared" si="184"/>
        <v>0.78193060306209605</v>
      </c>
      <c r="U94" s="10">
        <f t="shared" si="184"/>
        <v>0.97857154278088487</v>
      </c>
      <c r="V94" s="10">
        <f t="shared" si="184"/>
        <v>1.2653905895871154</v>
      </c>
      <c r="W94" s="297"/>
      <c r="X94" s="10">
        <f t="shared" si="185"/>
        <v>0.68625336431591455</v>
      </c>
      <c r="Y94" s="10">
        <f t="shared" si="186"/>
        <v>0.70528391523898926</v>
      </c>
      <c r="Z94" s="10">
        <f t="shared" si="187"/>
        <v>0.66355618546841733</v>
      </c>
      <c r="AA94" s="10">
        <f t="shared" si="188"/>
        <v>0.67471275269562903</v>
      </c>
      <c r="AB94" s="10">
        <f t="shared" ref="AB94:AD94" si="191">AB78/AB65</f>
        <v>0.74283407290899128</v>
      </c>
      <c r="AC94" s="10">
        <f t="shared" si="191"/>
        <v>0.88316081735974861</v>
      </c>
      <c r="AD94" s="10">
        <f t="shared" si="191"/>
        <v>1.0849142567472529</v>
      </c>
    </row>
    <row r="95" spans="1:46">
      <c r="A95" s="194" t="s">
        <v>16</v>
      </c>
      <c r="B95" s="195" t="str">
        <f>'[2]TS BYDem'!D22</f>
        <v>TFHCV3</v>
      </c>
      <c r="C95" s="195" t="str">
        <f t="shared" si="182"/>
        <v>Transport Freight - HCV3</v>
      </c>
      <c r="D95" s="194" t="s">
        <v>150</v>
      </c>
      <c r="F95" s="245">
        <v>2.7114063478211299</v>
      </c>
      <c r="G95" s="10">
        <v>2.9</v>
      </c>
      <c r="H95" s="10">
        <v>3.0305969254191498</v>
      </c>
      <c r="I95" s="10">
        <f t="shared" ref="I95" si="192">I52/I66</f>
        <v>2.9205253941227078</v>
      </c>
      <c r="J95" s="10">
        <f t="shared" ref="J95:J101" si="193">J52/J66</f>
        <v>2.7477314345126453</v>
      </c>
      <c r="K95" s="10">
        <f t="shared" ref="K95:N101" si="194">K52/K66</f>
        <v>2.7936640277743123</v>
      </c>
      <c r="L95" s="10">
        <f t="shared" si="194"/>
        <v>3.2379101343535184</v>
      </c>
      <c r="M95" s="10">
        <f t="shared" si="194"/>
        <v>4.0521840469627461</v>
      </c>
      <c r="N95" s="10">
        <f t="shared" si="194"/>
        <v>5.2398780632126236</v>
      </c>
      <c r="P95" s="10">
        <f t="shared" si="184"/>
        <v>2.8417185800774152</v>
      </c>
      <c r="Q95" s="10">
        <f t="shared" si="184"/>
        <v>2.9205225218272961</v>
      </c>
      <c r="R95" s="10">
        <f t="shared" si="184"/>
        <v>2.7477314345126453</v>
      </c>
      <c r="S95" s="10">
        <f t="shared" si="184"/>
        <v>2.7939298592169877</v>
      </c>
      <c r="T95" s="10">
        <f t="shared" si="184"/>
        <v>3.2379101343535184</v>
      </c>
      <c r="U95" s="10">
        <f t="shared" si="184"/>
        <v>4.0521840469627461</v>
      </c>
      <c r="V95" s="10">
        <f t="shared" si="184"/>
        <v>5.2398780632126236</v>
      </c>
      <c r="W95" s="297"/>
      <c r="X95" s="10">
        <f t="shared" si="185"/>
        <v>2.8417185800774152</v>
      </c>
      <c r="Y95" s="10">
        <f t="shared" si="186"/>
        <v>2.9205225218272961</v>
      </c>
      <c r="Z95" s="10">
        <f t="shared" si="187"/>
        <v>2.7477314345126453</v>
      </c>
      <c r="AA95" s="10">
        <f t="shared" si="188"/>
        <v>2.7939298592169877</v>
      </c>
      <c r="AB95" s="10">
        <f t="shared" ref="AB95:AD95" si="195">AB79/AB66</f>
        <v>3.0760146276358427</v>
      </c>
      <c r="AC95" s="10">
        <f t="shared" si="195"/>
        <v>3.6570961023838775</v>
      </c>
      <c r="AD95" s="10">
        <f t="shared" si="195"/>
        <v>4.4925404544469227</v>
      </c>
    </row>
    <row r="96" spans="1:46">
      <c r="A96" s="194" t="s">
        <v>16</v>
      </c>
      <c r="B96" s="195" t="str">
        <f>'[2]TS BYDem'!D23</f>
        <v>TFHCV4</v>
      </c>
      <c r="C96" s="195" t="str">
        <f t="shared" si="182"/>
        <v>Transport Freight - HCV4</v>
      </c>
      <c r="D96" s="194" t="s">
        <v>150</v>
      </c>
      <c r="F96" s="245">
        <v>0.57023972229676601</v>
      </c>
      <c r="G96" s="195">
        <v>0.53653175775760331</v>
      </c>
      <c r="H96" s="195">
        <v>0.54380700000000004</v>
      </c>
      <c r="I96" s="10">
        <f t="shared" ref="I96" si="196">I53/I67</f>
        <v>0.6142198461117756</v>
      </c>
      <c r="J96" s="10">
        <f t="shared" si="193"/>
        <v>0.57787930290187206</v>
      </c>
      <c r="K96" s="10">
        <f t="shared" si="194"/>
        <v>0.58753945186735324</v>
      </c>
      <c r="L96" s="10">
        <f t="shared" si="194"/>
        <v>0.68096948187769002</v>
      </c>
      <c r="M96" s="10">
        <f t="shared" si="194"/>
        <v>0.85222058563531045</v>
      </c>
      <c r="N96" s="10">
        <f t="shared" si="194"/>
        <v>1.1020062020716337</v>
      </c>
      <c r="P96" s="10">
        <f t="shared" si="184"/>
        <v>0.5976458730544385</v>
      </c>
      <c r="Q96" s="10">
        <f t="shared" si="184"/>
        <v>0.6142192420352458</v>
      </c>
      <c r="R96" s="10">
        <f t="shared" si="184"/>
        <v>0.57787930290187206</v>
      </c>
      <c r="S96" s="10">
        <f t="shared" si="184"/>
        <v>0.58759535925584583</v>
      </c>
      <c r="T96" s="10">
        <f t="shared" si="184"/>
        <v>0.68096948187769002</v>
      </c>
      <c r="U96" s="10">
        <f t="shared" si="184"/>
        <v>0.85222058563531045</v>
      </c>
      <c r="V96" s="10">
        <f t="shared" si="184"/>
        <v>1.1020062020716337</v>
      </c>
      <c r="W96" s="297"/>
      <c r="X96" s="10">
        <f t="shared" si="185"/>
        <v>0.5976458730544385</v>
      </c>
      <c r="Y96" s="10">
        <f t="shared" si="186"/>
        <v>0.6142192420352458</v>
      </c>
      <c r="Z96" s="10">
        <f t="shared" si="187"/>
        <v>0.57787930290187206</v>
      </c>
      <c r="AA96" s="10">
        <f t="shared" si="188"/>
        <v>0.58759535925584583</v>
      </c>
      <c r="AB96" s="10">
        <f t="shared" ref="AB96:AD96" si="197">AB80/AB67</f>
        <v>0.64692100778380557</v>
      </c>
      <c r="AC96" s="10">
        <f t="shared" si="197"/>
        <v>0.76912907853586765</v>
      </c>
      <c r="AD96" s="10">
        <f t="shared" si="197"/>
        <v>0.94483256750116684</v>
      </c>
    </row>
    <row r="97" spans="1:78">
      <c r="A97" s="194" t="s">
        <v>16</v>
      </c>
      <c r="B97" s="195" t="str">
        <f>'[2]TS BYDem'!D24</f>
        <v>TFHCV5</v>
      </c>
      <c r="C97" s="195" t="str">
        <f t="shared" si="182"/>
        <v>Transport Freight - HCV5</v>
      </c>
      <c r="D97" s="194" t="s">
        <v>150</v>
      </c>
      <c r="F97" s="245">
        <v>0.27326501935541303</v>
      </c>
      <c r="G97" s="10">
        <v>0.28568357599999999</v>
      </c>
      <c r="H97" s="10">
        <v>0.289557377</v>
      </c>
      <c r="I97" s="10">
        <f t="shared" ref="I97" si="198">I54/I68</f>
        <v>0.29434076858094221</v>
      </c>
      <c r="J97" s="10">
        <f t="shared" si="193"/>
        <v>0.27692598869917107</v>
      </c>
      <c r="K97" s="10">
        <f t="shared" si="194"/>
        <v>0.28155523617319139</v>
      </c>
      <c r="L97" s="10">
        <f t="shared" si="194"/>
        <v>0.32632791327874128</v>
      </c>
      <c r="M97" s="10">
        <f t="shared" si="194"/>
        <v>0.40839328745940517</v>
      </c>
      <c r="N97" s="10">
        <f t="shared" si="194"/>
        <v>0.52809324633854615</v>
      </c>
      <c r="P97" s="10">
        <f t="shared" si="184"/>
        <v>0.28639834210446419</v>
      </c>
      <c r="Q97" s="10">
        <f t="shared" si="184"/>
        <v>0.29434047910096006</v>
      </c>
      <c r="R97" s="10">
        <f t="shared" si="184"/>
        <v>0.27692598869917107</v>
      </c>
      <c r="S97" s="10">
        <f t="shared" si="184"/>
        <v>0.28158202759616874</v>
      </c>
      <c r="T97" s="10">
        <f t="shared" si="184"/>
        <v>0.32632791327874128</v>
      </c>
      <c r="U97" s="10">
        <f t="shared" si="184"/>
        <v>0.40839328745940517</v>
      </c>
      <c r="V97" s="10">
        <f t="shared" si="184"/>
        <v>0.52809324633854615</v>
      </c>
      <c r="W97" s="297"/>
      <c r="X97" s="10">
        <f t="shared" si="185"/>
        <v>0.28639834210446419</v>
      </c>
      <c r="Y97" s="10">
        <f t="shared" si="186"/>
        <v>0.29434047910096006</v>
      </c>
      <c r="Z97" s="10">
        <f t="shared" si="187"/>
        <v>0.27692598869917107</v>
      </c>
      <c r="AA97" s="10">
        <f t="shared" si="188"/>
        <v>0.28158202759616874</v>
      </c>
      <c r="AB97" s="10">
        <f t="shared" ref="AB97:AD97" si="199">AB81/AB68</f>
        <v>0.31001151761480422</v>
      </c>
      <c r="AC97" s="10">
        <f t="shared" si="199"/>
        <v>0.36857494193211315</v>
      </c>
      <c r="AD97" s="10">
        <f t="shared" si="199"/>
        <v>0.45277394707951096</v>
      </c>
    </row>
    <row r="98" spans="1:78">
      <c r="A98" s="194" t="s">
        <v>16</v>
      </c>
      <c r="B98" s="195" t="str">
        <f>'[2]TS BYDem'!D25</f>
        <v>TFHCV6</v>
      </c>
      <c r="C98" s="195" t="str">
        <f t="shared" si="182"/>
        <v>Transport Freight - HCV6</v>
      </c>
      <c r="D98" s="194" t="s">
        <v>150</v>
      </c>
      <c r="F98" s="245">
        <v>5.0361375113209599</v>
      </c>
      <c r="G98" s="10">
        <v>6.01</v>
      </c>
      <c r="H98" s="10">
        <v>6.6407838452289196</v>
      </c>
      <c r="I98" s="10">
        <f>I55/I69</f>
        <v>5.4245530191098785</v>
      </c>
      <c r="J98" s="10">
        <f>J55/J69</f>
        <v>5.1036073436594931</v>
      </c>
      <c r="K98" s="10">
        <f t="shared" si="194"/>
        <v>5.188922057222519</v>
      </c>
      <c r="L98" s="10">
        <f t="shared" si="194"/>
        <v>6.0140600832508548</v>
      </c>
      <c r="M98" s="10">
        <f t="shared" si="194"/>
        <v>7.5264838477953289</v>
      </c>
      <c r="N98" s="10">
        <f t="shared" si="194"/>
        <v>9.7324941686069124</v>
      </c>
      <c r="P98" s="10">
        <f t="shared" si="184"/>
        <v>5.2781780750959992</v>
      </c>
      <c r="Q98" s="10">
        <f t="shared" si="184"/>
        <v>5.4245476841387186</v>
      </c>
      <c r="R98" s="10">
        <f t="shared" si="184"/>
        <v>5.1036073436594931</v>
      </c>
      <c r="S98" s="10">
        <f t="shared" si="184"/>
        <v>5.1894158097363094</v>
      </c>
      <c r="T98" s="10">
        <f t="shared" si="184"/>
        <v>6.0140600832508548</v>
      </c>
      <c r="U98" s="10">
        <f t="shared" si="184"/>
        <v>7.5264838477953289</v>
      </c>
      <c r="V98" s="10">
        <f t="shared" si="184"/>
        <v>9.7324941686069124</v>
      </c>
      <c r="W98" s="297"/>
      <c r="X98" s="10">
        <f t="shared" si="185"/>
        <v>5.2781780750959992</v>
      </c>
      <c r="Y98" s="10">
        <f t="shared" si="186"/>
        <v>5.4245476841387186</v>
      </c>
      <c r="Z98" s="10">
        <f t="shared" si="187"/>
        <v>5.1036073436594931</v>
      </c>
      <c r="AA98" s="10">
        <f t="shared" si="188"/>
        <v>5.1894158097363094</v>
      </c>
      <c r="AB98" s="10">
        <f t="shared" ref="AB98:AD98" si="200">AB82/AB69</f>
        <v>5.7133570790883121</v>
      </c>
      <c r="AC98" s="10">
        <f t="shared" si="200"/>
        <v>6.7926516726352837</v>
      </c>
      <c r="AD98" s="10">
        <f t="shared" si="200"/>
        <v>8.3443971878093492</v>
      </c>
    </row>
    <row r="99" spans="1:78">
      <c r="A99" s="194" t="s">
        <v>16</v>
      </c>
      <c r="B99" s="195" t="str">
        <f>'[2]TS BYDem'!D26</f>
        <v>TFHCV7</v>
      </c>
      <c r="C99" s="195" t="str">
        <f t="shared" si="182"/>
        <v>Transport Freight - HCV7</v>
      </c>
      <c r="D99" s="194" t="s">
        <v>150</v>
      </c>
      <c r="F99" s="245">
        <v>1.5653068685251901</v>
      </c>
      <c r="G99" s="10">
        <v>1.7</v>
      </c>
      <c r="H99" s="10">
        <v>1.78</v>
      </c>
      <c r="I99" s="10">
        <f t="shared" ref="I99" si="201">I56/I70</f>
        <v>1.6860322182236378</v>
      </c>
      <c r="J99" s="10">
        <f t="shared" si="193"/>
        <v>1.5862775016225472</v>
      </c>
      <c r="K99" s="10">
        <f t="shared" si="194"/>
        <v>1.6127945907263026</v>
      </c>
      <c r="L99" s="10">
        <f t="shared" si="194"/>
        <v>1.8692598315423128</v>
      </c>
      <c r="M99" s="10">
        <f t="shared" si="194"/>
        <v>2.3393437602357583</v>
      </c>
      <c r="N99" s="10">
        <f t="shared" si="194"/>
        <v>3.0250047652106007</v>
      </c>
      <c r="P99" s="10">
        <f t="shared" si="184"/>
        <v>1.6405366961633561</v>
      </c>
      <c r="Q99" s="10">
        <f t="shared" si="184"/>
        <v>1.6860305600348016</v>
      </c>
      <c r="R99" s="10">
        <f t="shared" si="184"/>
        <v>1.5862775016225472</v>
      </c>
      <c r="S99" s="10">
        <f t="shared" si="184"/>
        <v>1.6129480563930862</v>
      </c>
      <c r="T99" s="10">
        <f t="shared" si="184"/>
        <v>1.8692598315423128</v>
      </c>
      <c r="U99" s="10">
        <f t="shared" si="184"/>
        <v>2.3393437602357583</v>
      </c>
      <c r="V99" s="10">
        <f t="shared" si="184"/>
        <v>3.0250047652106007</v>
      </c>
      <c r="W99" s="297"/>
      <c r="X99" s="10">
        <f t="shared" si="185"/>
        <v>1.6405366961633561</v>
      </c>
      <c r="Y99" s="10">
        <f t="shared" si="186"/>
        <v>1.6860305600348016</v>
      </c>
      <c r="Z99" s="10">
        <f t="shared" si="187"/>
        <v>1.5862775016225472</v>
      </c>
      <c r="AA99" s="10">
        <f t="shared" si="188"/>
        <v>1.6129480563930862</v>
      </c>
      <c r="AB99" s="10">
        <f t="shared" ref="AB99:AD99" si="202">AB83/AB70</f>
        <v>1.7757968399651971</v>
      </c>
      <c r="AC99" s="10">
        <f t="shared" si="202"/>
        <v>2.1112577436127715</v>
      </c>
      <c r="AD99" s="10">
        <f t="shared" si="202"/>
        <v>2.5935634605724385</v>
      </c>
    </row>
    <row r="100" spans="1:78">
      <c r="A100" s="194" t="s">
        <v>16</v>
      </c>
      <c r="B100" s="195" t="str">
        <f>'[2]TS BYDem'!D27</f>
        <v>TFHCV8</v>
      </c>
      <c r="C100" s="195" t="str">
        <f>C21</f>
        <v>Transport Freight - HCV8</v>
      </c>
      <c r="D100" s="194" t="s">
        <v>150</v>
      </c>
      <c r="F100" s="245">
        <v>5.8486156921973897E-2</v>
      </c>
      <c r="G100" s="10">
        <v>7.9893942605822804E-2</v>
      </c>
      <c r="H100" s="10">
        <v>0.102046183451296</v>
      </c>
      <c r="I100" s="10">
        <f>I57/I71</f>
        <v>6.29969412856662E-2</v>
      </c>
      <c r="J100" s="10">
        <f>J57/J71</f>
        <v>5.9269704073492357E-2</v>
      </c>
      <c r="K100" s="10">
        <f t="shared" si="194"/>
        <v>6.0260489117384367E-2</v>
      </c>
      <c r="L100" s="10">
        <f t="shared" si="194"/>
        <v>6.9843061468535861E-2</v>
      </c>
      <c r="M100" s="10">
        <f t="shared" si="194"/>
        <v>8.7407286715925681E-2</v>
      </c>
      <c r="N100" s="10">
        <f t="shared" si="194"/>
        <v>0.1130263381227723</v>
      </c>
      <c r="P100" s="10">
        <f t="shared" si="184"/>
        <v>6.1297045695882089E-2</v>
      </c>
      <c r="Q100" s="10">
        <f t="shared" si="184"/>
        <v>6.29968793290656E-2</v>
      </c>
      <c r="R100" s="10">
        <f t="shared" si="184"/>
        <v>5.9269704073492357E-2</v>
      </c>
      <c r="S100" s="10">
        <f t="shared" si="184"/>
        <v>6.0266223211605845E-2</v>
      </c>
      <c r="T100" s="10">
        <f t="shared" si="184"/>
        <v>6.9843061468535861E-2</v>
      </c>
      <c r="U100" s="10">
        <f t="shared" si="184"/>
        <v>8.7407286715925681E-2</v>
      </c>
      <c r="V100" s="10">
        <f t="shared" si="184"/>
        <v>0.1130263381227723</v>
      </c>
      <c r="W100" s="297"/>
      <c r="X100" s="10">
        <f t="shared" si="185"/>
        <v>6.1297045695882089E-2</v>
      </c>
      <c r="Y100" s="10">
        <f t="shared" si="186"/>
        <v>6.29968793290656E-2</v>
      </c>
      <c r="Z100" s="10">
        <f t="shared" si="187"/>
        <v>5.9269704073492357E-2</v>
      </c>
      <c r="AA100" s="10">
        <f t="shared" si="188"/>
        <v>6.0266223211605845E-2</v>
      </c>
      <c r="AB100" s="10">
        <f t="shared" ref="AB100:AD100" si="203">AB84/AB71</f>
        <v>6.6350908395109057E-2</v>
      </c>
      <c r="AC100" s="10">
        <f t="shared" si="203"/>
        <v>7.8885076261122927E-2</v>
      </c>
      <c r="AD100" s="10">
        <f t="shared" si="203"/>
        <v>9.6905956648011896E-2</v>
      </c>
    </row>
    <row r="101" spans="1:78">
      <c r="A101" s="194" t="s">
        <v>16</v>
      </c>
      <c r="B101" s="195" t="str">
        <f>'[2]TS BYDem'!D28</f>
        <v>TFHCV9</v>
      </c>
      <c r="C101" s="195" t="str">
        <f>C22</f>
        <v>Transport Freight - HCV9</v>
      </c>
      <c r="D101" s="194" t="s">
        <v>150</v>
      </c>
      <c r="F101" s="245">
        <v>3.9969372950314899E-2</v>
      </c>
      <c r="G101" s="24">
        <v>2.2368931977559604E-2</v>
      </c>
      <c r="H101" s="195">
        <v>2.2670999999999997E-2</v>
      </c>
      <c r="I101" s="195">
        <f t="shared" ref="I101" si="204">I58/I72</f>
        <v>4.3052037840938417E-2</v>
      </c>
      <c r="J101" s="195">
        <f t="shared" si="193"/>
        <v>4.0504848180205263E-2</v>
      </c>
      <c r="K101" s="195">
        <f t="shared" si="194"/>
        <v>4.1181949549436034E-2</v>
      </c>
      <c r="L101" s="195">
        <f t="shared" si="194"/>
        <v>4.7730668567468298E-2</v>
      </c>
      <c r="M101" s="10">
        <f t="shared" si="194"/>
        <v>5.9734040073529761E-2</v>
      </c>
      <c r="N101" s="10">
        <f t="shared" si="194"/>
        <v>7.7242070592266454E-2</v>
      </c>
      <c r="P101" s="10">
        <f>P85/P72</f>
        <v>4.1890331133224316E-2</v>
      </c>
      <c r="Q101" s="10">
        <f t="shared" ref="Q101:V101" si="205">Q85/Q72</f>
        <v>4.3051995499868219E-2</v>
      </c>
      <c r="R101" s="10">
        <f t="shared" si="205"/>
        <v>4.0504848180205263E-2</v>
      </c>
      <c r="S101" s="10">
        <f t="shared" si="205"/>
        <v>4.1185868222888562E-2</v>
      </c>
      <c r="T101" s="10">
        <f t="shared" si="205"/>
        <v>4.7730668567468298E-2</v>
      </c>
      <c r="U101" s="10">
        <f t="shared" si="205"/>
        <v>5.9734040073529761E-2</v>
      </c>
      <c r="V101" s="10">
        <f t="shared" si="205"/>
        <v>7.7242070592266454E-2</v>
      </c>
      <c r="W101" s="297"/>
      <c r="X101" s="10">
        <f t="shared" si="185"/>
        <v>4.1890331133224316E-2</v>
      </c>
      <c r="Y101" s="10">
        <f t="shared" si="186"/>
        <v>4.3051995499868219E-2</v>
      </c>
      <c r="Z101" s="10">
        <f t="shared" si="187"/>
        <v>4.0504848180205263E-2</v>
      </c>
      <c r="AA101" s="10">
        <f t="shared" si="188"/>
        <v>4.1185868222888562E-2</v>
      </c>
      <c r="AB101" s="10">
        <f t="shared" ref="AB101:AD101" si="206">AB85/AB72</f>
        <v>4.5344135139094882E-2</v>
      </c>
      <c r="AC101" s="10">
        <f t="shared" si="206"/>
        <v>5.3909971166360607E-2</v>
      </c>
      <c r="AD101" s="10">
        <f t="shared" si="206"/>
        <v>6.6225420274044447E-2</v>
      </c>
    </row>
    <row r="102" spans="1:78">
      <c r="A102" s="194" t="s">
        <v>16</v>
      </c>
      <c r="B102" s="195" t="str">
        <f>'[2]TS BYDem'!D29</f>
        <v>TFRCO</v>
      </c>
      <c r="C102" s="195" t="str">
        <f>C23</f>
        <v>Transport Freight - Rail Corridor</v>
      </c>
      <c r="D102" s="194" t="s">
        <v>149</v>
      </c>
      <c r="F102" s="245">
        <f>'[2]TS BYDem'!J29</f>
        <v>22</v>
      </c>
      <c r="G102" s="10">
        <f t="shared" ref="G102:H102" si="207">G59</f>
        <v>23.057336578097942</v>
      </c>
      <c r="H102" s="10">
        <f t="shared" si="207"/>
        <v>23.440803697006192</v>
      </c>
      <c r="I102" s="10">
        <f t="shared" ref="I102:N102" si="208">I59</f>
        <v>23.696764862386523</v>
      </c>
      <c r="J102" s="10">
        <f t="shared" si="208"/>
        <v>22.294737049596232</v>
      </c>
      <c r="K102" s="10">
        <f t="shared" si="208"/>
        <v>22.667428163404651</v>
      </c>
      <c r="L102" s="10">
        <f t="shared" si="208"/>
        <v>26.271983545742081</v>
      </c>
      <c r="M102" s="10">
        <f t="shared" si="208"/>
        <v>32.878896630458648</v>
      </c>
      <c r="N102" s="10">
        <f t="shared" si="208"/>
        <v>42.515692081090613</v>
      </c>
      <c r="P102" s="10"/>
      <c r="W102" s="297"/>
    </row>
    <row r="103" spans="1:78">
      <c r="A103" s="194" t="s">
        <v>16</v>
      </c>
      <c r="B103" s="195" t="str">
        <f>'[2]TS BYDem'!D30</f>
        <v>TFROT</v>
      </c>
      <c r="C103" s="195" t="str">
        <f>C24</f>
        <v>Transport Freight - Rail Other</v>
      </c>
      <c r="D103" s="194" t="s">
        <v>149</v>
      </c>
      <c r="F103" s="245">
        <f>'[2]TS BYDem'!J30</f>
        <v>25.1</v>
      </c>
      <c r="G103" s="10">
        <f t="shared" ref="G103:H103" si="209">G47</f>
        <v>26.306324914102674</v>
      </c>
      <c r="H103" s="10">
        <f t="shared" si="209"/>
        <v>26.743826036129814</v>
      </c>
      <c r="I103" s="10">
        <f t="shared" ref="I103:N103" si="210">I47</f>
        <v>27.035854456631917</v>
      </c>
      <c r="J103" s="10">
        <f t="shared" si="210"/>
        <v>25.436268179312091</v>
      </c>
      <c r="K103" s="10">
        <f t="shared" si="210"/>
        <v>25.861474859157145</v>
      </c>
      <c r="L103" s="10">
        <f t="shared" si="210"/>
        <v>29.973944863551218</v>
      </c>
      <c r="M103" s="10">
        <f t="shared" si="210"/>
        <v>37.511832064750571</v>
      </c>
      <c r="N103" s="10">
        <f t="shared" si="210"/>
        <v>48.506539601607955</v>
      </c>
      <c r="P103" s="10"/>
    </row>
    <row r="104" spans="1:78">
      <c r="A104" s="194" t="s">
        <v>16</v>
      </c>
      <c r="B104" s="195" t="str">
        <f>'[2]TS BYDem'!D31</f>
        <v>TFREX</v>
      </c>
      <c r="C104" s="195" t="str">
        <f>C25</f>
        <v>Transport Freight - Rail Export (bulk mining)</v>
      </c>
      <c r="D104" s="194" t="s">
        <v>149</v>
      </c>
      <c r="F104" s="245">
        <f>'[2]TS BYDem'!J31</f>
        <v>82.000000000000014</v>
      </c>
      <c r="G104" s="10">
        <f>F104</f>
        <v>82.000000000000014</v>
      </c>
      <c r="H104" s="10">
        <f>G104</f>
        <v>82.000000000000014</v>
      </c>
      <c r="I104" s="10">
        <f>F104*(1+(F25+I25)/2*((I8/F8)^(1/(I$4-F$4))-1))^(I$4-F$4)</f>
        <v>83.472345553875925</v>
      </c>
      <c r="J104" s="10">
        <f>G104*(1+(G25+J25)/2*((J8/G8)^(1/(J$4-G$4))-1))^(J$4-G$4)</f>
        <v>75.296230147600653</v>
      </c>
      <c r="K104" s="10">
        <f>I104*(1+(I25+K25)/2*((K8/I8)^(1/(K$4-I$4))-1))^(K$4-I$4)</f>
        <v>79.105852655656591</v>
      </c>
      <c r="L104" s="10">
        <f>J104*(1+(J25+L25)/2*((L8/J8)^(1/(L$4-J$4))-1))^(L$4-J$4)</f>
        <v>88.040877070249095</v>
      </c>
      <c r="M104" s="10">
        <f>L104*(1+(L25+M25)/2*((M8/L8)^(1/(M$4-L$4))-1))^(M$4-L$4)</f>
        <v>106.52661741121337</v>
      </c>
      <c r="N104" s="10">
        <f>M104*(1+(M25+N25)/2*((N8/M8)^(1/(N$4-M$4))-1))^(N$4-M$4)</f>
        <v>129.58709683179268</v>
      </c>
      <c r="P104" s="10"/>
    </row>
    <row r="105" spans="1:78">
      <c r="B105" s="195"/>
      <c r="C105" s="195"/>
      <c r="F105" s="245"/>
      <c r="G105" s="10"/>
      <c r="H105" s="10"/>
      <c r="J105" s="10"/>
      <c r="L105" s="10"/>
      <c r="M105" s="10"/>
      <c r="N105" s="10"/>
      <c r="P105" s="10"/>
    </row>
    <row r="106" spans="1:78" ht="23.25">
      <c r="A106" s="121" t="s">
        <v>16</v>
      </c>
      <c r="B106" s="125" t="s">
        <v>18</v>
      </c>
      <c r="C106" s="125" t="s">
        <v>19</v>
      </c>
      <c r="D106" s="125" t="s">
        <v>20</v>
      </c>
      <c r="E106" s="125" t="s">
        <v>21</v>
      </c>
      <c r="F106" s="125" t="s">
        <v>22</v>
      </c>
      <c r="G106" s="125" t="s">
        <v>23</v>
      </c>
      <c r="H106" s="125" t="s">
        <v>24</v>
      </c>
      <c r="I106" s="125" t="s">
        <v>618</v>
      </c>
      <c r="J106" s="125" t="s">
        <v>653</v>
      </c>
      <c r="K106" s="125" t="s">
        <v>654</v>
      </c>
      <c r="L106" s="126" t="s">
        <v>25</v>
      </c>
      <c r="M106" s="194">
        <v>2012</v>
      </c>
      <c r="N106" s="194">
        <f t="shared" ref="N106:AY106" si="211">1+M106</f>
        <v>2013</v>
      </c>
      <c r="O106" s="194">
        <f t="shared" si="211"/>
        <v>2014</v>
      </c>
      <c r="P106" s="194">
        <f t="shared" si="211"/>
        <v>2015</v>
      </c>
      <c r="Q106" s="194">
        <f t="shared" si="211"/>
        <v>2016</v>
      </c>
      <c r="R106" s="194">
        <f t="shared" si="211"/>
        <v>2017</v>
      </c>
      <c r="S106" s="194">
        <f t="shared" si="211"/>
        <v>2018</v>
      </c>
      <c r="T106" s="194">
        <f t="shared" si="211"/>
        <v>2019</v>
      </c>
      <c r="U106" s="194">
        <f t="shared" si="211"/>
        <v>2020</v>
      </c>
      <c r="V106" s="194">
        <f t="shared" si="211"/>
        <v>2021</v>
      </c>
      <c r="W106" s="194">
        <f t="shared" si="211"/>
        <v>2022</v>
      </c>
      <c r="X106" s="194">
        <f t="shared" si="211"/>
        <v>2023</v>
      </c>
      <c r="Y106" s="194">
        <f t="shared" si="211"/>
        <v>2024</v>
      </c>
      <c r="Z106" s="194">
        <f t="shared" si="211"/>
        <v>2025</v>
      </c>
      <c r="AA106" s="194">
        <f t="shared" si="211"/>
        <v>2026</v>
      </c>
      <c r="AB106" s="194">
        <f t="shared" si="211"/>
        <v>2027</v>
      </c>
      <c r="AC106" s="194">
        <f t="shared" si="211"/>
        <v>2028</v>
      </c>
      <c r="AD106" s="194">
        <f t="shared" si="211"/>
        <v>2029</v>
      </c>
      <c r="AE106" s="194">
        <f t="shared" si="211"/>
        <v>2030</v>
      </c>
      <c r="AF106" s="194">
        <f t="shared" si="211"/>
        <v>2031</v>
      </c>
      <c r="AG106" s="194">
        <f t="shared" si="211"/>
        <v>2032</v>
      </c>
      <c r="AH106" s="194">
        <f t="shared" si="211"/>
        <v>2033</v>
      </c>
      <c r="AI106" s="194">
        <f t="shared" si="211"/>
        <v>2034</v>
      </c>
      <c r="AJ106" s="194">
        <f t="shared" si="211"/>
        <v>2035</v>
      </c>
      <c r="AK106" s="194">
        <f t="shared" si="211"/>
        <v>2036</v>
      </c>
      <c r="AL106" s="194">
        <f t="shared" si="211"/>
        <v>2037</v>
      </c>
      <c r="AM106" s="194">
        <f t="shared" si="211"/>
        <v>2038</v>
      </c>
      <c r="AN106" s="194">
        <f t="shared" si="211"/>
        <v>2039</v>
      </c>
      <c r="AO106" s="194">
        <f t="shared" si="211"/>
        <v>2040</v>
      </c>
      <c r="AP106" s="194">
        <f t="shared" si="211"/>
        <v>2041</v>
      </c>
      <c r="AQ106" s="194">
        <f t="shared" si="211"/>
        <v>2042</v>
      </c>
      <c r="AR106" s="194">
        <f t="shared" si="211"/>
        <v>2043</v>
      </c>
      <c r="AS106" s="194">
        <f t="shared" si="211"/>
        <v>2044</v>
      </c>
      <c r="AT106" s="194">
        <f t="shared" si="211"/>
        <v>2045</v>
      </c>
      <c r="AU106" s="194">
        <f t="shared" si="211"/>
        <v>2046</v>
      </c>
      <c r="AV106" s="194">
        <f t="shared" si="211"/>
        <v>2047</v>
      </c>
      <c r="AW106" s="194">
        <f t="shared" si="211"/>
        <v>2048</v>
      </c>
      <c r="AX106" s="194">
        <f t="shared" si="211"/>
        <v>2049</v>
      </c>
      <c r="AY106" s="194">
        <f t="shared" si="211"/>
        <v>2050</v>
      </c>
      <c r="AZ106" s="194">
        <v>2060</v>
      </c>
      <c r="BA106" s="194">
        <v>2070</v>
      </c>
    </row>
    <row r="107" spans="1:78" s="200" customFormat="1">
      <c r="A107" s="121" t="s">
        <v>16</v>
      </c>
      <c r="B107" s="200" t="s">
        <v>392</v>
      </c>
      <c r="C107" s="200">
        <v>1</v>
      </c>
      <c r="D107" s="200">
        <v>2012</v>
      </c>
      <c r="E107" s="200">
        <v>2015</v>
      </c>
      <c r="F107" s="200">
        <v>2017</v>
      </c>
      <c r="G107" s="200">
        <v>2019</v>
      </c>
      <c r="H107" s="200">
        <v>2020</v>
      </c>
      <c r="I107" s="200">
        <v>2021</v>
      </c>
      <c r="J107" s="200">
        <v>2030</v>
      </c>
      <c r="K107" s="200">
        <v>2040</v>
      </c>
      <c r="L107" s="247">
        <v>2050</v>
      </c>
      <c r="M107" s="200">
        <f t="shared" ref="M107:V108" si="212">MATCH(M$106,$D$107:$L$107,$C107)</f>
        <v>1</v>
      </c>
      <c r="N107" s="200">
        <f t="shared" si="212"/>
        <v>1</v>
      </c>
      <c r="O107" s="200">
        <f t="shared" si="212"/>
        <v>1</v>
      </c>
      <c r="P107" s="200">
        <f t="shared" si="212"/>
        <v>2</v>
      </c>
      <c r="Q107" s="200">
        <f t="shared" si="212"/>
        <v>2</v>
      </c>
      <c r="R107" s="200">
        <f t="shared" si="212"/>
        <v>3</v>
      </c>
      <c r="S107" s="200">
        <f t="shared" si="212"/>
        <v>3</v>
      </c>
      <c r="T107" s="200">
        <f t="shared" si="212"/>
        <v>4</v>
      </c>
      <c r="U107" s="200">
        <f t="shared" si="212"/>
        <v>5</v>
      </c>
      <c r="V107" s="200">
        <f t="shared" si="212"/>
        <v>6</v>
      </c>
      <c r="W107" s="200">
        <f t="shared" ref="W107:AF108" si="213">MATCH(W$106,$D$107:$L$107,$C107)</f>
        <v>6</v>
      </c>
      <c r="X107" s="200">
        <f t="shared" si="213"/>
        <v>6</v>
      </c>
      <c r="Y107" s="200">
        <f t="shared" si="213"/>
        <v>6</v>
      </c>
      <c r="Z107" s="200">
        <f t="shared" si="213"/>
        <v>6</v>
      </c>
      <c r="AA107" s="200">
        <f t="shared" si="213"/>
        <v>6</v>
      </c>
      <c r="AB107" s="200">
        <f t="shared" si="213"/>
        <v>6</v>
      </c>
      <c r="AC107" s="200">
        <f t="shared" si="213"/>
        <v>6</v>
      </c>
      <c r="AD107" s="200">
        <f t="shared" si="213"/>
        <v>6</v>
      </c>
      <c r="AE107" s="200">
        <f t="shared" si="213"/>
        <v>7</v>
      </c>
      <c r="AF107" s="200">
        <f t="shared" si="213"/>
        <v>7</v>
      </c>
      <c r="AG107" s="200">
        <f t="shared" ref="AG107:AP108" si="214">MATCH(AG$106,$D$107:$L$107,$C107)</f>
        <v>7</v>
      </c>
      <c r="AH107" s="200">
        <f t="shared" si="214"/>
        <v>7</v>
      </c>
      <c r="AI107" s="200">
        <f t="shared" si="214"/>
        <v>7</v>
      </c>
      <c r="AJ107" s="200">
        <f t="shared" si="214"/>
        <v>7</v>
      </c>
      <c r="AK107" s="200">
        <f t="shared" si="214"/>
        <v>7</v>
      </c>
      <c r="AL107" s="200">
        <f t="shared" si="214"/>
        <v>7</v>
      </c>
      <c r="AM107" s="200">
        <f t="shared" si="214"/>
        <v>7</v>
      </c>
      <c r="AN107" s="200">
        <f t="shared" si="214"/>
        <v>7</v>
      </c>
      <c r="AO107" s="200">
        <f t="shared" si="214"/>
        <v>8</v>
      </c>
      <c r="AP107" s="200">
        <f t="shared" si="214"/>
        <v>8</v>
      </c>
      <c r="AQ107" s="200">
        <f t="shared" ref="AQ107:BA108" si="215">MATCH(AQ$106,$D$107:$L$107,$C107)</f>
        <v>8</v>
      </c>
      <c r="AR107" s="200">
        <f t="shared" si="215"/>
        <v>8</v>
      </c>
      <c r="AS107" s="200">
        <f t="shared" si="215"/>
        <v>8</v>
      </c>
      <c r="AT107" s="200">
        <f t="shared" si="215"/>
        <v>8</v>
      </c>
      <c r="AU107" s="200">
        <f t="shared" si="215"/>
        <v>8</v>
      </c>
      <c r="AV107" s="200">
        <f t="shared" si="215"/>
        <v>8</v>
      </c>
      <c r="AW107" s="200">
        <f t="shared" si="215"/>
        <v>8</v>
      </c>
      <c r="AX107" s="200">
        <f t="shared" si="215"/>
        <v>8</v>
      </c>
      <c r="AY107" s="200">
        <f t="shared" si="215"/>
        <v>9</v>
      </c>
      <c r="AZ107" s="200">
        <f t="shared" si="215"/>
        <v>9</v>
      </c>
      <c r="BA107" s="200">
        <f t="shared" si="215"/>
        <v>9</v>
      </c>
      <c r="BB107" s="194"/>
      <c r="BC107" s="194"/>
      <c r="BD107" s="194"/>
      <c r="BE107" s="194"/>
      <c r="BF107" s="194"/>
      <c r="BG107" s="194"/>
      <c r="BH107" s="194"/>
      <c r="BI107" s="194"/>
      <c r="BJ107" s="194"/>
      <c r="BK107" s="194"/>
      <c r="BL107" s="194"/>
      <c r="BM107" s="194"/>
      <c r="BN107" s="194"/>
      <c r="BO107" s="194"/>
      <c r="BP107" s="194"/>
      <c r="BQ107" s="194"/>
      <c r="BR107" s="194"/>
      <c r="BS107" s="194"/>
      <c r="BT107" s="194"/>
      <c r="BU107" s="194"/>
      <c r="BV107" s="194"/>
      <c r="BW107" s="194"/>
      <c r="BX107" s="194"/>
      <c r="BY107" s="194"/>
      <c r="BZ107" s="194"/>
    </row>
    <row r="108" spans="1:78">
      <c r="A108" s="41" t="s">
        <v>16</v>
      </c>
      <c r="B108" s="194" t="s">
        <v>393</v>
      </c>
      <c r="C108" s="194">
        <v>0</v>
      </c>
      <c r="D108" s="194">
        <f>INDEX($D107:$L107,0,COUNT($D107:$L107)-D109)</f>
        <v>2050</v>
      </c>
      <c r="E108" s="293">
        <f t="shared" ref="E108:L108" si="216">INDEX($D107:$L107,0,COUNT($D107:$L107)-E109)</f>
        <v>2040</v>
      </c>
      <c r="F108" s="293">
        <f t="shared" si="216"/>
        <v>2030</v>
      </c>
      <c r="G108" s="293">
        <f t="shared" si="216"/>
        <v>2021</v>
      </c>
      <c r="H108" s="293">
        <f t="shared" si="216"/>
        <v>2020</v>
      </c>
      <c r="I108" s="293">
        <f t="shared" si="216"/>
        <v>2019</v>
      </c>
      <c r="J108" s="293">
        <f t="shared" si="216"/>
        <v>2017</v>
      </c>
      <c r="K108" s="293">
        <f t="shared" si="216"/>
        <v>2015</v>
      </c>
      <c r="L108" s="293">
        <f t="shared" si="216"/>
        <v>2012</v>
      </c>
      <c r="M108" s="41">
        <f t="shared" si="212"/>
        <v>1</v>
      </c>
      <c r="N108" s="41" t="e">
        <f t="shared" si="212"/>
        <v>#N/A</v>
      </c>
      <c r="O108" s="41" t="e">
        <f t="shared" si="212"/>
        <v>#N/A</v>
      </c>
      <c r="P108" s="41">
        <f t="shared" si="212"/>
        <v>2</v>
      </c>
      <c r="Q108" s="41" t="e">
        <f t="shared" si="212"/>
        <v>#N/A</v>
      </c>
      <c r="R108" s="41">
        <f t="shared" si="212"/>
        <v>3</v>
      </c>
      <c r="S108" s="41" t="e">
        <f t="shared" si="212"/>
        <v>#N/A</v>
      </c>
      <c r="T108" s="41">
        <f t="shared" si="212"/>
        <v>4</v>
      </c>
      <c r="U108" s="41">
        <f t="shared" si="212"/>
        <v>5</v>
      </c>
      <c r="V108" s="41">
        <f t="shared" si="212"/>
        <v>6</v>
      </c>
      <c r="W108" s="41" t="e">
        <f t="shared" si="213"/>
        <v>#N/A</v>
      </c>
      <c r="X108" s="41" t="e">
        <f t="shared" si="213"/>
        <v>#N/A</v>
      </c>
      <c r="Y108" s="41" t="e">
        <f t="shared" si="213"/>
        <v>#N/A</v>
      </c>
      <c r="Z108" s="41" t="e">
        <f t="shared" si="213"/>
        <v>#N/A</v>
      </c>
      <c r="AA108" s="41" t="e">
        <f t="shared" si="213"/>
        <v>#N/A</v>
      </c>
      <c r="AB108" s="41" t="e">
        <f t="shared" si="213"/>
        <v>#N/A</v>
      </c>
      <c r="AC108" s="41" t="e">
        <f t="shared" si="213"/>
        <v>#N/A</v>
      </c>
      <c r="AD108" s="41" t="e">
        <f t="shared" si="213"/>
        <v>#N/A</v>
      </c>
      <c r="AE108" s="41">
        <f t="shared" si="213"/>
        <v>7</v>
      </c>
      <c r="AF108" s="41" t="e">
        <f t="shared" si="213"/>
        <v>#N/A</v>
      </c>
      <c r="AG108" s="41" t="e">
        <f t="shared" si="214"/>
        <v>#N/A</v>
      </c>
      <c r="AH108" s="41" t="e">
        <f t="shared" si="214"/>
        <v>#N/A</v>
      </c>
      <c r="AI108" s="41" t="e">
        <f t="shared" si="214"/>
        <v>#N/A</v>
      </c>
      <c r="AJ108" s="41" t="e">
        <f t="shared" si="214"/>
        <v>#N/A</v>
      </c>
      <c r="AK108" s="41" t="e">
        <f t="shared" si="214"/>
        <v>#N/A</v>
      </c>
      <c r="AL108" s="41" t="e">
        <f t="shared" si="214"/>
        <v>#N/A</v>
      </c>
      <c r="AM108" s="41" t="e">
        <f t="shared" si="214"/>
        <v>#N/A</v>
      </c>
      <c r="AN108" s="41" t="e">
        <f t="shared" si="214"/>
        <v>#N/A</v>
      </c>
      <c r="AO108" s="41">
        <f t="shared" si="214"/>
        <v>8</v>
      </c>
      <c r="AP108" s="41" t="e">
        <f t="shared" si="214"/>
        <v>#N/A</v>
      </c>
      <c r="AQ108" s="41" t="e">
        <f t="shared" si="215"/>
        <v>#N/A</v>
      </c>
      <c r="AR108" s="41" t="e">
        <f t="shared" si="215"/>
        <v>#N/A</v>
      </c>
      <c r="AS108" s="41" t="e">
        <f t="shared" si="215"/>
        <v>#N/A</v>
      </c>
      <c r="AT108" s="41" t="e">
        <f t="shared" si="215"/>
        <v>#N/A</v>
      </c>
      <c r="AU108" s="41" t="e">
        <f t="shared" si="215"/>
        <v>#N/A</v>
      </c>
      <c r="AV108" s="41" t="e">
        <f t="shared" si="215"/>
        <v>#N/A</v>
      </c>
      <c r="AW108" s="41" t="e">
        <f t="shared" si="215"/>
        <v>#N/A</v>
      </c>
      <c r="AX108" s="41" t="e">
        <f t="shared" si="215"/>
        <v>#N/A</v>
      </c>
      <c r="AY108" s="41">
        <f t="shared" si="215"/>
        <v>9</v>
      </c>
      <c r="AZ108" s="41" t="e">
        <f t="shared" si="215"/>
        <v>#N/A</v>
      </c>
      <c r="BA108" s="41" t="e">
        <f t="shared" si="215"/>
        <v>#N/A</v>
      </c>
    </row>
    <row r="109" spans="1:78">
      <c r="A109" s="41" t="s">
        <v>16</v>
      </c>
      <c r="B109" s="194" t="s">
        <v>391</v>
      </c>
      <c r="C109" s="194">
        <v>-1</v>
      </c>
      <c r="D109" s="194">
        <v>0</v>
      </c>
      <c r="E109" s="293">
        <v>1</v>
      </c>
      <c r="F109" s="293">
        <v>2</v>
      </c>
      <c r="G109" s="293">
        <v>3</v>
      </c>
      <c r="H109" s="293">
        <v>4</v>
      </c>
      <c r="I109" s="293">
        <v>5</v>
      </c>
      <c r="J109" s="293">
        <v>6</v>
      </c>
      <c r="K109" s="293">
        <v>7</v>
      </c>
      <c r="L109" s="293">
        <v>8</v>
      </c>
      <c r="M109" s="41">
        <f t="shared" ref="M109:BA109" si="217">MATCH(M$106,$D$108:$L$108,$C109)</f>
        <v>9</v>
      </c>
      <c r="N109" s="41">
        <f t="shared" si="217"/>
        <v>8</v>
      </c>
      <c r="O109" s="41">
        <f t="shared" si="217"/>
        <v>8</v>
      </c>
      <c r="P109" s="41">
        <f t="shared" si="217"/>
        <v>8</v>
      </c>
      <c r="Q109" s="41">
        <f t="shared" si="217"/>
        <v>7</v>
      </c>
      <c r="R109" s="41">
        <f t="shared" si="217"/>
        <v>7</v>
      </c>
      <c r="S109" s="41">
        <f t="shared" si="217"/>
        <v>6</v>
      </c>
      <c r="T109" s="41">
        <f t="shared" si="217"/>
        <v>6</v>
      </c>
      <c r="U109" s="41">
        <f t="shared" si="217"/>
        <v>5</v>
      </c>
      <c r="V109" s="41">
        <f t="shared" si="217"/>
        <v>4</v>
      </c>
      <c r="W109" s="41">
        <f t="shared" si="217"/>
        <v>3</v>
      </c>
      <c r="X109" s="41">
        <f t="shared" si="217"/>
        <v>3</v>
      </c>
      <c r="Y109" s="41">
        <f t="shared" si="217"/>
        <v>3</v>
      </c>
      <c r="Z109" s="41">
        <f t="shared" si="217"/>
        <v>3</v>
      </c>
      <c r="AA109" s="41">
        <f t="shared" si="217"/>
        <v>3</v>
      </c>
      <c r="AB109" s="41">
        <f t="shared" si="217"/>
        <v>3</v>
      </c>
      <c r="AC109" s="41">
        <f t="shared" si="217"/>
        <v>3</v>
      </c>
      <c r="AD109" s="41">
        <f t="shared" si="217"/>
        <v>3</v>
      </c>
      <c r="AE109" s="41">
        <f t="shared" si="217"/>
        <v>3</v>
      </c>
      <c r="AF109" s="41">
        <f t="shared" si="217"/>
        <v>2</v>
      </c>
      <c r="AG109" s="41">
        <f t="shared" si="217"/>
        <v>2</v>
      </c>
      <c r="AH109" s="41">
        <f t="shared" si="217"/>
        <v>2</v>
      </c>
      <c r="AI109" s="41">
        <f t="shared" si="217"/>
        <v>2</v>
      </c>
      <c r="AJ109" s="41">
        <f t="shared" si="217"/>
        <v>2</v>
      </c>
      <c r="AK109" s="41">
        <f t="shared" si="217"/>
        <v>2</v>
      </c>
      <c r="AL109" s="41">
        <f t="shared" si="217"/>
        <v>2</v>
      </c>
      <c r="AM109" s="41">
        <f t="shared" si="217"/>
        <v>2</v>
      </c>
      <c r="AN109" s="41">
        <f t="shared" si="217"/>
        <v>2</v>
      </c>
      <c r="AO109" s="41">
        <f t="shared" si="217"/>
        <v>2</v>
      </c>
      <c r="AP109" s="41">
        <f t="shared" si="217"/>
        <v>1</v>
      </c>
      <c r="AQ109" s="41">
        <f t="shared" si="217"/>
        <v>1</v>
      </c>
      <c r="AR109" s="41">
        <f t="shared" si="217"/>
        <v>1</v>
      </c>
      <c r="AS109" s="41">
        <f t="shared" si="217"/>
        <v>1</v>
      </c>
      <c r="AT109" s="41">
        <f t="shared" si="217"/>
        <v>1</v>
      </c>
      <c r="AU109" s="41">
        <f t="shared" si="217"/>
        <v>1</v>
      </c>
      <c r="AV109" s="41">
        <f t="shared" si="217"/>
        <v>1</v>
      </c>
      <c r="AW109" s="41">
        <f t="shared" si="217"/>
        <v>1</v>
      </c>
      <c r="AX109" s="41">
        <f t="shared" si="217"/>
        <v>1</v>
      </c>
      <c r="AY109" s="41">
        <f t="shared" si="217"/>
        <v>1</v>
      </c>
      <c r="AZ109" s="41" t="e">
        <f t="shared" si="217"/>
        <v>#N/A</v>
      </c>
      <c r="BA109" s="41" t="e">
        <f t="shared" si="217"/>
        <v>#N/A</v>
      </c>
    </row>
    <row r="110" spans="1:78" s="124" customFormat="1">
      <c r="A110" s="123" t="s">
        <v>16</v>
      </c>
      <c r="B110" s="124" t="s">
        <v>394</v>
      </c>
      <c r="L110" s="129"/>
      <c r="M110" s="198">
        <f t="shared" ref="M110:BA110" si="218">IF(ISNA(M107),-1,IF(ISNA(M109),99,IF(ISNA(M108),M107,0)))</f>
        <v>0</v>
      </c>
      <c r="N110" s="198">
        <f t="shared" si="218"/>
        <v>1</v>
      </c>
      <c r="O110" s="198">
        <f t="shared" si="218"/>
        <v>1</v>
      </c>
      <c r="P110" s="198">
        <f t="shared" si="218"/>
        <v>0</v>
      </c>
      <c r="Q110" s="198">
        <f t="shared" si="218"/>
        <v>2</v>
      </c>
      <c r="R110" s="198">
        <f t="shared" si="218"/>
        <v>0</v>
      </c>
      <c r="S110" s="198">
        <f t="shared" si="218"/>
        <v>3</v>
      </c>
      <c r="T110" s="198">
        <f t="shared" si="218"/>
        <v>0</v>
      </c>
      <c r="U110" s="198">
        <f t="shared" si="218"/>
        <v>0</v>
      </c>
      <c r="V110" s="198">
        <f t="shared" si="218"/>
        <v>0</v>
      </c>
      <c r="W110" s="198">
        <f t="shared" si="218"/>
        <v>6</v>
      </c>
      <c r="X110" s="198">
        <f t="shared" si="218"/>
        <v>6</v>
      </c>
      <c r="Y110" s="198">
        <f t="shared" si="218"/>
        <v>6</v>
      </c>
      <c r="Z110" s="198">
        <f t="shared" si="218"/>
        <v>6</v>
      </c>
      <c r="AA110" s="198">
        <f t="shared" si="218"/>
        <v>6</v>
      </c>
      <c r="AB110" s="198">
        <f t="shared" si="218"/>
        <v>6</v>
      </c>
      <c r="AC110" s="198">
        <f t="shared" si="218"/>
        <v>6</v>
      </c>
      <c r="AD110" s="198">
        <f t="shared" si="218"/>
        <v>6</v>
      </c>
      <c r="AE110" s="198">
        <f t="shared" si="218"/>
        <v>0</v>
      </c>
      <c r="AF110" s="198">
        <f t="shared" si="218"/>
        <v>7</v>
      </c>
      <c r="AG110" s="198">
        <f t="shared" si="218"/>
        <v>7</v>
      </c>
      <c r="AH110" s="198">
        <f t="shared" si="218"/>
        <v>7</v>
      </c>
      <c r="AI110" s="198">
        <f t="shared" si="218"/>
        <v>7</v>
      </c>
      <c r="AJ110" s="198">
        <f t="shared" si="218"/>
        <v>7</v>
      </c>
      <c r="AK110" s="198">
        <f t="shared" si="218"/>
        <v>7</v>
      </c>
      <c r="AL110" s="198">
        <f t="shared" si="218"/>
        <v>7</v>
      </c>
      <c r="AM110" s="198">
        <f t="shared" si="218"/>
        <v>7</v>
      </c>
      <c r="AN110" s="198">
        <f t="shared" si="218"/>
        <v>7</v>
      </c>
      <c r="AO110" s="198">
        <f t="shared" si="218"/>
        <v>0</v>
      </c>
      <c r="AP110" s="198">
        <f t="shared" si="218"/>
        <v>8</v>
      </c>
      <c r="AQ110" s="198">
        <f t="shared" si="218"/>
        <v>8</v>
      </c>
      <c r="AR110" s="198">
        <f t="shared" si="218"/>
        <v>8</v>
      </c>
      <c r="AS110" s="198">
        <f t="shared" si="218"/>
        <v>8</v>
      </c>
      <c r="AT110" s="198">
        <f t="shared" si="218"/>
        <v>8</v>
      </c>
      <c r="AU110" s="198">
        <f t="shared" si="218"/>
        <v>8</v>
      </c>
      <c r="AV110" s="198">
        <f t="shared" si="218"/>
        <v>8</v>
      </c>
      <c r="AW110" s="198">
        <f t="shared" si="218"/>
        <v>8</v>
      </c>
      <c r="AX110" s="198">
        <f t="shared" si="218"/>
        <v>8</v>
      </c>
      <c r="AY110" s="198">
        <f t="shared" si="218"/>
        <v>0</v>
      </c>
      <c r="AZ110" s="198">
        <f t="shared" si="218"/>
        <v>99</v>
      </c>
      <c r="BA110" s="198">
        <f t="shared" si="218"/>
        <v>99</v>
      </c>
      <c r="BB110" s="194"/>
      <c r="BC110" s="194"/>
      <c r="BD110" s="194"/>
      <c r="BE110" s="194"/>
      <c r="BF110" s="194"/>
      <c r="BG110" s="194"/>
      <c r="BH110" s="194"/>
      <c r="BI110" s="194"/>
      <c r="BJ110" s="194"/>
      <c r="BK110" s="194"/>
      <c r="BL110" s="194"/>
      <c r="BM110" s="194"/>
      <c r="BN110" s="194"/>
      <c r="BO110" s="194"/>
      <c r="BP110" s="194"/>
      <c r="BQ110" s="194"/>
      <c r="BR110" s="194"/>
      <c r="BS110" s="194"/>
      <c r="BT110" s="194"/>
      <c r="BU110" s="194"/>
      <c r="BV110" s="194"/>
      <c r="BW110" s="194"/>
      <c r="BX110" s="194"/>
      <c r="BY110" s="194"/>
      <c r="BZ110" s="194"/>
    </row>
    <row r="111" spans="1:78">
      <c r="A111" s="123" t="s">
        <v>16</v>
      </c>
      <c r="B111" s="22" t="str">
        <f t="shared" ref="B111:B123" si="219">IF(A111="*","","COM_PROJ")</f>
        <v/>
      </c>
      <c r="C111" s="23" t="str">
        <f t="shared" ref="C111:C123" si="220">IF($A111="*","","-")</f>
        <v/>
      </c>
      <c r="D111" s="59" t="str">
        <f>ITEMS_TRA!C15</f>
        <v>TFLCV</v>
      </c>
      <c r="E111" s="23" t="str">
        <f t="shared" ref="E111:K123" si="221">IF($A111="*","","-")</f>
        <v/>
      </c>
      <c r="H111" s="23" t="str">
        <f t="shared" si="221"/>
        <v/>
      </c>
      <c r="J111" s="23" t="str">
        <f t="shared" si="221"/>
        <v/>
      </c>
      <c r="K111" s="23" t="str">
        <f t="shared" si="221"/>
        <v/>
      </c>
      <c r="L111" s="132" t="str">
        <f t="shared" ref="L111:L123" si="222">IF(A111="*","",0)</f>
        <v/>
      </c>
      <c r="M111" s="195">
        <f>INDEX('[2]TS BYDem'!J$10:J$59,MATCH($D111,'[2]TS BYDem'!D$10:D$59,0))</f>
        <v>43.11250375056882</v>
      </c>
      <c r="N111" s="195">
        <f t="shared" ref="N111:BA111" si="223">IF(N$110=-1,O111,IF(N$110=99,M111,IF(N$110=0,INDEX($F92:$N92,0,N$108),(INDEX($F92:$N92,0,N$110+1)-INDEX($F92:$N92,0,N$110))/(INDEX($F$4:$N$4,0,N$110+1)-INDEX($F$4:$N$4,0,N$110))+M111)))</f>
        <v>43.541669167045889</v>
      </c>
      <c r="O111" s="195">
        <f t="shared" si="223"/>
        <v>43.970834583522958</v>
      </c>
      <c r="P111" s="195">
        <f t="shared" si="223"/>
        <v>44.4</v>
      </c>
      <c r="Q111" s="195">
        <f t="shared" si="223"/>
        <v>44.871410582810697</v>
      </c>
      <c r="R111" s="195">
        <f t="shared" si="223"/>
        <v>45.342821165621402</v>
      </c>
      <c r="S111" s="195">
        <f t="shared" si="223"/>
        <v>45.89020294658313</v>
      </c>
      <c r="T111" s="195">
        <f t="shared" si="223"/>
        <v>46.437584727544852</v>
      </c>
      <c r="U111" s="195">
        <f t="shared" si="223"/>
        <v>43.690087939484705</v>
      </c>
      <c r="V111" s="195">
        <f t="shared" si="223"/>
        <v>44.420435532296942</v>
      </c>
      <c r="W111" s="195">
        <f t="shared" si="223"/>
        <v>45.205291125429042</v>
      </c>
      <c r="X111" s="195">
        <f t="shared" si="223"/>
        <v>45.990146718561142</v>
      </c>
      <c r="Y111" s="195">
        <f t="shared" si="223"/>
        <v>46.775002311693243</v>
      </c>
      <c r="Z111" s="195">
        <f t="shared" si="223"/>
        <v>47.559857904825343</v>
      </c>
      <c r="AA111" s="195">
        <f t="shared" si="223"/>
        <v>48.344713497957443</v>
      </c>
      <c r="AB111" s="195">
        <f t="shared" si="223"/>
        <v>49.129569091089543</v>
      </c>
      <c r="AC111" s="195">
        <f t="shared" si="223"/>
        <v>49.914424684221643</v>
      </c>
      <c r="AD111" s="195">
        <f t="shared" si="223"/>
        <v>50.699280277353743</v>
      </c>
      <c r="AE111" s="195">
        <f t="shared" si="223"/>
        <v>51.484135870485822</v>
      </c>
      <c r="AF111" s="195">
        <f t="shared" si="223"/>
        <v>52.778865712051847</v>
      </c>
      <c r="AG111" s="195">
        <f t="shared" si="223"/>
        <v>54.073595553617871</v>
      </c>
      <c r="AH111" s="195">
        <f t="shared" si="223"/>
        <v>55.368325395183895</v>
      </c>
      <c r="AI111" s="195">
        <f t="shared" si="223"/>
        <v>56.663055236749919</v>
      </c>
      <c r="AJ111" s="195">
        <f t="shared" si="223"/>
        <v>57.957785078315943</v>
      </c>
      <c r="AK111" s="195">
        <f t="shared" si="223"/>
        <v>59.252514919881968</v>
      </c>
      <c r="AL111" s="195">
        <f t="shared" si="223"/>
        <v>60.547244761447992</v>
      </c>
      <c r="AM111" s="195">
        <f t="shared" si="223"/>
        <v>61.841974603014016</v>
      </c>
      <c r="AN111" s="195">
        <f t="shared" si="223"/>
        <v>63.13670444458004</v>
      </c>
      <c r="AO111" s="195">
        <f t="shared" si="223"/>
        <v>64.431434286146057</v>
      </c>
      <c r="AP111" s="195">
        <f t="shared" si="223"/>
        <v>66.319917831640765</v>
      </c>
      <c r="AQ111" s="195">
        <f t="shared" si="223"/>
        <v>68.208401377135473</v>
      </c>
      <c r="AR111" s="195">
        <f t="shared" si="223"/>
        <v>70.096884922630181</v>
      </c>
      <c r="AS111" s="195">
        <f t="shared" si="223"/>
        <v>71.985368468124889</v>
      </c>
      <c r="AT111" s="195">
        <f t="shared" si="223"/>
        <v>73.873852013619597</v>
      </c>
      <c r="AU111" s="195">
        <f t="shared" si="223"/>
        <v>75.762335559114305</v>
      </c>
      <c r="AV111" s="195">
        <f t="shared" si="223"/>
        <v>77.650819104609013</v>
      </c>
      <c r="AW111" s="195">
        <f t="shared" si="223"/>
        <v>79.539302650103721</v>
      </c>
      <c r="AX111" s="195">
        <f t="shared" si="223"/>
        <v>81.427786195598429</v>
      </c>
      <c r="AY111" s="195">
        <f t="shared" si="223"/>
        <v>83.316269741093109</v>
      </c>
      <c r="AZ111" s="195">
        <f t="shared" si="223"/>
        <v>83.316269741093109</v>
      </c>
      <c r="BA111" s="195">
        <f t="shared" si="223"/>
        <v>83.316269741093109</v>
      </c>
    </row>
    <row r="112" spans="1:78">
      <c r="A112" s="123" t="s">
        <v>16</v>
      </c>
      <c r="B112" s="22" t="str">
        <f t="shared" si="219"/>
        <v/>
      </c>
      <c r="C112" s="23" t="str">
        <f t="shared" si="220"/>
        <v/>
      </c>
      <c r="D112" s="59" t="str">
        <f>ITEMS_TRA!C16</f>
        <v>TFHCV1</v>
      </c>
      <c r="E112" s="23" t="str">
        <f t="shared" si="221"/>
        <v/>
      </c>
      <c r="H112" s="23" t="str">
        <f t="shared" si="221"/>
        <v/>
      </c>
      <c r="J112" s="23" t="str">
        <f t="shared" si="221"/>
        <v/>
      </c>
      <c r="K112" s="23" t="str">
        <f t="shared" si="221"/>
        <v/>
      </c>
      <c r="L112" s="132" t="str">
        <f t="shared" si="222"/>
        <v/>
      </c>
      <c r="M112" s="195">
        <f>INDEX('[2]TS BYDem'!J$10:J$59,MATCH($D112,'[2]TS BYDem'!D$10:D$59,0))</f>
        <v>3.310563752317667</v>
      </c>
      <c r="N112" s="195">
        <f t="shared" ref="N112:BA112" si="224">IF(N$110=-1,O112,IF(N$110=99,M112,IF(N$110=0,INDEX($F93:$N93,0,N$108),(INDEX($F93:$N93,0,N$110+1)-INDEX($F93:$N93,0,N$110))/(INDEX($F$4:$N$4,0,N$110+1)-INDEX($F$4:$N$4,0,N$110))+M112)))</f>
        <v>3.3405637523176668</v>
      </c>
      <c r="O112" s="195">
        <f t="shared" si="224"/>
        <v>3.3705637523176666</v>
      </c>
      <c r="P112" s="195">
        <f t="shared" si="224"/>
        <v>3.4</v>
      </c>
      <c r="Q112" s="195">
        <f t="shared" si="224"/>
        <v>3.4249999999999998</v>
      </c>
      <c r="R112" s="195">
        <f t="shared" si="224"/>
        <v>3.45</v>
      </c>
      <c r="S112" s="195">
        <f t="shared" si="224"/>
        <v>3.5076429930568063</v>
      </c>
      <c r="T112" s="195">
        <f t="shared" si="224"/>
        <v>3.5652859861136119</v>
      </c>
      <c r="U112" s="195">
        <f t="shared" si="224"/>
        <v>3.3543445288256186</v>
      </c>
      <c r="V112" s="195">
        <f t="shared" si="224"/>
        <v>3.4104176009486125</v>
      </c>
      <c r="W112" s="195">
        <f t="shared" si="224"/>
        <v>3.4706755722392031</v>
      </c>
      <c r="X112" s="195">
        <f t="shared" si="224"/>
        <v>3.5309335435297937</v>
      </c>
      <c r="Y112" s="195">
        <f t="shared" si="224"/>
        <v>3.5911915148203843</v>
      </c>
      <c r="Z112" s="195">
        <f t="shared" si="224"/>
        <v>3.651449486110975</v>
      </c>
      <c r="AA112" s="195">
        <f t="shared" si="224"/>
        <v>3.7117074574015656</v>
      </c>
      <c r="AB112" s="195">
        <f t="shared" si="224"/>
        <v>3.7719654286921562</v>
      </c>
      <c r="AC112" s="195">
        <f t="shared" si="224"/>
        <v>3.8322233999827469</v>
      </c>
      <c r="AD112" s="195">
        <f t="shared" si="224"/>
        <v>3.8924813712733375</v>
      </c>
      <c r="AE112" s="195">
        <f t="shared" si="224"/>
        <v>3.9527393425639263</v>
      </c>
      <c r="AF112" s="195">
        <f t="shared" si="224"/>
        <v>4.052143353065798</v>
      </c>
      <c r="AG112" s="195">
        <f t="shared" si="224"/>
        <v>4.1515473635676701</v>
      </c>
      <c r="AH112" s="195">
        <f t="shared" si="224"/>
        <v>4.2509513740695422</v>
      </c>
      <c r="AI112" s="195">
        <f t="shared" si="224"/>
        <v>4.3503553845714142</v>
      </c>
      <c r="AJ112" s="195">
        <f t="shared" si="224"/>
        <v>4.4497593950732863</v>
      </c>
      <c r="AK112" s="195">
        <f t="shared" si="224"/>
        <v>4.5491634055751584</v>
      </c>
      <c r="AL112" s="195">
        <f t="shared" si="224"/>
        <v>4.6485674160770305</v>
      </c>
      <c r="AM112" s="195">
        <f t="shared" si="224"/>
        <v>4.7479714265789026</v>
      </c>
      <c r="AN112" s="195">
        <f t="shared" si="224"/>
        <v>4.8473754370807747</v>
      </c>
      <c r="AO112" s="195">
        <f t="shared" si="224"/>
        <v>4.9467794475826459</v>
      </c>
      <c r="AP112" s="195">
        <f t="shared" si="224"/>
        <v>5.0917694154989723</v>
      </c>
      <c r="AQ112" s="195">
        <f t="shared" si="224"/>
        <v>5.2367593834152988</v>
      </c>
      <c r="AR112" s="195">
        <f t="shared" si="224"/>
        <v>5.3817493513316252</v>
      </c>
      <c r="AS112" s="195">
        <f t="shared" si="224"/>
        <v>5.5267393192479517</v>
      </c>
      <c r="AT112" s="195">
        <f t="shared" si="224"/>
        <v>5.6717292871642782</v>
      </c>
      <c r="AU112" s="195">
        <f t="shared" si="224"/>
        <v>5.8167192550806046</v>
      </c>
      <c r="AV112" s="195">
        <f t="shared" si="224"/>
        <v>5.9617092229969311</v>
      </c>
      <c r="AW112" s="195">
        <f t="shared" si="224"/>
        <v>6.1066991909132575</v>
      </c>
      <c r="AX112" s="195">
        <f t="shared" si="224"/>
        <v>6.251689158829584</v>
      </c>
      <c r="AY112" s="195">
        <f t="shared" si="224"/>
        <v>6.3966791267459104</v>
      </c>
      <c r="AZ112" s="195">
        <f t="shared" si="224"/>
        <v>6.3966791267459104</v>
      </c>
      <c r="BA112" s="195">
        <f t="shared" si="224"/>
        <v>6.3966791267459104</v>
      </c>
    </row>
    <row r="113" spans="1:78">
      <c r="A113" s="123" t="s">
        <v>16</v>
      </c>
      <c r="B113" s="22" t="str">
        <f t="shared" si="219"/>
        <v/>
      </c>
      <c r="C113" s="23" t="str">
        <f t="shared" si="220"/>
        <v/>
      </c>
      <c r="D113" s="59" t="str">
        <f>ITEMS_TRA!C17</f>
        <v>TFHCV2</v>
      </c>
      <c r="E113" s="23" t="str">
        <f t="shared" si="221"/>
        <v/>
      </c>
      <c r="H113" s="23" t="str">
        <f t="shared" si="221"/>
        <v/>
      </c>
      <c r="J113" s="23" t="str">
        <f t="shared" si="221"/>
        <v/>
      </c>
      <c r="K113" s="23" t="str">
        <f t="shared" si="221"/>
        <v/>
      </c>
      <c r="L113" s="132" t="str">
        <f t="shared" si="222"/>
        <v/>
      </c>
      <c r="M113" s="195">
        <f>INDEX('[2]TS BYDem'!J$10:J$59,MATCH($D113,'[2]TS BYDem'!D$10:D$59,0))</f>
        <v>0.6547839540708813</v>
      </c>
      <c r="N113" s="195">
        <f t="shared" ref="N113:BA113" si="225">IF(N$110=-1,O113,IF(N$110=99,M113,IF(N$110=0,INDEX($F94:$N94,0,N$108),(INDEX($F94:$N94,0,N$110+1)-INDEX($F94:$N94,0,N$110))/(INDEX($F$4:$N$4,0,N$110+1)-INDEX($F$4:$N$4,0,N$110))+M113)))</f>
        <v>0.67123078144835724</v>
      </c>
      <c r="O113" s="195">
        <f t="shared" si="225"/>
        <v>0.68767760882583318</v>
      </c>
      <c r="P113" s="195">
        <f t="shared" si="225"/>
        <v>0.704124436203308</v>
      </c>
      <c r="Q113" s="195">
        <f t="shared" si="225"/>
        <v>0.72006693722491655</v>
      </c>
      <c r="R113" s="195">
        <f t="shared" si="225"/>
        <v>0.73600943824652509</v>
      </c>
      <c r="S113" s="195">
        <f t="shared" si="225"/>
        <v>0.72064702356147514</v>
      </c>
      <c r="T113" s="195">
        <f t="shared" si="225"/>
        <v>0.70528460887642519</v>
      </c>
      <c r="U113" s="195">
        <f t="shared" si="225"/>
        <v>0.66355618546841733</v>
      </c>
      <c r="V113" s="195">
        <f t="shared" si="225"/>
        <v>0.6746485564296244</v>
      </c>
      <c r="W113" s="195">
        <f t="shared" si="225"/>
        <v>0.68656878383323239</v>
      </c>
      <c r="X113" s="195">
        <f t="shared" si="225"/>
        <v>0.69848901123684037</v>
      </c>
      <c r="Y113" s="195">
        <f t="shared" si="225"/>
        <v>0.71040923864044836</v>
      </c>
      <c r="Z113" s="195">
        <f t="shared" si="225"/>
        <v>0.72232946604405635</v>
      </c>
      <c r="AA113" s="195">
        <f t="shared" si="225"/>
        <v>0.73424969344766433</v>
      </c>
      <c r="AB113" s="195">
        <f t="shared" si="225"/>
        <v>0.74616992085127232</v>
      </c>
      <c r="AC113" s="195">
        <f t="shared" si="225"/>
        <v>0.7580901482548803</v>
      </c>
      <c r="AD113" s="195">
        <f t="shared" si="225"/>
        <v>0.77001037565848829</v>
      </c>
      <c r="AE113" s="195">
        <f t="shared" si="225"/>
        <v>0.78193060306209605</v>
      </c>
      <c r="AF113" s="195">
        <f t="shared" si="225"/>
        <v>0.8015946970339749</v>
      </c>
      <c r="AG113" s="195">
        <f t="shared" si="225"/>
        <v>0.82125879100585375</v>
      </c>
      <c r="AH113" s="195">
        <f t="shared" si="225"/>
        <v>0.8409228849777326</v>
      </c>
      <c r="AI113" s="195">
        <f t="shared" si="225"/>
        <v>0.86058697894961145</v>
      </c>
      <c r="AJ113" s="195">
        <f t="shared" si="225"/>
        <v>0.8802510729214903</v>
      </c>
      <c r="AK113" s="195">
        <f t="shared" si="225"/>
        <v>0.89991516689336915</v>
      </c>
      <c r="AL113" s="195">
        <f t="shared" si="225"/>
        <v>0.91957926086524799</v>
      </c>
      <c r="AM113" s="195">
        <f t="shared" si="225"/>
        <v>0.93924335483712684</v>
      </c>
      <c r="AN113" s="195">
        <f t="shared" si="225"/>
        <v>0.95890744880900569</v>
      </c>
      <c r="AO113" s="195">
        <f t="shared" si="225"/>
        <v>0.97857154278088487</v>
      </c>
      <c r="AP113" s="195">
        <f t="shared" si="225"/>
        <v>1.007253447461508</v>
      </c>
      <c r="AQ113" s="195">
        <f t="shared" si="225"/>
        <v>1.0359353521421311</v>
      </c>
      <c r="AR113" s="195">
        <f t="shared" si="225"/>
        <v>1.0646172568227541</v>
      </c>
      <c r="AS113" s="195">
        <f t="shared" si="225"/>
        <v>1.0932991615033771</v>
      </c>
      <c r="AT113" s="195">
        <f t="shared" si="225"/>
        <v>1.1219810661840002</v>
      </c>
      <c r="AU113" s="195">
        <f t="shared" si="225"/>
        <v>1.1506629708646232</v>
      </c>
      <c r="AV113" s="195">
        <f t="shared" si="225"/>
        <v>1.1793448755452463</v>
      </c>
      <c r="AW113" s="195">
        <f t="shared" si="225"/>
        <v>1.2080267802258693</v>
      </c>
      <c r="AX113" s="195">
        <f t="shared" si="225"/>
        <v>1.2367086849064923</v>
      </c>
      <c r="AY113" s="195">
        <f t="shared" si="225"/>
        <v>1.2653905895871154</v>
      </c>
      <c r="AZ113" s="195">
        <f t="shared" si="225"/>
        <v>1.2653905895871154</v>
      </c>
      <c r="BA113" s="195">
        <f t="shared" si="225"/>
        <v>1.2653905895871154</v>
      </c>
    </row>
    <row r="114" spans="1:78">
      <c r="A114" s="123" t="s">
        <v>16</v>
      </c>
      <c r="B114" s="22" t="str">
        <f t="shared" si="219"/>
        <v/>
      </c>
      <c r="C114" s="23" t="str">
        <f t="shared" si="220"/>
        <v/>
      </c>
      <c r="D114" s="59" t="str">
        <f>ITEMS_TRA!C18</f>
        <v>TFHCV3</v>
      </c>
      <c r="E114" s="23" t="str">
        <f t="shared" si="221"/>
        <v/>
      </c>
      <c r="H114" s="23" t="str">
        <f t="shared" si="221"/>
        <v/>
      </c>
      <c r="J114" s="23" t="str">
        <f t="shared" si="221"/>
        <v/>
      </c>
      <c r="K114" s="23" t="str">
        <f t="shared" si="221"/>
        <v/>
      </c>
      <c r="L114" s="132" t="str">
        <f t="shared" si="222"/>
        <v/>
      </c>
      <c r="M114" s="195">
        <f>INDEX('[2]TS BYDem'!J$10:J$59,MATCH($D114,'[2]TS BYDem'!D$10:D$59,0))</f>
        <v>2.7114063478211388</v>
      </c>
      <c r="N114" s="195">
        <f t="shared" ref="N114:BA114" si="226">IF(N$110=-1,O114,IF(N$110=99,M114,IF(N$110=0,INDEX($F95:$N95,0,N$108),(INDEX($F95:$N95,0,N$110+1)-INDEX($F95:$N95,0,N$110))/(INDEX($F$4:$N$4,0,N$110+1)-INDEX($F$4:$N$4,0,N$110))+M114)))</f>
        <v>2.7742708985474289</v>
      </c>
      <c r="O114" s="195">
        <f t="shared" si="226"/>
        <v>2.8371354492737191</v>
      </c>
      <c r="P114" s="195">
        <f t="shared" si="226"/>
        <v>2.9</v>
      </c>
      <c r="Q114" s="195">
        <f t="shared" si="226"/>
        <v>2.9652984627095749</v>
      </c>
      <c r="R114" s="195">
        <f t="shared" si="226"/>
        <v>3.0305969254191498</v>
      </c>
      <c r="S114" s="195">
        <f t="shared" si="226"/>
        <v>2.9755611597709288</v>
      </c>
      <c r="T114" s="195">
        <f t="shared" si="226"/>
        <v>2.9205253941227078</v>
      </c>
      <c r="U114" s="195">
        <f t="shared" si="226"/>
        <v>2.7477314345126453</v>
      </c>
      <c r="V114" s="195">
        <f t="shared" si="226"/>
        <v>2.7936640277743123</v>
      </c>
      <c r="W114" s="195">
        <f t="shared" si="226"/>
        <v>2.8430247062831131</v>
      </c>
      <c r="X114" s="195">
        <f t="shared" si="226"/>
        <v>2.8923853847919139</v>
      </c>
      <c r="Y114" s="195">
        <f t="shared" si="226"/>
        <v>2.9417460633007146</v>
      </c>
      <c r="Z114" s="195">
        <f t="shared" si="226"/>
        <v>2.9911067418095154</v>
      </c>
      <c r="AA114" s="195">
        <f t="shared" si="226"/>
        <v>3.0404674203183162</v>
      </c>
      <c r="AB114" s="195">
        <f t="shared" si="226"/>
        <v>3.089828098827117</v>
      </c>
      <c r="AC114" s="195">
        <f t="shared" si="226"/>
        <v>3.1391887773359177</v>
      </c>
      <c r="AD114" s="195">
        <f t="shared" si="226"/>
        <v>3.1885494558447185</v>
      </c>
      <c r="AE114" s="195">
        <f t="shared" si="226"/>
        <v>3.2379101343535184</v>
      </c>
      <c r="AF114" s="195">
        <f t="shared" si="226"/>
        <v>3.3193375256144413</v>
      </c>
      <c r="AG114" s="195">
        <f t="shared" si="226"/>
        <v>3.4007649168753642</v>
      </c>
      <c r="AH114" s="195">
        <f t="shared" si="226"/>
        <v>3.4821923081362871</v>
      </c>
      <c r="AI114" s="195">
        <f t="shared" si="226"/>
        <v>3.56361969939721</v>
      </c>
      <c r="AJ114" s="195">
        <f t="shared" si="226"/>
        <v>3.6450470906581329</v>
      </c>
      <c r="AK114" s="195">
        <f t="shared" si="226"/>
        <v>3.7264744819190558</v>
      </c>
      <c r="AL114" s="195">
        <f t="shared" si="226"/>
        <v>3.8079018731799787</v>
      </c>
      <c r="AM114" s="195">
        <f t="shared" si="226"/>
        <v>3.8893292644409017</v>
      </c>
      <c r="AN114" s="195">
        <f t="shared" si="226"/>
        <v>3.9707566557018246</v>
      </c>
      <c r="AO114" s="195">
        <f t="shared" si="226"/>
        <v>4.0521840469627461</v>
      </c>
      <c r="AP114" s="195">
        <f t="shared" si="226"/>
        <v>4.170953448587734</v>
      </c>
      <c r="AQ114" s="195">
        <f t="shared" si="226"/>
        <v>4.2897228502127218</v>
      </c>
      <c r="AR114" s="195">
        <f t="shared" si="226"/>
        <v>4.4084922518377097</v>
      </c>
      <c r="AS114" s="195">
        <f t="shared" si="226"/>
        <v>4.5272616534626975</v>
      </c>
      <c r="AT114" s="195">
        <f t="shared" si="226"/>
        <v>4.6460310550876853</v>
      </c>
      <c r="AU114" s="195">
        <f t="shared" si="226"/>
        <v>4.7648004567126732</v>
      </c>
      <c r="AV114" s="195">
        <f t="shared" si="226"/>
        <v>4.883569858337661</v>
      </c>
      <c r="AW114" s="195">
        <f t="shared" si="226"/>
        <v>5.0023392599626488</v>
      </c>
      <c r="AX114" s="195">
        <f t="shared" si="226"/>
        <v>5.1211086615876367</v>
      </c>
      <c r="AY114" s="195">
        <f t="shared" si="226"/>
        <v>5.2398780632126236</v>
      </c>
      <c r="AZ114" s="195">
        <f t="shared" si="226"/>
        <v>5.2398780632126236</v>
      </c>
      <c r="BA114" s="195">
        <f t="shared" si="226"/>
        <v>5.2398780632126236</v>
      </c>
    </row>
    <row r="115" spans="1:78">
      <c r="A115" s="123" t="s">
        <v>16</v>
      </c>
      <c r="B115" s="22" t="str">
        <f t="shared" si="219"/>
        <v/>
      </c>
      <c r="C115" s="23" t="str">
        <f t="shared" si="220"/>
        <v/>
      </c>
      <c r="D115" s="59" t="str">
        <f>ITEMS_TRA!C19</f>
        <v>TFHCV4</v>
      </c>
      <c r="E115" s="23" t="str">
        <f t="shared" si="221"/>
        <v/>
      </c>
      <c r="H115" s="23" t="str">
        <f t="shared" si="221"/>
        <v/>
      </c>
      <c r="J115" s="23" t="str">
        <f t="shared" si="221"/>
        <v/>
      </c>
      <c r="K115" s="23" t="str">
        <f t="shared" si="221"/>
        <v/>
      </c>
      <c r="L115" s="132" t="str">
        <f t="shared" si="222"/>
        <v/>
      </c>
      <c r="M115" s="195">
        <f>INDEX('[2]TS BYDem'!J$10:J$59,MATCH($D115,'[2]TS BYDem'!D$10:D$59,0))</f>
        <v>0.57023972229676956</v>
      </c>
      <c r="N115" s="195">
        <f t="shared" ref="N115:BA115" si="227">IF(N$110=-1,O115,IF(N$110=99,M115,IF(N$110=0,INDEX($F96:$N96,0,N$108),(INDEX($F96:$N96,0,N$110+1)-INDEX($F96:$N96,0,N$110))/(INDEX($F$4:$N$4,0,N$110+1)-INDEX($F$4:$N$4,0,N$110))+M115)))</f>
        <v>0.55900373411704862</v>
      </c>
      <c r="O115" s="195">
        <f t="shared" si="227"/>
        <v>0.54776774593732769</v>
      </c>
      <c r="P115" s="195">
        <f t="shared" si="227"/>
        <v>0.53653175775760331</v>
      </c>
      <c r="Q115" s="195">
        <f t="shared" si="227"/>
        <v>0.54016937887880168</v>
      </c>
      <c r="R115" s="195">
        <f t="shared" si="227"/>
        <v>0.54380700000000004</v>
      </c>
      <c r="S115" s="195">
        <f t="shared" si="227"/>
        <v>0.57901342305588788</v>
      </c>
      <c r="T115" s="195">
        <f t="shared" si="227"/>
        <v>0.6142198461117756</v>
      </c>
      <c r="U115" s="195">
        <f t="shared" si="227"/>
        <v>0.57787930290187206</v>
      </c>
      <c r="V115" s="195">
        <f t="shared" si="227"/>
        <v>0.58753945186735324</v>
      </c>
      <c r="W115" s="195">
        <f t="shared" si="227"/>
        <v>0.59792056631294621</v>
      </c>
      <c r="X115" s="195">
        <f t="shared" si="227"/>
        <v>0.60830168075853919</v>
      </c>
      <c r="Y115" s="195">
        <f t="shared" si="227"/>
        <v>0.61868279520413216</v>
      </c>
      <c r="Z115" s="195">
        <f t="shared" si="227"/>
        <v>0.62906390964972514</v>
      </c>
      <c r="AA115" s="195">
        <f t="shared" si="227"/>
        <v>0.63944502409531812</v>
      </c>
      <c r="AB115" s="195">
        <f t="shared" si="227"/>
        <v>0.64982613854091109</v>
      </c>
      <c r="AC115" s="195">
        <f t="shared" si="227"/>
        <v>0.66020725298650407</v>
      </c>
      <c r="AD115" s="195">
        <f t="shared" si="227"/>
        <v>0.67058836743209704</v>
      </c>
      <c r="AE115" s="195">
        <f t="shared" si="227"/>
        <v>0.68096948187769002</v>
      </c>
      <c r="AF115" s="195">
        <f t="shared" si="227"/>
        <v>0.69809459225345205</v>
      </c>
      <c r="AG115" s="195">
        <f t="shared" si="227"/>
        <v>0.71521970262921408</v>
      </c>
      <c r="AH115" s="195">
        <f t="shared" si="227"/>
        <v>0.73234481300497611</v>
      </c>
      <c r="AI115" s="195">
        <f t="shared" si="227"/>
        <v>0.74946992338073815</v>
      </c>
      <c r="AJ115" s="195">
        <f t="shared" si="227"/>
        <v>0.76659503375650018</v>
      </c>
      <c r="AK115" s="195">
        <f t="shared" si="227"/>
        <v>0.78372014413226221</v>
      </c>
      <c r="AL115" s="195">
        <f t="shared" si="227"/>
        <v>0.80084525450802424</v>
      </c>
      <c r="AM115" s="195">
        <f t="shared" si="227"/>
        <v>0.81797036488378627</v>
      </c>
      <c r="AN115" s="195">
        <f t="shared" si="227"/>
        <v>0.8350954752595483</v>
      </c>
      <c r="AO115" s="195">
        <f t="shared" si="227"/>
        <v>0.85222058563531045</v>
      </c>
      <c r="AP115" s="195">
        <f t="shared" si="227"/>
        <v>0.87719914727894277</v>
      </c>
      <c r="AQ115" s="195">
        <f t="shared" si="227"/>
        <v>0.90217770892257509</v>
      </c>
      <c r="AR115" s="195">
        <f t="shared" si="227"/>
        <v>0.92715627056620742</v>
      </c>
      <c r="AS115" s="195">
        <f t="shared" si="227"/>
        <v>0.95213483220983974</v>
      </c>
      <c r="AT115" s="195">
        <f t="shared" si="227"/>
        <v>0.97711339385347207</v>
      </c>
      <c r="AU115" s="195">
        <f t="shared" si="227"/>
        <v>1.0020919554971044</v>
      </c>
      <c r="AV115" s="195">
        <f t="shared" si="227"/>
        <v>1.0270705171407366</v>
      </c>
      <c r="AW115" s="195">
        <f t="shared" si="227"/>
        <v>1.052049078784369</v>
      </c>
      <c r="AX115" s="195">
        <f t="shared" si="227"/>
        <v>1.0770276404280015</v>
      </c>
      <c r="AY115" s="195">
        <f t="shared" si="227"/>
        <v>1.1020062020716337</v>
      </c>
      <c r="AZ115" s="195">
        <f t="shared" si="227"/>
        <v>1.1020062020716337</v>
      </c>
      <c r="BA115" s="195">
        <f t="shared" si="227"/>
        <v>1.1020062020716337</v>
      </c>
    </row>
    <row r="116" spans="1:78">
      <c r="A116" s="123" t="s">
        <v>16</v>
      </c>
      <c r="B116" s="22" t="str">
        <f t="shared" si="219"/>
        <v/>
      </c>
      <c r="C116" s="23" t="str">
        <f t="shared" si="220"/>
        <v/>
      </c>
      <c r="D116" s="59" t="str">
        <f>ITEMS_TRA!C20</f>
        <v>TFHCV5</v>
      </c>
      <c r="E116" s="23" t="str">
        <f t="shared" si="221"/>
        <v/>
      </c>
      <c r="H116" s="23" t="str">
        <f t="shared" si="221"/>
        <v/>
      </c>
      <c r="J116" s="23" t="str">
        <f t="shared" si="221"/>
        <v/>
      </c>
      <c r="K116" s="23" t="str">
        <f t="shared" si="221"/>
        <v/>
      </c>
      <c r="L116" s="132" t="str">
        <f t="shared" si="222"/>
        <v/>
      </c>
      <c r="M116" s="195">
        <f>INDEX('[2]TS BYDem'!J$10:J$59,MATCH($D116,'[2]TS BYDem'!D$10:D$59,0))</f>
        <v>0.27326501935541331</v>
      </c>
      <c r="N116" s="195">
        <f t="shared" ref="N116:BA116" si="228">IF(N$110=-1,O116,IF(N$110=99,M116,IF(N$110=0,INDEX($F97:$N97,0,N$108),(INDEX($F97:$N97,0,N$110+1)-INDEX($F97:$N97,0,N$110))/(INDEX($F$4:$N$4,0,N$110+1)-INDEX($F$4:$N$4,0,N$110))+M116)))</f>
        <v>0.27740453823694228</v>
      </c>
      <c r="O116" s="195">
        <f t="shared" si="228"/>
        <v>0.28154405711847125</v>
      </c>
      <c r="P116" s="195">
        <f t="shared" si="228"/>
        <v>0.28568357599999999</v>
      </c>
      <c r="Q116" s="195">
        <f t="shared" si="228"/>
        <v>0.2876204765</v>
      </c>
      <c r="R116" s="195">
        <f t="shared" si="228"/>
        <v>0.289557377</v>
      </c>
      <c r="S116" s="195">
        <f t="shared" si="228"/>
        <v>0.29194907279047111</v>
      </c>
      <c r="T116" s="195">
        <f t="shared" si="228"/>
        <v>0.29434076858094221</v>
      </c>
      <c r="U116" s="195">
        <f t="shared" si="228"/>
        <v>0.27692598869917107</v>
      </c>
      <c r="V116" s="195">
        <f t="shared" si="228"/>
        <v>0.28155523617319139</v>
      </c>
      <c r="W116" s="195">
        <f t="shared" si="228"/>
        <v>0.28652997807380803</v>
      </c>
      <c r="X116" s="195">
        <f t="shared" si="228"/>
        <v>0.29150471997442468</v>
      </c>
      <c r="Y116" s="195">
        <f t="shared" si="228"/>
        <v>0.29647946187504132</v>
      </c>
      <c r="Z116" s="195">
        <f t="shared" si="228"/>
        <v>0.30145420377565796</v>
      </c>
      <c r="AA116" s="195">
        <f t="shared" si="228"/>
        <v>0.3064289456762746</v>
      </c>
      <c r="AB116" s="195">
        <f t="shared" si="228"/>
        <v>0.31140368757689124</v>
      </c>
      <c r="AC116" s="195">
        <f t="shared" si="228"/>
        <v>0.31637842947750788</v>
      </c>
      <c r="AD116" s="195">
        <f t="shared" si="228"/>
        <v>0.32135317137812452</v>
      </c>
      <c r="AE116" s="195">
        <f t="shared" si="228"/>
        <v>0.32632791327874128</v>
      </c>
      <c r="AF116" s="195">
        <f t="shared" si="228"/>
        <v>0.33453445069680765</v>
      </c>
      <c r="AG116" s="195">
        <f t="shared" si="228"/>
        <v>0.34274098811487402</v>
      </c>
      <c r="AH116" s="195">
        <f t="shared" si="228"/>
        <v>0.3509475255329404</v>
      </c>
      <c r="AI116" s="195">
        <f t="shared" si="228"/>
        <v>0.35915406295100677</v>
      </c>
      <c r="AJ116" s="195">
        <f t="shared" si="228"/>
        <v>0.36736060036907314</v>
      </c>
      <c r="AK116" s="195">
        <f t="shared" si="228"/>
        <v>0.37556713778713952</v>
      </c>
      <c r="AL116" s="195">
        <f t="shared" si="228"/>
        <v>0.38377367520520589</v>
      </c>
      <c r="AM116" s="195">
        <f t="shared" si="228"/>
        <v>0.39198021262327226</v>
      </c>
      <c r="AN116" s="195">
        <f t="shared" si="228"/>
        <v>0.40018675004133863</v>
      </c>
      <c r="AO116" s="195">
        <f t="shared" si="228"/>
        <v>0.40839328745940517</v>
      </c>
      <c r="AP116" s="195">
        <f t="shared" si="228"/>
        <v>0.42036328334731926</v>
      </c>
      <c r="AQ116" s="195">
        <f t="shared" si="228"/>
        <v>0.43233327923523335</v>
      </c>
      <c r="AR116" s="195">
        <f t="shared" si="228"/>
        <v>0.44430327512314743</v>
      </c>
      <c r="AS116" s="195">
        <f t="shared" si="228"/>
        <v>0.45627327101106152</v>
      </c>
      <c r="AT116" s="195">
        <f t="shared" si="228"/>
        <v>0.46824326689897561</v>
      </c>
      <c r="AU116" s="195">
        <f t="shared" si="228"/>
        <v>0.48021326278688969</v>
      </c>
      <c r="AV116" s="195">
        <f t="shared" si="228"/>
        <v>0.49218325867480378</v>
      </c>
      <c r="AW116" s="195">
        <f t="shared" si="228"/>
        <v>0.50415325456271787</v>
      </c>
      <c r="AX116" s="195">
        <f t="shared" si="228"/>
        <v>0.51612325045063201</v>
      </c>
      <c r="AY116" s="195">
        <f t="shared" si="228"/>
        <v>0.52809324633854615</v>
      </c>
      <c r="AZ116" s="195">
        <f t="shared" si="228"/>
        <v>0.52809324633854615</v>
      </c>
      <c r="BA116" s="195">
        <f t="shared" si="228"/>
        <v>0.52809324633854615</v>
      </c>
    </row>
    <row r="117" spans="1:78">
      <c r="A117" s="123" t="s">
        <v>16</v>
      </c>
      <c r="B117" s="22" t="str">
        <f t="shared" si="219"/>
        <v/>
      </c>
      <c r="C117" s="23" t="str">
        <f t="shared" si="220"/>
        <v/>
      </c>
      <c r="D117" s="59" t="str">
        <f>ITEMS_TRA!C21</f>
        <v>TFHCV6</v>
      </c>
      <c r="E117" s="23" t="str">
        <f t="shared" si="221"/>
        <v/>
      </c>
      <c r="H117" s="23" t="str">
        <f t="shared" si="221"/>
        <v/>
      </c>
      <c r="J117" s="23" t="str">
        <f t="shared" si="221"/>
        <v/>
      </c>
      <c r="K117" s="23" t="str">
        <f t="shared" si="221"/>
        <v/>
      </c>
      <c r="L117" s="132" t="str">
        <f t="shared" si="222"/>
        <v/>
      </c>
      <c r="M117" s="195">
        <f>INDEX('[2]TS BYDem'!J$10:J$59,MATCH($D117,'[2]TS BYDem'!D$10:D$59,0))</f>
        <v>5.0361375113209643</v>
      </c>
      <c r="N117" s="195">
        <f t="shared" ref="N117:BA117" si="229">IF(N$110=-1,O117,IF(N$110=99,M117,IF(N$110=0,INDEX($F98:$N98,0,N$108),(INDEX($F98:$N98,0,N$110+1)-INDEX($F98:$N98,0,N$110))/(INDEX($F$4:$N$4,0,N$110+1)-INDEX($F$4:$N$4,0,N$110))+M117)))</f>
        <v>5.3607583408806443</v>
      </c>
      <c r="O117" s="195">
        <f t="shared" si="229"/>
        <v>5.6853791704403243</v>
      </c>
      <c r="P117" s="195">
        <f t="shared" si="229"/>
        <v>6.01</v>
      </c>
      <c r="Q117" s="195">
        <f t="shared" si="229"/>
        <v>6.3253919226144593</v>
      </c>
      <c r="R117" s="195">
        <f t="shared" si="229"/>
        <v>6.6407838452289196</v>
      </c>
      <c r="S117" s="195">
        <f t="shared" si="229"/>
        <v>6.0326684321693991</v>
      </c>
      <c r="T117" s="195">
        <f t="shared" si="229"/>
        <v>5.4245530191098785</v>
      </c>
      <c r="U117" s="195">
        <f t="shared" si="229"/>
        <v>5.1036073436594931</v>
      </c>
      <c r="V117" s="195">
        <f t="shared" si="229"/>
        <v>5.188922057222519</v>
      </c>
      <c r="W117" s="195">
        <f t="shared" si="229"/>
        <v>5.2806040601145563</v>
      </c>
      <c r="X117" s="195">
        <f t="shared" si="229"/>
        <v>5.3722860630065936</v>
      </c>
      <c r="Y117" s="195">
        <f t="shared" si="229"/>
        <v>5.4639680658986309</v>
      </c>
      <c r="Z117" s="195">
        <f t="shared" si="229"/>
        <v>5.5556500687906683</v>
      </c>
      <c r="AA117" s="195">
        <f t="shared" si="229"/>
        <v>5.6473320716827056</v>
      </c>
      <c r="AB117" s="195">
        <f t="shared" si="229"/>
        <v>5.7390140745747429</v>
      </c>
      <c r="AC117" s="195">
        <f t="shared" si="229"/>
        <v>5.8306960774667802</v>
      </c>
      <c r="AD117" s="195">
        <f t="shared" si="229"/>
        <v>5.9223780803588175</v>
      </c>
      <c r="AE117" s="195">
        <f t="shared" si="229"/>
        <v>6.0140600832508548</v>
      </c>
      <c r="AF117" s="195">
        <f t="shared" si="229"/>
        <v>6.1653024597053019</v>
      </c>
      <c r="AG117" s="195">
        <f t="shared" si="229"/>
        <v>6.3165448361597489</v>
      </c>
      <c r="AH117" s="195">
        <f t="shared" si="229"/>
        <v>6.467787212614196</v>
      </c>
      <c r="AI117" s="195">
        <f t="shared" si="229"/>
        <v>6.619029589068643</v>
      </c>
      <c r="AJ117" s="195">
        <f t="shared" si="229"/>
        <v>6.7702719655230901</v>
      </c>
      <c r="AK117" s="195">
        <f t="shared" si="229"/>
        <v>6.9215143419775371</v>
      </c>
      <c r="AL117" s="195">
        <f t="shared" si="229"/>
        <v>7.0727567184319842</v>
      </c>
      <c r="AM117" s="195">
        <f t="shared" si="229"/>
        <v>7.2239990948864312</v>
      </c>
      <c r="AN117" s="195">
        <f t="shared" si="229"/>
        <v>7.3752414713408783</v>
      </c>
      <c r="AO117" s="195">
        <f t="shared" si="229"/>
        <v>7.5264838477953289</v>
      </c>
      <c r="AP117" s="195">
        <f t="shared" si="229"/>
        <v>7.7470848798764873</v>
      </c>
      <c r="AQ117" s="195">
        <f t="shared" si="229"/>
        <v>7.9676859119576458</v>
      </c>
      <c r="AR117" s="195">
        <f t="shared" si="229"/>
        <v>8.1882869440388042</v>
      </c>
      <c r="AS117" s="195">
        <f t="shared" si="229"/>
        <v>8.4088879761199617</v>
      </c>
      <c r="AT117" s="195">
        <f t="shared" si="229"/>
        <v>8.6294890082011193</v>
      </c>
      <c r="AU117" s="195">
        <f t="shared" si="229"/>
        <v>8.8500900402822769</v>
      </c>
      <c r="AV117" s="195">
        <f t="shared" si="229"/>
        <v>9.0706910723634344</v>
      </c>
      <c r="AW117" s="195">
        <f t="shared" si="229"/>
        <v>9.291292104444592</v>
      </c>
      <c r="AX117" s="195">
        <f t="shared" si="229"/>
        <v>9.5118931365257495</v>
      </c>
      <c r="AY117" s="195">
        <f t="shared" si="229"/>
        <v>9.7324941686069124</v>
      </c>
      <c r="AZ117" s="195">
        <f t="shared" si="229"/>
        <v>9.7324941686069124</v>
      </c>
      <c r="BA117" s="195">
        <f t="shared" si="229"/>
        <v>9.7324941686069124</v>
      </c>
    </row>
    <row r="118" spans="1:78">
      <c r="A118" s="123" t="s">
        <v>16</v>
      </c>
      <c r="B118" s="22" t="str">
        <f t="shared" si="219"/>
        <v/>
      </c>
      <c r="C118" s="23" t="str">
        <f t="shared" si="220"/>
        <v/>
      </c>
      <c r="D118" s="59" t="str">
        <f>ITEMS_TRA!C22</f>
        <v>TFHCV7</v>
      </c>
      <c r="E118" s="23" t="str">
        <f t="shared" si="221"/>
        <v/>
      </c>
      <c r="H118" s="23" t="str">
        <f t="shared" si="221"/>
        <v/>
      </c>
      <c r="J118" s="23" t="str">
        <f t="shared" si="221"/>
        <v/>
      </c>
      <c r="K118" s="23" t="str">
        <f t="shared" si="221"/>
        <v/>
      </c>
      <c r="L118" s="132" t="str">
        <f t="shared" si="222"/>
        <v/>
      </c>
      <c r="M118" s="195">
        <f>INDEX('[2]TS BYDem'!J$10:J$59,MATCH($D118,'[2]TS BYDem'!D$10:D$59,0))</f>
        <v>1.5653068685251963</v>
      </c>
      <c r="N118" s="195">
        <f t="shared" ref="N118:BA118" si="230">IF(N$110=-1,O118,IF(N$110=99,M118,IF(N$110=0,INDEX($F99:$N99,0,N$108),(INDEX($F99:$N99,0,N$110+1)-INDEX($F99:$N99,0,N$110))/(INDEX($F$4:$N$4,0,N$110+1)-INDEX($F$4:$N$4,0,N$110))+M118)))</f>
        <v>1.6102045790167996</v>
      </c>
      <c r="O118" s="195">
        <f t="shared" si="230"/>
        <v>1.6551022895084029</v>
      </c>
      <c r="P118" s="195">
        <f t="shared" si="230"/>
        <v>1.7</v>
      </c>
      <c r="Q118" s="195">
        <f t="shared" si="230"/>
        <v>1.74</v>
      </c>
      <c r="R118" s="195">
        <f t="shared" si="230"/>
        <v>1.78</v>
      </c>
      <c r="S118" s="195">
        <f t="shared" si="230"/>
        <v>1.7330161091118188</v>
      </c>
      <c r="T118" s="195">
        <f t="shared" si="230"/>
        <v>1.6860322182236378</v>
      </c>
      <c r="U118" s="195">
        <f t="shared" si="230"/>
        <v>1.5862775016225472</v>
      </c>
      <c r="V118" s="195">
        <f t="shared" si="230"/>
        <v>1.6127945907263026</v>
      </c>
      <c r="W118" s="195">
        <f t="shared" si="230"/>
        <v>1.6412907285947482</v>
      </c>
      <c r="X118" s="195">
        <f t="shared" si="230"/>
        <v>1.6697868664631939</v>
      </c>
      <c r="Y118" s="195">
        <f t="shared" si="230"/>
        <v>1.6982830043316395</v>
      </c>
      <c r="Z118" s="195">
        <f t="shared" si="230"/>
        <v>1.7267791422000851</v>
      </c>
      <c r="AA118" s="195">
        <f t="shared" si="230"/>
        <v>1.7552752800685307</v>
      </c>
      <c r="AB118" s="195">
        <f t="shared" si="230"/>
        <v>1.7837714179369764</v>
      </c>
      <c r="AC118" s="195">
        <f t="shared" si="230"/>
        <v>1.812267555805422</v>
      </c>
      <c r="AD118" s="195">
        <f t="shared" si="230"/>
        <v>1.8407636936738676</v>
      </c>
      <c r="AE118" s="195">
        <f t="shared" si="230"/>
        <v>1.8692598315423128</v>
      </c>
      <c r="AF118" s="195">
        <f t="shared" si="230"/>
        <v>1.9162682244116573</v>
      </c>
      <c r="AG118" s="195">
        <f t="shared" si="230"/>
        <v>1.9632766172810019</v>
      </c>
      <c r="AH118" s="195">
        <f t="shared" si="230"/>
        <v>2.0102850101503464</v>
      </c>
      <c r="AI118" s="195">
        <f t="shared" si="230"/>
        <v>2.057293403019691</v>
      </c>
      <c r="AJ118" s="195">
        <f t="shared" si="230"/>
        <v>2.1043017958890355</v>
      </c>
      <c r="AK118" s="195">
        <f t="shared" si="230"/>
        <v>2.1513101887583801</v>
      </c>
      <c r="AL118" s="195">
        <f t="shared" si="230"/>
        <v>2.1983185816277246</v>
      </c>
      <c r="AM118" s="195">
        <f t="shared" si="230"/>
        <v>2.2453269744970692</v>
      </c>
      <c r="AN118" s="195">
        <f t="shared" si="230"/>
        <v>2.2923353673664137</v>
      </c>
      <c r="AO118" s="195">
        <f t="shared" si="230"/>
        <v>2.3393437602357583</v>
      </c>
      <c r="AP118" s="195">
        <f t="shared" si="230"/>
        <v>2.4079098607332425</v>
      </c>
      <c r="AQ118" s="195">
        <f t="shared" si="230"/>
        <v>2.4764759612307268</v>
      </c>
      <c r="AR118" s="195">
        <f t="shared" si="230"/>
        <v>2.545042061728211</v>
      </c>
      <c r="AS118" s="195">
        <f t="shared" si="230"/>
        <v>2.6136081622256953</v>
      </c>
      <c r="AT118" s="195">
        <f t="shared" si="230"/>
        <v>2.6821742627231795</v>
      </c>
      <c r="AU118" s="195">
        <f t="shared" si="230"/>
        <v>2.7507403632206637</v>
      </c>
      <c r="AV118" s="195">
        <f t="shared" si="230"/>
        <v>2.819306463718148</v>
      </c>
      <c r="AW118" s="195">
        <f t="shared" si="230"/>
        <v>2.8878725642156322</v>
      </c>
      <c r="AX118" s="195">
        <f t="shared" si="230"/>
        <v>2.9564386647131164</v>
      </c>
      <c r="AY118" s="195">
        <f t="shared" si="230"/>
        <v>3.0250047652106007</v>
      </c>
      <c r="AZ118" s="195">
        <f t="shared" si="230"/>
        <v>3.0250047652106007</v>
      </c>
      <c r="BA118" s="195">
        <f t="shared" si="230"/>
        <v>3.0250047652106007</v>
      </c>
    </row>
    <row r="119" spans="1:78">
      <c r="A119" s="123" t="s">
        <v>16</v>
      </c>
      <c r="B119" s="22" t="str">
        <f t="shared" si="219"/>
        <v/>
      </c>
      <c r="C119" s="23" t="str">
        <f t="shared" si="220"/>
        <v/>
      </c>
      <c r="D119" s="59" t="str">
        <f>ITEMS_TRA!C23</f>
        <v>TFHCV8</v>
      </c>
      <c r="E119" s="23" t="str">
        <f t="shared" si="221"/>
        <v/>
      </c>
      <c r="H119" s="23" t="str">
        <f t="shared" si="221"/>
        <v/>
      </c>
      <c r="J119" s="23" t="str">
        <f t="shared" si="221"/>
        <v/>
      </c>
      <c r="K119" s="23" t="str">
        <f t="shared" si="221"/>
        <v/>
      </c>
      <c r="L119" s="132" t="str">
        <f t="shared" si="222"/>
        <v/>
      </c>
      <c r="M119" s="195">
        <f>INDEX('[2]TS BYDem'!J$10:J$59,MATCH($D119,'[2]TS BYDem'!D$10:D$59,0))</f>
        <v>5.8486156921973939E-2</v>
      </c>
      <c r="N119" s="195">
        <f t="shared" ref="N119:BA119" si="231">IF(N$110=-1,O119,IF(N$110=99,M119,IF(N$110=0,INDEX($F100:$N100,0,N$108),(INDEX($F100:$N100,0,N$110+1)-INDEX($F100:$N100,0,N$110))/(INDEX($F$4:$N$4,0,N$110+1)-INDEX($F$4:$N$4,0,N$110))+M119)))</f>
        <v>6.5622085483256903E-2</v>
      </c>
      <c r="O119" s="195">
        <f t="shared" si="231"/>
        <v>7.2758014044539868E-2</v>
      </c>
      <c r="P119" s="195">
        <f t="shared" si="231"/>
        <v>7.9893942605822804E-2</v>
      </c>
      <c r="Q119" s="195">
        <f t="shared" si="231"/>
        <v>9.0970063028559395E-2</v>
      </c>
      <c r="R119" s="195">
        <f t="shared" si="231"/>
        <v>0.102046183451296</v>
      </c>
      <c r="S119" s="195">
        <f t="shared" si="231"/>
        <v>8.2521562368481099E-2</v>
      </c>
      <c r="T119" s="195">
        <f t="shared" si="231"/>
        <v>6.29969412856662E-2</v>
      </c>
      <c r="U119" s="195">
        <f t="shared" si="231"/>
        <v>5.9269704073492357E-2</v>
      </c>
      <c r="V119" s="195">
        <f t="shared" si="231"/>
        <v>6.0260489117384367E-2</v>
      </c>
      <c r="W119" s="195">
        <f t="shared" si="231"/>
        <v>6.1325219378623425E-2</v>
      </c>
      <c r="X119" s="195">
        <f t="shared" si="231"/>
        <v>6.2389949639862483E-2</v>
      </c>
      <c r="Y119" s="195">
        <f t="shared" si="231"/>
        <v>6.3454679901101541E-2</v>
      </c>
      <c r="Z119" s="195">
        <f t="shared" si="231"/>
        <v>6.4519410162340599E-2</v>
      </c>
      <c r="AA119" s="195">
        <f t="shared" si="231"/>
        <v>6.5584140423579657E-2</v>
      </c>
      <c r="AB119" s="195">
        <f t="shared" si="231"/>
        <v>6.6648870684818715E-2</v>
      </c>
      <c r="AC119" s="195">
        <f t="shared" si="231"/>
        <v>6.7713600946057773E-2</v>
      </c>
      <c r="AD119" s="195">
        <f t="shared" si="231"/>
        <v>6.8778331207296831E-2</v>
      </c>
      <c r="AE119" s="195">
        <f t="shared" si="231"/>
        <v>6.9843061468535861E-2</v>
      </c>
      <c r="AF119" s="195">
        <f t="shared" si="231"/>
        <v>7.1599483993274843E-2</v>
      </c>
      <c r="AG119" s="195">
        <f t="shared" si="231"/>
        <v>7.3355906518013825E-2</v>
      </c>
      <c r="AH119" s="195">
        <f t="shared" si="231"/>
        <v>7.5112329042752807E-2</v>
      </c>
      <c r="AI119" s="195">
        <f t="shared" si="231"/>
        <v>7.6868751567491789E-2</v>
      </c>
      <c r="AJ119" s="195">
        <f t="shared" si="231"/>
        <v>7.8625174092230771E-2</v>
      </c>
      <c r="AK119" s="195">
        <f t="shared" si="231"/>
        <v>8.0381596616969753E-2</v>
      </c>
      <c r="AL119" s="195">
        <f t="shared" si="231"/>
        <v>8.2138019141708735E-2</v>
      </c>
      <c r="AM119" s="195">
        <f t="shared" si="231"/>
        <v>8.3894441666447717E-2</v>
      </c>
      <c r="AN119" s="195">
        <f t="shared" si="231"/>
        <v>8.5650864191186699E-2</v>
      </c>
      <c r="AO119" s="195">
        <f t="shared" si="231"/>
        <v>8.7407286715925681E-2</v>
      </c>
      <c r="AP119" s="195">
        <f t="shared" si="231"/>
        <v>8.9969191856610342E-2</v>
      </c>
      <c r="AQ119" s="195">
        <f t="shared" si="231"/>
        <v>9.2531096997295004E-2</v>
      </c>
      <c r="AR119" s="195">
        <f t="shared" si="231"/>
        <v>9.5093002137979665E-2</v>
      </c>
      <c r="AS119" s="195">
        <f t="shared" si="231"/>
        <v>9.7654907278664327E-2</v>
      </c>
      <c r="AT119" s="195">
        <f t="shared" si="231"/>
        <v>0.10021681241934899</v>
      </c>
      <c r="AU119" s="195">
        <f t="shared" si="231"/>
        <v>0.10277871756003365</v>
      </c>
      <c r="AV119" s="195">
        <f t="shared" si="231"/>
        <v>0.10534062270071831</v>
      </c>
      <c r="AW119" s="195">
        <f t="shared" si="231"/>
        <v>0.10790252784140297</v>
      </c>
      <c r="AX119" s="195">
        <f t="shared" si="231"/>
        <v>0.11046443298208763</v>
      </c>
      <c r="AY119" s="195">
        <f t="shared" si="231"/>
        <v>0.1130263381227723</v>
      </c>
      <c r="AZ119" s="195">
        <f t="shared" si="231"/>
        <v>0.1130263381227723</v>
      </c>
      <c r="BA119" s="195">
        <f t="shared" si="231"/>
        <v>0.1130263381227723</v>
      </c>
    </row>
    <row r="120" spans="1:78">
      <c r="A120" s="123" t="s">
        <v>16</v>
      </c>
      <c r="B120" s="22" t="str">
        <f t="shared" si="219"/>
        <v/>
      </c>
      <c r="C120" s="23" t="str">
        <f t="shared" si="220"/>
        <v/>
      </c>
      <c r="D120" s="59" t="str">
        <f>ITEMS_TRA!C24</f>
        <v>TFHCV9</v>
      </c>
      <c r="E120" s="23" t="str">
        <f t="shared" si="221"/>
        <v/>
      </c>
      <c r="H120" s="23" t="str">
        <f t="shared" si="221"/>
        <v/>
      </c>
      <c r="J120" s="23" t="str">
        <f t="shared" si="221"/>
        <v/>
      </c>
      <c r="K120" s="23" t="str">
        <f t="shared" si="221"/>
        <v/>
      </c>
      <c r="L120" s="132" t="str">
        <f t="shared" si="222"/>
        <v/>
      </c>
      <c r="M120" s="195">
        <f>INDEX('[2]TS BYDem'!J$10:J$59,MATCH($D120,'[2]TS BYDem'!D$10:D$59,0))</f>
        <v>3.9969372950314989E-2</v>
      </c>
      <c r="N120" s="195">
        <f t="shared" ref="N120:BA120" si="232">IF(N$110=-1,O120,IF(N$110=99,M120,IF(N$110=0,INDEX($F101:$N101,0,N$108),(INDEX($F101:$N101,0,N$110+1)-INDEX($F101:$N101,0,N$110))/(INDEX($F$4:$N$4,0,N$110+1)-INDEX($F$4:$N$4,0,N$110))+M120)))</f>
        <v>3.4102559292729893E-2</v>
      </c>
      <c r="O120" s="195">
        <f t="shared" si="232"/>
        <v>2.8235745635144794E-2</v>
      </c>
      <c r="P120" s="195">
        <f t="shared" si="232"/>
        <v>2.2368931977559604E-2</v>
      </c>
      <c r="Q120" s="195">
        <f t="shared" si="232"/>
        <v>2.2519965988779801E-2</v>
      </c>
      <c r="R120" s="195">
        <f t="shared" si="232"/>
        <v>2.2670999999999997E-2</v>
      </c>
      <c r="S120" s="195">
        <f t="shared" si="232"/>
        <v>3.2861518920469207E-2</v>
      </c>
      <c r="T120" s="195">
        <f t="shared" si="232"/>
        <v>4.3052037840938417E-2</v>
      </c>
      <c r="U120" s="195">
        <f t="shared" si="232"/>
        <v>4.0504848180205263E-2</v>
      </c>
      <c r="V120" s="195">
        <f t="shared" si="232"/>
        <v>4.1181949549436034E-2</v>
      </c>
      <c r="W120" s="195">
        <f t="shared" si="232"/>
        <v>4.1909584995884062E-2</v>
      </c>
      <c r="X120" s="195">
        <f t="shared" si="232"/>
        <v>4.2637220442332091E-2</v>
      </c>
      <c r="Y120" s="195">
        <f t="shared" si="232"/>
        <v>4.336485588878012E-2</v>
      </c>
      <c r="Z120" s="195">
        <f t="shared" si="232"/>
        <v>4.4092491335228148E-2</v>
      </c>
      <c r="AA120" s="195">
        <f t="shared" si="232"/>
        <v>4.4820126781676177E-2</v>
      </c>
      <c r="AB120" s="195">
        <f t="shared" si="232"/>
        <v>4.5547762228124206E-2</v>
      </c>
      <c r="AC120" s="195">
        <f t="shared" si="232"/>
        <v>4.6275397674572234E-2</v>
      </c>
      <c r="AD120" s="195">
        <f t="shared" si="232"/>
        <v>4.7003033121020263E-2</v>
      </c>
      <c r="AE120" s="195">
        <f t="shared" si="232"/>
        <v>4.7730668567468298E-2</v>
      </c>
      <c r="AF120" s="195">
        <f t="shared" si="232"/>
        <v>4.8931005718074447E-2</v>
      </c>
      <c r="AG120" s="195">
        <f t="shared" si="232"/>
        <v>5.0131342868680595E-2</v>
      </c>
      <c r="AH120" s="195">
        <f t="shared" si="232"/>
        <v>5.1331680019286743E-2</v>
      </c>
      <c r="AI120" s="195">
        <f t="shared" si="232"/>
        <v>5.2532017169892892E-2</v>
      </c>
      <c r="AJ120" s="195">
        <f t="shared" si="232"/>
        <v>5.373235432049904E-2</v>
      </c>
      <c r="AK120" s="195">
        <f t="shared" si="232"/>
        <v>5.4932691471105188E-2</v>
      </c>
      <c r="AL120" s="195">
        <f t="shared" si="232"/>
        <v>5.6133028621711337E-2</v>
      </c>
      <c r="AM120" s="195">
        <f t="shared" si="232"/>
        <v>5.7333365772317485E-2</v>
      </c>
      <c r="AN120" s="195">
        <f t="shared" si="232"/>
        <v>5.8533702922923633E-2</v>
      </c>
      <c r="AO120" s="195">
        <f t="shared" si="232"/>
        <v>5.9734040073529761E-2</v>
      </c>
      <c r="AP120" s="195">
        <f t="shared" si="232"/>
        <v>6.1484843125403428E-2</v>
      </c>
      <c r="AQ120" s="195">
        <f t="shared" si="232"/>
        <v>6.3235646177277102E-2</v>
      </c>
      <c r="AR120" s="195">
        <f t="shared" si="232"/>
        <v>6.4986449229150769E-2</v>
      </c>
      <c r="AS120" s="195">
        <f t="shared" si="232"/>
        <v>6.6737252281024437E-2</v>
      </c>
      <c r="AT120" s="195">
        <f t="shared" si="232"/>
        <v>6.8488055332898104E-2</v>
      </c>
      <c r="AU120" s="195">
        <f t="shared" si="232"/>
        <v>7.0238858384771771E-2</v>
      </c>
      <c r="AV120" s="195">
        <f t="shared" si="232"/>
        <v>7.1989661436645438E-2</v>
      </c>
      <c r="AW120" s="195">
        <f t="shared" si="232"/>
        <v>7.3740464488519106E-2</v>
      </c>
      <c r="AX120" s="195">
        <f t="shared" si="232"/>
        <v>7.5491267540392773E-2</v>
      </c>
      <c r="AY120" s="195">
        <f t="shared" si="232"/>
        <v>7.7242070592266454E-2</v>
      </c>
      <c r="AZ120" s="195">
        <f t="shared" si="232"/>
        <v>7.7242070592266454E-2</v>
      </c>
      <c r="BA120" s="195">
        <f t="shared" si="232"/>
        <v>7.7242070592266454E-2</v>
      </c>
    </row>
    <row r="121" spans="1:78">
      <c r="A121" s="123" t="s">
        <v>16</v>
      </c>
      <c r="B121" s="22" t="str">
        <f t="shared" si="219"/>
        <v/>
      </c>
      <c r="C121" s="23" t="str">
        <f t="shared" si="220"/>
        <v/>
      </c>
      <c r="D121" s="59" t="str">
        <f>ITEMS_TRA!C25</f>
        <v>TFRCO</v>
      </c>
      <c r="E121" s="23" t="str">
        <f t="shared" si="221"/>
        <v/>
      </c>
      <c r="H121" s="23" t="str">
        <f t="shared" si="221"/>
        <v/>
      </c>
      <c r="J121" s="23" t="str">
        <f t="shared" si="221"/>
        <v/>
      </c>
      <c r="K121" s="23" t="str">
        <f t="shared" si="221"/>
        <v/>
      </c>
      <c r="L121" s="132" t="str">
        <f t="shared" si="222"/>
        <v/>
      </c>
      <c r="M121" s="195">
        <f>INDEX('[2]TS BYDem'!J$10:J$59,MATCH($D121,'[2]TS BYDem'!D$10:D$59,0))</f>
        <v>22</v>
      </c>
      <c r="N121" s="195">
        <f t="shared" ref="N121:BA121" si="233">IF(N$110=-1,O121,IF(N$110=99,M121,IF(N$110=0,INDEX($F102:$N102,0,N$108),(INDEX($F102:$N102,0,N$110+1)-INDEX($F102:$N102,0,N$110))/(INDEX($F$4:$N$4,0,N$110+1)-INDEX($F$4:$N$4,0,N$110))+M121)))</f>
        <v>22.352445526032646</v>
      </c>
      <c r="O121" s="195">
        <f t="shared" si="233"/>
        <v>22.704891052065292</v>
      </c>
      <c r="P121" s="195">
        <f t="shared" si="233"/>
        <v>23.057336578097942</v>
      </c>
      <c r="Q121" s="195">
        <f t="shared" si="233"/>
        <v>23.249070137552067</v>
      </c>
      <c r="R121" s="195">
        <f t="shared" si="233"/>
        <v>23.440803697006192</v>
      </c>
      <c r="S121" s="195">
        <f t="shared" si="233"/>
        <v>23.568784279696359</v>
      </c>
      <c r="T121" s="195">
        <f t="shared" si="233"/>
        <v>23.696764862386523</v>
      </c>
      <c r="U121" s="195">
        <f t="shared" si="233"/>
        <v>22.294737049596232</v>
      </c>
      <c r="V121" s="195">
        <f t="shared" si="233"/>
        <v>22.667428163404651</v>
      </c>
      <c r="W121" s="195">
        <f t="shared" si="233"/>
        <v>23.0679343169977</v>
      </c>
      <c r="X121" s="195">
        <f t="shared" si="233"/>
        <v>23.46844047059075</v>
      </c>
      <c r="Y121" s="195">
        <f t="shared" si="233"/>
        <v>23.868946624183799</v>
      </c>
      <c r="Z121" s="195">
        <f t="shared" si="233"/>
        <v>24.269452777776849</v>
      </c>
      <c r="AA121" s="195">
        <f t="shared" si="233"/>
        <v>24.669958931369898</v>
      </c>
      <c r="AB121" s="195">
        <f t="shared" si="233"/>
        <v>25.070465084962947</v>
      </c>
      <c r="AC121" s="195">
        <f t="shared" si="233"/>
        <v>25.470971238555997</v>
      </c>
      <c r="AD121" s="195">
        <f t="shared" si="233"/>
        <v>25.871477392149046</v>
      </c>
      <c r="AE121" s="195">
        <f t="shared" si="233"/>
        <v>26.271983545742081</v>
      </c>
      <c r="AF121" s="195">
        <f t="shared" si="233"/>
        <v>26.932674854213737</v>
      </c>
      <c r="AG121" s="195">
        <f t="shared" si="233"/>
        <v>27.593366162685392</v>
      </c>
      <c r="AH121" s="195">
        <f t="shared" si="233"/>
        <v>28.254057471157047</v>
      </c>
      <c r="AI121" s="195">
        <f t="shared" si="233"/>
        <v>28.914748779628702</v>
      </c>
      <c r="AJ121" s="195">
        <f t="shared" si="233"/>
        <v>29.575440088100358</v>
      </c>
      <c r="AK121" s="195">
        <f t="shared" si="233"/>
        <v>30.236131396572013</v>
      </c>
      <c r="AL121" s="195">
        <f t="shared" si="233"/>
        <v>30.896822705043668</v>
      </c>
      <c r="AM121" s="195">
        <f t="shared" si="233"/>
        <v>31.557514013515323</v>
      </c>
      <c r="AN121" s="195">
        <f t="shared" si="233"/>
        <v>32.218205321986979</v>
      </c>
      <c r="AO121" s="195">
        <f t="shared" si="233"/>
        <v>32.878896630458648</v>
      </c>
      <c r="AP121" s="195">
        <f t="shared" si="233"/>
        <v>33.842576175521842</v>
      </c>
      <c r="AQ121" s="195">
        <f t="shared" si="233"/>
        <v>34.806255720585035</v>
      </c>
      <c r="AR121" s="195">
        <f t="shared" si="233"/>
        <v>35.769935265648229</v>
      </c>
      <c r="AS121" s="195">
        <f t="shared" si="233"/>
        <v>36.733614810711423</v>
      </c>
      <c r="AT121" s="195">
        <f t="shared" si="233"/>
        <v>37.697294355774616</v>
      </c>
      <c r="AU121" s="195">
        <f t="shared" si="233"/>
        <v>38.66097390083781</v>
      </c>
      <c r="AV121" s="195">
        <f t="shared" si="233"/>
        <v>39.624653445901004</v>
      </c>
      <c r="AW121" s="195">
        <f t="shared" si="233"/>
        <v>40.588332990964197</v>
      </c>
      <c r="AX121" s="195">
        <f t="shared" si="233"/>
        <v>41.552012536027391</v>
      </c>
      <c r="AY121" s="195">
        <f t="shared" si="233"/>
        <v>42.515692081090613</v>
      </c>
      <c r="AZ121" s="195">
        <f t="shared" si="233"/>
        <v>42.515692081090613</v>
      </c>
      <c r="BA121" s="195">
        <f t="shared" si="233"/>
        <v>42.515692081090613</v>
      </c>
    </row>
    <row r="122" spans="1:78">
      <c r="A122" s="123" t="s">
        <v>16</v>
      </c>
      <c r="B122" s="22" t="str">
        <f t="shared" si="219"/>
        <v/>
      </c>
      <c r="C122" s="23" t="str">
        <f t="shared" si="220"/>
        <v/>
      </c>
      <c r="D122" s="59" t="str">
        <f>ITEMS_TRA!C26</f>
        <v>TFROT</v>
      </c>
      <c r="E122" s="23" t="str">
        <f t="shared" si="221"/>
        <v/>
      </c>
      <c r="H122" s="23" t="str">
        <f t="shared" si="221"/>
        <v/>
      </c>
      <c r="J122" s="23" t="str">
        <f t="shared" si="221"/>
        <v/>
      </c>
      <c r="K122" s="23" t="str">
        <f t="shared" si="221"/>
        <v/>
      </c>
      <c r="L122" s="132" t="str">
        <f t="shared" si="222"/>
        <v/>
      </c>
      <c r="M122" s="195">
        <f>INDEX('[2]TS BYDem'!J$10:J$59,MATCH($D122,'[2]TS BYDem'!D$10:D$59,0))</f>
        <v>25.1</v>
      </c>
      <c r="N122" s="195">
        <f t="shared" ref="N122:BA122" si="234">IF(N$110=-1,O122,IF(N$110=99,M122,IF(N$110=0,INDEX($F103:$N103,0,N$108),(INDEX($F103:$N103,0,N$110+1)-INDEX($F103:$N103,0,N$110))/(INDEX($F$4:$N$4,0,N$110+1)-INDEX($F$4:$N$4,0,N$110))+M122)))</f>
        <v>25.502108304700894</v>
      </c>
      <c r="O122" s="195">
        <f t="shared" si="234"/>
        <v>25.904216609401786</v>
      </c>
      <c r="P122" s="195">
        <f t="shared" si="234"/>
        <v>26.306324914102674</v>
      </c>
      <c r="Q122" s="195">
        <f t="shared" si="234"/>
        <v>26.525075475116246</v>
      </c>
      <c r="R122" s="195">
        <f t="shared" si="234"/>
        <v>26.743826036129814</v>
      </c>
      <c r="S122" s="195">
        <f t="shared" si="234"/>
        <v>26.889840246380864</v>
      </c>
      <c r="T122" s="195">
        <f t="shared" si="234"/>
        <v>27.035854456631917</v>
      </c>
      <c r="U122" s="195">
        <f t="shared" si="234"/>
        <v>25.436268179312091</v>
      </c>
      <c r="V122" s="195">
        <f t="shared" si="234"/>
        <v>25.861474859157145</v>
      </c>
      <c r="W122" s="195">
        <f t="shared" si="234"/>
        <v>26.318415970756487</v>
      </c>
      <c r="X122" s="195">
        <f t="shared" si="234"/>
        <v>26.775357082355828</v>
      </c>
      <c r="Y122" s="195">
        <f t="shared" si="234"/>
        <v>27.23229819395517</v>
      </c>
      <c r="Z122" s="195">
        <f t="shared" si="234"/>
        <v>27.689239305554512</v>
      </c>
      <c r="AA122" s="195">
        <f t="shared" si="234"/>
        <v>28.146180417153854</v>
      </c>
      <c r="AB122" s="195">
        <f t="shared" si="234"/>
        <v>28.603121528753196</v>
      </c>
      <c r="AC122" s="195">
        <f t="shared" si="234"/>
        <v>29.060062640352537</v>
      </c>
      <c r="AD122" s="195">
        <f t="shared" si="234"/>
        <v>29.517003751951879</v>
      </c>
      <c r="AE122" s="195">
        <f t="shared" si="234"/>
        <v>29.973944863551218</v>
      </c>
      <c r="AF122" s="195">
        <f t="shared" si="234"/>
        <v>30.727733583671153</v>
      </c>
      <c r="AG122" s="195">
        <f t="shared" si="234"/>
        <v>31.481522303791088</v>
      </c>
      <c r="AH122" s="195">
        <f t="shared" si="234"/>
        <v>32.235311023911024</v>
      </c>
      <c r="AI122" s="195">
        <f t="shared" si="234"/>
        <v>32.989099744030959</v>
      </c>
      <c r="AJ122" s="195">
        <f t="shared" si="234"/>
        <v>33.742888464150894</v>
      </c>
      <c r="AK122" s="195">
        <f t="shared" si="234"/>
        <v>34.49667718427083</v>
      </c>
      <c r="AL122" s="195">
        <f t="shared" si="234"/>
        <v>35.250465904390765</v>
      </c>
      <c r="AM122" s="195">
        <f t="shared" si="234"/>
        <v>36.0042546245107</v>
      </c>
      <c r="AN122" s="195">
        <f t="shared" si="234"/>
        <v>36.758043344630636</v>
      </c>
      <c r="AO122" s="195">
        <f t="shared" si="234"/>
        <v>37.511832064750571</v>
      </c>
      <c r="AP122" s="195">
        <f t="shared" si="234"/>
        <v>38.611302818436307</v>
      </c>
      <c r="AQ122" s="195">
        <f t="shared" si="234"/>
        <v>39.710773572122044</v>
      </c>
      <c r="AR122" s="195">
        <f t="shared" si="234"/>
        <v>40.81024432580778</v>
      </c>
      <c r="AS122" s="195">
        <f t="shared" si="234"/>
        <v>41.909715079493516</v>
      </c>
      <c r="AT122" s="195">
        <f t="shared" si="234"/>
        <v>43.009185833179252</v>
      </c>
      <c r="AU122" s="195">
        <f t="shared" si="234"/>
        <v>44.108656586864988</v>
      </c>
      <c r="AV122" s="195">
        <f t="shared" si="234"/>
        <v>45.208127340550725</v>
      </c>
      <c r="AW122" s="195">
        <f t="shared" si="234"/>
        <v>46.307598094236461</v>
      </c>
      <c r="AX122" s="195">
        <f t="shared" si="234"/>
        <v>47.407068847922197</v>
      </c>
      <c r="AY122" s="195">
        <f t="shared" si="234"/>
        <v>48.506539601607955</v>
      </c>
      <c r="AZ122" s="195">
        <f t="shared" si="234"/>
        <v>48.506539601607955</v>
      </c>
      <c r="BA122" s="195">
        <f t="shared" si="234"/>
        <v>48.506539601607955</v>
      </c>
    </row>
    <row r="123" spans="1:78">
      <c r="A123" s="41" t="s">
        <v>16</v>
      </c>
      <c r="B123" s="22" t="str">
        <f t="shared" si="219"/>
        <v/>
      </c>
      <c r="C123" s="131" t="str">
        <f t="shared" si="220"/>
        <v/>
      </c>
      <c r="D123" s="59" t="str">
        <f>ITEMS_TRA!C27</f>
        <v>TFREX</v>
      </c>
      <c r="E123" s="131" t="str">
        <f t="shared" si="221"/>
        <v/>
      </c>
      <c r="H123" s="131" t="str">
        <f t="shared" si="221"/>
        <v/>
      </c>
      <c r="J123" s="131" t="str">
        <f t="shared" si="221"/>
        <v/>
      </c>
      <c r="K123" s="131" t="str">
        <f t="shared" si="221"/>
        <v/>
      </c>
      <c r="L123" s="132" t="str">
        <f t="shared" si="222"/>
        <v/>
      </c>
      <c r="M123" s="195">
        <f>INDEX('[2]TS BYDem'!J$10:J$59,MATCH($D123,'[2]TS BYDem'!D$10:D$59,0))</f>
        <v>82.000000000000014</v>
      </c>
      <c r="N123" s="195">
        <f t="shared" ref="N123:BA123" si="235">IF(N$110=-1,O123,IF(N$110=99,M123,IF(N$110=0,INDEX($F104:$N104,0,N$108),(INDEX($F104:$N104,0,N$110+1)-INDEX($F104:$N104,0,N$110))/(INDEX($F$4:$N$4,0,N$110+1)-INDEX($F$4:$N$4,0,N$110))+M123)))</f>
        <v>82.000000000000014</v>
      </c>
      <c r="O123" s="195">
        <f t="shared" si="235"/>
        <v>82.000000000000014</v>
      </c>
      <c r="P123" s="195">
        <f t="shared" si="235"/>
        <v>82.000000000000014</v>
      </c>
      <c r="Q123" s="195">
        <f t="shared" si="235"/>
        <v>82.000000000000014</v>
      </c>
      <c r="R123" s="195">
        <f t="shared" si="235"/>
        <v>82.000000000000014</v>
      </c>
      <c r="S123" s="195">
        <f t="shared" si="235"/>
        <v>82.736172776937963</v>
      </c>
      <c r="T123" s="195">
        <f t="shared" si="235"/>
        <v>83.472345553875925</v>
      </c>
      <c r="U123" s="195">
        <f t="shared" si="235"/>
        <v>75.296230147600653</v>
      </c>
      <c r="V123" s="195">
        <f t="shared" si="235"/>
        <v>79.105852655656591</v>
      </c>
      <c r="W123" s="195">
        <f t="shared" si="235"/>
        <v>80.098633146166875</v>
      </c>
      <c r="X123" s="195">
        <f t="shared" si="235"/>
        <v>81.09141363667716</v>
      </c>
      <c r="Y123" s="195">
        <f t="shared" si="235"/>
        <v>82.084194127187445</v>
      </c>
      <c r="Z123" s="195">
        <f t="shared" si="235"/>
        <v>83.076974617697729</v>
      </c>
      <c r="AA123" s="195">
        <f t="shared" si="235"/>
        <v>84.069755108208014</v>
      </c>
      <c r="AB123" s="195">
        <f t="shared" si="235"/>
        <v>85.062535598718299</v>
      </c>
      <c r="AC123" s="195">
        <f t="shared" si="235"/>
        <v>86.055316089228583</v>
      </c>
      <c r="AD123" s="195">
        <f t="shared" si="235"/>
        <v>87.048096579738868</v>
      </c>
      <c r="AE123" s="195">
        <f t="shared" si="235"/>
        <v>88.040877070249095</v>
      </c>
      <c r="AF123" s="195">
        <f t="shared" si="235"/>
        <v>89.889451104345525</v>
      </c>
      <c r="AG123" s="195">
        <f t="shared" si="235"/>
        <v>91.738025138441955</v>
      </c>
      <c r="AH123" s="195">
        <f t="shared" si="235"/>
        <v>93.586599172538385</v>
      </c>
      <c r="AI123" s="195">
        <f t="shared" si="235"/>
        <v>95.435173206634815</v>
      </c>
      <c r="AJ123" s="195">
        <f t="shared" si="235"/>
        <v>97.283747240731245</v>
      </c>
      <c r="AK123" s="195">
        <f t="shared" si="235"/>
        <v>99.132321274827675</v>
      </c>
      <c r="AL123" s="195">
        <f t="shared" si="235"/>
        <v>100.9808953089241</v>
      </c>
      <c r="AM123" s="195">
        <f t="shared" si="235"/>
        <v>102.82946934302053</v>
      </c>
      <c r="AN123" s="195">
        <f t="shared" si="235"/>
        <v>104.67804337711696</v>
      </c>
      <c r="AO123" s="195">
        <f t="shared" si="235"/>
        <v>106.52661741121337</v>
      </c>
      <c r="AP123" s="195">
        <f t="shared" si="235"/>
        <v>108.8326653532713</v>
      </c>
      <c r="AQ123" s="195">
        <f t="shared" si="235"/>
        <v>111.13871329532923</v>
      </c>
      <c r="AR123" s="195">
        <f t="shared" si="235"/>
        <v>113.44476123738716</v>
      </c>
      <c r="AS123" s="195">
        <f t="shared" si="235"/>
        <v>115.75080917944508</v>
      </c>
      <c r="AT123" s="195">
        <f t="shared" si="235"/>
        <v>118.05685712150301</v>
      </c>
      <c r="AU123" s="195">
        <f t="shared" si="235"/>
        <v>120.36290506356094</v>
      </c>
      <c r="AV123" s="195">
        <f t="shared" si="235"/>
        <v>122.66895300561887</v>
      </c>
      <c r="AW123" s="195">
        <f t="shared" si="235"/>
        <v>124.9750009476768</v>
      </c>
      <c r="AX123" s="195">
        <f t="shared" si="235"/>
        <v>127.28104888973473</v>
      </c>
      <c r="AY123" s="195">
        <f t="shared" si="235"/>
        <v>129.58709683179268</v>
      </c>
      <c r="AZ123" s="195">
        <f t="shared" si="235"/>
        <v>129.58709683179268</v>
      </c>
      <c r="BA123" s="195">
        <f t="shared" si="235"/>
        <v>129.58709683179268</v>
      </c>
    </row>
    <row r="124" spans="1:78">
      <c r="A124" s="196" t="s">
        <v>16</v>
      </c>
      <c r="B124" s="13"/>
      <c r="C124" s="13"/>
      <c r="D124" s="196"/>
      <c r="E124" s="196"/>
      <c r="F124" s="196"/>
      <c r="G124" s="196"/>
      <c r="H124" s="196"/>
      <c r="I124" s="196"/>
      <c r="J124" s="66"/>
      <c r="K124" s="66"/>
      <c r="L124" s="66"/>
      <c r="M124" s="66"/>
      <c r="N124" s="10"/>
      <c r="P124" s="10"/>
    </row>
    <row r="125" spans="1:78">
      <c r="A125" s="196"/>
      <c r="B125" s="13"/>
      <c r="C125" s="13"/>
      <c r="D125" s="196"/>
      <c r="E125" s="196"/>
      <c r="F125" s="196"/>
      <c r="G125" s="196"/>
      <c r="H125" s="66"/>
      <c r="I125" s="66"/>
      <c r="J125" s="66"/>
      <c r="K125" s="66"/>
      <c r="L125" s="66"/>
      <c r="M125" s="196"/>
      <c r="N125" s="10"/>
    </row>
    <row r="126" spans="1:78">
      <c r="A126" s="194" t="s">
        <v>16</v>
      </c>
      <c r="B126" s="195"/>
      <c r="C126" s="195"/>
      <c r="H126" s="10"/>
      <c r="I126" s="10"/>
      <c r="J126" s="10"/>
      <c r="K126" s="10"/>
      <c r="L126" s="10"/>
      <c r="N126" s="10"/>
    </row>
    <row r="127" spans="1:78" ht="23.25">
      <c r="A127" s="121" t="s">
        <v>16</v>
      </c>
      <c r="B127" s="125" t="s">
        <v>19</v>
      </c>
      <c r="C127" s="125" t="s">
        <v>20</v>
      </c>
      <c r="D127" s="125" t="s">
        <v>21</v>
      </c>
      <c r="E127" s="125" t="s">
        <v>22</v>
      </c>
      <c r="F127" s="125" t="s">
        <v>23</v>
      </c>
      <c r="G127" s="125" t="s">
        <v>24</v>
      </c>
      <c r="H127" s="125" t="s">
        <v>618</v>
      </c>
      <c r="I127" s="125" t="s">
        <v>618</v>
      </c>
      <c r="J127" s="125" t="s">
        <v>653</v>
      </c>
      <c r="K127" s="126" t="s">
        <v>25</v>
      </c>
      <c r="L127" s="194">
        <v>2012</v>
      </c>
      <c r="M127" s="194">
        <v>2013</v>
      </c>
      <c r="N127" s="194">
        <v>2014</v>
      </c>
      <c r="O127" s="194">
        <v>2015</v>
      </c>
      <c r="P127" s="194">
        <v>2016</v>
      </c>
      <c r="Q127" s="194">
        <v>2017</v>
      </c>
      <c r="R127" s="194">
        <v>2018</v>
      </c>
      <c r="S127" s="194">
        <v>2019</v>
      </c>
      <c r="T127" s="194">
        <v>2020</v>
      </c>
      <c r="U127" s="194">
        <v>2021</v>
      </c>
      <c r="V127" s="194">
        <v>2022</v>
      </c>
      <c r="W127" s="194">
        <v>2023</v>
      </c>
      <c r="X127" s="194">
        <v>2024</v>
      </c>
      <c r="Y127" s="194">
        <v>2025</v>
      </c>
      <c r="Z127" s="194">
        <v>2026</v>
      </c>
      <c r="AA127" s="194">
        <v>2027</v>
      </c>
      <c r="AB127" s="194">
        <v>2028</v>
      </c>
      <c r="AC127" s="194">
        <v>2029</v>
      </c>
      <c r="AD127" s="194">
        <v>2030</v>
      </c>
      <c r="AE127" s="194">
        <v>2031</v>
      </c>
      <c r="AF127" s="194">
        <v>2032</v>
      </c>
      <c r="AG127" s="194">
        <v>2033</v>
      </c>
      <c r="AH127" s="194">
        <v>2034</v>
      </c>
      <c r="AI127" s="194">
        <v>2035</v>
      </c>
      <c r="AJ127" s="194">
        <v>2036</v>
      </c>
      <c r="AK127" s="194">
        <v>2037</v>
      </c>
      <c r="AL127" s="194">
        <v>2038</v>
      </c>
      <c r="AM127" s="194">
        <v>2039</v>
      </c>
      <c r="AN127" s="194">
        <v>2040</v>
      </c>
      <c r="AO127" s="194">
        <v>2045</v>
      </c>
      <c r="AP127" s="194">
        <v>2050</v>
      </c>
      <c r="AQ127" s="194">
        <v>2060</v>
      </c>
      <c r="AR127" s="194">
        <v>2070</v>
      </c>
    </row>
    <row r="128" spans="1:78" s="200" customFormat="1">
      <c r="A128" s="121" t="s">
        <v>16</v>
      </c>
      <c r="B128" s="200">
        <v>1</v>
      </c>
      <c r="C128" s="200">
        <v>2012</v>
      </c>
      <c r="D128" s="200">
        <v>2015</v>
      </c>
      <c r="E128" s="200">
        <v>2017</v>
      </c>
      <c r="F128" s="200">
        <v>2019</v>
      </c>
      <c r="G128" s="200">
        <v>2020</v>
      </c>
      <c r="H128" s="200">
        <v>2021</v>
      </c>
      <c r="I128" s="200">
        <v>2030</v>
      </c>
      <c r="J128" s="200">
        <v>2040</v>
      </c>
      <c r="K128" s="247">
        <v>2050</v>
      </c>
      <c r="L128" s="200">
        <f t="shared" ref="L128:U129" si="236">MATCH(L$127,$C$128:$K$128,$B128)</f>
        <v>1</v>
      </c>
      <c r="M128" s="200">
        <f t="shared" si="236"/>
        <v>1</v>
      </c>
      <c r="N128" s="200">
        <f t="shared" si="236"/>
        <v>1</v>
      </c>
      <c r="O128" s="200">
        <f t="shared" si="236"/>
        <v>2</v>
      </c>
      <c r="P128" s="200">
        <f t="shared" si="236"/>
        <v>2</v>
      </c>
      <c r="Q128" s="200">
        <f t="shared" si="236"/>
        <v>3</v>
      </c>
      <c r="R128" s="200">
        <f t="shared" si="236"/>
        <v>3</v>
      </c>
      <c r="S128" s="200">
        <f t="shared" si="236"/>
        <v>4</v>
      </c>
      <c r="T128" s="200">
        <f t="shared" si="236"/>
        <v>5</v>
      </c>
      <c r="U128" s="200">
        <f t="shared" si="236"/>
        <v>6</v>
      </c>
      <c r="V128" s="200">
        <f t="shared" ref="V128:AE129" si="237">MATCH(V$127,$C$128:$K$128,$B128)</f>
        <v>6</v>
      </c>
      <c r="W128" s="200">
        <f t="shared" si="237"/>
        <v>6</v>
      </c>
      <c r="X128" s="200">
        <f t="shared" si="237"/>
        <v>6</v>
      </c>
      <c r="Y128" s="200">
        <f t="shared" si="237"/>
        <v>6</v>
      </c>
      <c r="Z128" s="200">
        <f t="shared" si="237"/>
        <v>6</v>
      </c>
      <c r="AA128" s="200">
        <f t="shared" si="237"/>
        <v>6</v>
      </c>
      <c r="AB128" s="200">
        <f t="shared" si="237"/>
        <v>6</v>
      </c>
      <c r="AC128" s="200">
        <f t="shared" si="237"/>
        <v>6</v>
      </c>
      <c r="AD128" s="200">
        <f t="shared" si="237"/>
        <v>7</v>
      </c>
      <c r="AE128" s="200">
        <f t="shared" si="237"/>
        <v>7</v>
      </c>
      <c r="AF128" s="200">
        <f t="shared" ref="AF128:AR129" si="238">MATCH(AF$127,$C$128:$K$128,$B128)</f>
        <v>7</v>
      </c>
      <c r="AG128" s="200">
        <f t="shared" si="238"/>
        <v>7</v>
      </c>
      <c r="AH128" s="200">
        <f t="shared" si="238"/>
        <v>7</v>
      </c>
      <c r="AI128" s="200">
        <f t="shared" si="238"/>
        <v>7</v>
      </c>
      <c r="AJ128" s="200">
        <f t="shared" si="238"/>
        <v>7</v>
      </c>
      <c r="AK128" s="200">
        <f t="shared" si="238"/>
        <v>7</v>
      </c>
      <c r="AL128" s="200">
        <f t="shared" si="238"/>
        <v>7</v>
      </c>
      <c r="AM128" s="200">
        <f t="shared" si="238"/>
        <v>7</v>
      </c>
      <c r="AN128" s="200">
        <f t="shared" si="238"/>
        <v>8</v>
      </c>
      <c r="AO128" s="200">
        <f t="shared" si="238"/>
        <v>8</v>
      </c>
      <c r="AP128" s="200">
        <f t="shared" si="238"/>
        <v>9</v>
      </c>
      <c r="AQ128" s="200">
        <f t="shared" si="238"/>
        <v>9</v>
      </c>
      <c r="AR128" s="200">
        <f t="shared" si="238"/>
        <v>9</v>
      </c>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row>
    <row r="129" spans="1:78">
      <c r="A129" s="41" t="s">
        <v>16</v>
      </c>
      <c r="B129" s="194">
        <v>0</v>
      </c>
      <c r="C129" s="194">
        <f t="shared" ref="C129:K129" si="239">INDEX($C128:$K128,0,COUNT($C128:$K128)-C130)</f>
        <v>2050</v>
      </c>
      <c r="D129" s="293">
        <f t="shared" si="239"/>
        <v>2040</v>
      </c>
      <c r="E129" s="293">
        <f t="shared" si="239"/>
        <v>2030</v>
      </c>
      <c r="F129" s="293">
        <f t="shared" si="239"/>
        <v>2021</v>
      </c>
      <c r="G129" s="293">
        <f t="shared" si="239"/>
        <v>2020</v>
      </c>
      <c r="H129" s="293">
        <f t="shared" si="239"/>
        <v>2019</v>
      </c>
      <c r="I129" s="293">
        <f t="shared" si="239"/>
        <v>2017</v>
      </c>
      <c r="J129" s="293">
        <f t="shared" si="239"/>
        <v>2015</v>
      </c>
      <c r="K129" s="293">
        <f t="shared" si="239"/>
        <v>2012</v>
      </c>
      <c r="L129" s="41">
        <f t="shared" si="236"/>
        <v>1</v>
      </c>
      <c r="M129" s="194" t="e">
        <f t="shared" si="236"/>
        <v>#N/A</v>
      </c>
      <c r="N129" s="194" t="e">
        <f t="shared" si="236"/>
        <v>#N/A</v>
      </c>
      <c r="O129" s="194">
        <f t="shared" si="236"/>
        <v>2</v>
      </c>
      <c r="P129" s="194" t="e">
        <f t="shared" si="236"/>
        <v>#N/A</v>
      </c>
      <c r="Q129" s="194">
        <f t="shared" si="236"/>
        <v>3</v>
      </c>
      <c r="R129" s="194" t="e">
        <f t="shared" si="236"/>
        <v>#N/A</v>
      </c>
      <c r="S129" s="194">
        <f t="shared" si="236"/>
        <v>4</v>
      </c>
      <c r="T129" s="194">
        <f t="shared" si="236"/>
        <v>5</v>
      </c>
      <c r="U129" s="194">
        <f t="shared" si="236"/>
        <v>6</v>
      </c>
      <c r="V129" s="194" t="e">
        <f t="shared" si="237"/>
        <v>#N/A</v>
      </c>
      <c r="W129" s="194" t="e">
        <f t="shared" si="237"/>
        <v>#N/A</v>
      </c>
      <c r="X129" s="194" t="e">
        <f t="shared" si="237"/>
        <v>#N/A</v>
      </c>
      <c r="Y129" s="194" t="e">
        <f t="shared" si="237"/>
        <v>#N/A</v>
      </c>
      <c r="Z129" s="194" t="e">
        <f t="shared" si="237"/>
        <v>#N/A</v>
      </c>
      <c r="AA129" s="194" t="e">
        <f t="shared" si="237"/>
        <v>#N/A</v>
      </c>
      <c r="AB129" s="194" t="e">
        <f t="shared" si="237"/>
        <v>#N/A</v>
      </c>
      <c r="AC129" s="194" t="e">
        <f t="shared" si="237"/>
        <v>#N/A</v>
      </c>
      <c r="AD129" s="194">
        <f t="shared" si="237"/>
        <v>7</v>
      </c>
      <c r="AE129" s="194" t="e">
        <f t="shared" si="237"/>
        <v>#N/A</v>
      </c>
      <c r="AF129" s="194" t="e">
        <f t="shared" si="238"/>
        <v>#N/A</v>
      </c>
      <c r="AG129" s="194" t="e">
        <f t="shared" si="238"/>
        <v>#N/A</v>
      </c>
      <c r="AH129" s="194" t="e">
        <f t="shared" si="238"/>
        <v>#N/A</v>
      </c>
      <c r="AI129" s="194" t="e">
        <f t="shared" si="238"/>
        <v>#N/A</v>
      </c>
      <c r="AJ129" s="194" t="e">
        <f t="shared" si="238"/>
        <v>#N/A</v>
      </c>
      <c r="AK129" s="194" t="e">
        <f t="shared" si="238"/>
        <v>#N/A</v>
      </c>
      <c r="AL129" s="194" t="e">
        <f t="shared" si="238"/>
        <v>#N/A</v>
      </c>
      <c r="AM129" s="194" t="e">
        <f t="shared" si="238"/>
        <v>#N/A</v>
      </c>
      <c r="AN129" s="194">
        <f t="shared" si="238"/>
        <v>8</v>
      </c>
      <c r="AO129" s="194" t="e">
        <f t="shared" si="238"/>
        <v>#N/A</v>
      </c>
      <c r="AP129" s="194">
        <f t="shared" si="238"/>
        <v>9</v>
      </c>
      <c r="AQ129" s="194" t="e">
        <f t="shared" si="238"/>
        <v>#N/A</v>
      </c>
      <c r="AR129" s="194" t="e">
        <f t="shared" si="238"/>
        <v>#N/A</v>
      </c>
    </row>
    <row r="130" spans="1:78">
      <c r="A130" s="41" t="s">
        <v>16</v>
      </c>
      <c r="B130" s="194">
        <v>-1</v>
      </c>
      <c r="C130" s="194">
        <v>0</v>
      </c>
      <c r="D130" s="293">
        <v>1</v>
      </c>
      <c r="E130" s="293">
        <v>2</v>
      </c>
      <c r="F130" s="293">
        <v>3</v>
      </c>
      <c r="G130" s="293">
        <v>4</v>
      </c>
      <c r="H130" s="293">
        <v>5</v>
      </c>
      <c r="I130" s="293">
        <v>6</v>
      </c>
      <c r="J130" s="293">
        <v>7</v>
      </c>
      <c r="K130" s="293">
        <v>8</v>
      </c>
      <c r="L130" s="41">
        <f t="shared" ref="L130:AR130" si="240">MATCH(L$127,$C$129:$K$129,$B130)</f>
        <v>9</v>
      </c>
      <c r="M130" s="194">
        <f t="shared" si="240"/>
        <v>8</v>
      </c>
      <c r="N130" s="194">
        <f t="shared" si="240"/>
        <v>8</v>
      </c>
      <c r="O130" s="194">
        <f t="shared" si="240"/>
        <v>8</v>
      </c>
      <c r="P130" s="194">
        <f t="shared" si="240"/>
        <v>7</v>
      </c>
      <c r="Q130" s="194">
        <f t="shared" si="240"/>
        <v>7</v>
      </c>
      <c r="R130" s="194">
        <f t="shared" si="240"/>
        <v>6</v>
      </c>
      <c r="S130" s="194">
        <f t="shared" si="240"/>
        <v>6</v>
      </c>
      <c r="T130" s="194">
        <f t="shared" si="240"/>
        <v>5</v>
      </c>
      <c r="U130" s="194">
        <f t="shared" si="240"/>
        <v>4</v>
      </c>
      <c r="V130" s="194">
        <f t="shared" si="240"/>
        <v>3</v>
      </c>
      <c r="W130" s="194">
        <f t="shared" si="240"/>
        <v>3</v>
      </c>
      <c r="X130" s="194">
        <f t="shared" si="240"/>
        <v>3</v>
      </c>
      <c r="Y130" s="194">
        <f t="shared" si="240"/>
        <v>3</v>
      </c>
      <c r="Z130" s="194">
        <f t="shared" si="240"/>
        <v>3</v>
      </c>
      <c r="AA130" s="194">
        <f t="shared" si="240"/>
        <v>3</v>
      </c>
      <c r="AB130" s="194">
        <f t="shared" si="240"/>
        <v>3</v>
      </c>
      <c r="AC130" s="194">
        <f t="shared" si="240"/>
        <v>3</v>
      </c>
      <c r="AD130" s="194">
        <f t="shared" si="240"/>
        <v>3</v>
      </c>
      <c r="AE130" s="194">
        <f t="shared" si="240"/>
        <v>2</v>
      </c>
      <c r="AF130" s="194">
        <f t="shared" si="240"/>
        <v>2</v>
      </c>
      <c r="AG130" s="194">
        <f t="shared" si="240"/>
        <v>2</v>
      </c>
      <c r="AH130" s="194">
        <f t="shared" si="240"/>
        <v>2</v>
      </c>
      <c r="AI130" s="194">
        <f t="shared" si="240"/>
        <v>2</v>
      </c>
      <c r="AJ130" s="194">
        <f t="shared" si="240"/>
        <v>2</v>
      </c>
      <c r="AK130" s="194">
        <f t="shared" si="240"/>
        <v>2</v>
      </c>
      <c r="AL130" s="194">
        <f t="shared" si="240"/>
        <v>2</v>
      </c>
      <c r="AM130" s="194">
        <f t="shared" si="240"/>
        <v>2</v>
      </c>
      <c r="AN130" s="194">
        <f t="shared" si="240"/>
        <v>2</v>
      </c>
      <c r="AO130" s="194">
        <f t="shared" si="240"/>
        <v>1</v>
      </c>
      <c r="AP130" s="194">
        <f t="shared" si="240"/>
        <v>1</v>
      </c>
      <c r="AQ130" s="194" t="e">
        <f t="shared" si="240"/>
        <v>#N/A</v>
      </c>
      <c r="AR130" s="194" t="e">
        <f t="shared" si="240"/>
        <v>#N/A</v>
      </c>
    </row>
    <row r="131" spans="1:78" s="124" customFormat="1">
      <c r="A131" s="123" t="s">
        <v>16</v>
      </c>
      <c r="K131" s="129"/>
      <c r="L131" s="198">
        <f t="shared" ref="L131:AR131" si="241">IF(ISNA(L128),-1,IF(ISNA(L130),99,IF(ISNA(L129),L128,0)))</f>
        <v>0</v>
      </c>
      <c r="M131" s="198">
        <f t="shared" si="241"/>
        <v>1</v>
      </c>
      <c r="N131" s="198">
        <f t="shared" si="241"/>
        <v>1</v>
      </c>
      <c r="O131" s="198">
        <f t="shared" si="241"/>
        <v>0</v>
      </c>
      <c r="P131" s="198">
        <f t="shared" si="241"/>
        <v>2</v>
      </c>
      <c r="Q131" s="198">
        <f t="shared" si="241"/>
        <v>0</v>
      </c>
      <c r="R131" s="198">
        <f t="shared" si="241"/>
        <v>3</v>
      </c>
      <c r="S131" s="198">
        <f t="shared" si="241"/>
        <v>0</v>
      </c>
      <c r="T131" s="198">
        <f t="shared" si="241"/>
        <v>0</v>
      </c>
      <c r="U131" s="198">
        <f t="shared" si="241"/>
        <v>0</v>
      </c>
      <c r="V131" s="198">
        <f t="shared" si="241"/>
        <v>6</v>
      </c>
      <c r="W131" s="198">
        <f t="shared" si="241"/>
        <v>6</v>
      </c>
      <c r="X131" s="198">
        <f t="shared" si="241"/>
        <v>6</v>
      </c>
      <c r="Y131" s="198">
        <f t="shared" si="241"/>
        <v>6</v>
      </c>
      <c r="Z131" s="198">
        <f t="shared" si="241"/>
        <v>6</v>
      </c>
      <c r="AA131" s="198">
        <f t="shared" si="241"/>
        <v>6</v>
      </c>
      <c r="AB131" s="198">
        <f t="shared" si="241"/>
        <v>6</v>
      </c>
      <c r="AC131" s="198">
        <f t="shared" si="241"/>
        <v>6</v>
      </c>
      <c r="AD131" s="198">
        <f t="shared" si="241"/>
        <v>0</v>
      </c>
      <c r="AE131" s="198">
        <f t="shared" si="241"/>
        <v>7</v>
      </c>
      <c r="AF131" s="198">
        <f t="shared" si="241"/>
        <v>7</v>
      </c>
      <c r="AG131" s="198">
        <f t="shared" si="241"/>
        <v>7</v>
      </c>
      <c r="AH131" s="198">
        <f t="shared" si="241"/>
        <v>7</v>
      </c>
      <c r="AI131" s="198">
        <f t="shared" si="241"/>
        <v>7</v>
      </c>
      <c r="AJ131" s="198">
        <f t="shared" si="241"/>
        <v>7</v>
      </c>
      <c r="AK131" s="198">
        <f t="shared" si="241"/>
        <v>7</v>
      </c>
      <c r="AL131" s="198">
        <f t="shared" si="241"/>
        <v>7</v>
      </c>
      <c r="AM131" s="198">
        <f t="shared" si="241"/>
        <v>7</v>
      </c>
      <c r="AN131" s="198">
        <f t="shared" si="241"/>
        <v>0</v>
      </c>
      <c r="AO131" s="198">
        <f t="shared" si="241"/>
        <v>8</v>
      </c>
      <c r="AP131" s="198">
        <f t="shared" si="241"/>
        <v>0</v>
      </c>
      <c r="AQ131" s="198">
        <f t="shared" si="241"/>
        <v>99</v>
      </c>
      <c r="AR131" s="198">
        <f t="shared" si="241"/>
        <v>99</v>
      </c>
      <c r="AS131" s="194"/>
      <c r="AT131" s="194"/>
      <c r="AU131" s="194"/>
      <c r="AV131" s="194"/>
      <c r="AW131" s="194"/>
      <c r="AX131" s="194"/>
      <c r="AY131" s="194"/>
      <c r="AZ131" s="194"/>
      <c r="BA131" s="194"/>
      <c r="BB131" s="194"/>
      <c r="BC131" s="194"/>
      <c r="BD131" s="194"/>
      <c r="BE131" s="194"/>
      <c r="BF131" s="194"/>
      <c r="BG131" s="194"/>
      <c r="BH131" s="194"/>
      <c r="BI131" s="194"/>
      <c r="BJ131" s="194"/>
      <c r="BK131" s="194"/>
      <c r="BL131" s="194"/>
      <c r="BM131" s="194"/>
      <c r="BN131" s="194"/>
      <c r="BO131" s="194"/>
      <c r="BP131" s="194"/>
      <c r="BQ131" s="194"/>
      <c r="BR131" s="194"/>
      <c r="BS131" s="194"/>
      <c r="BT131" s="194"/>
      <c r="BU131" s="194"/>
      <c r="BV131" s="194"/>
      <c r="BW131" s="194"/>
      <c r="BX131" s="194"/>
      <c r="BY131" s="194"/>
      <c r="BZ131" s="194"/>
    </row>
    <row r="132" spans="1:78">
      <c r="A132" s="41" t="s">
        <v>125</v>
      </c>
      <c r="B132" s="22" t="str">
        <f t="shared" ref="B132:B144" si="242">IF(A132="*","","COM_PROJ")</f>
        <v>COM_PROJ</v>
      </c>
      <c r="C132" s="23" t="str">
        <f t="shared" ref="C132:C144" si="243">IF($A132="*","","-")</f>
        <v>-</v>
      </c>
      <c r="D132" s="59" t="str">
        <f>ITEMS_TRA!C15</f>
        <v>TFLCV</v>
      </c>
      <c r="E132" s="23" t="str">
        <f t="shared" ref="E132:J144" si="244">IF($A132="*","","-")</f>
        <v>-</v>
      </c>
      <c r="G132" s="23" t="str">
        <f t="shared" si="244"/>
        <v>-</v>
      </c>
      <c r="I132" s="23" t="str">
        <f t="shared" si="244"/>
        <v>-</v>
      </c>
      <c r="J132" s="23" t="str">
        <f t="shared" si="244"/>
        <v>-</v>
      </c>
      <c r="K132" s="132">
        <f t="shared" ref="K132:K144" si="245">IF(A132="*","",0)</f>
        <v>0</v>
      </c>
      <c r="L132" s="195">
        <f t="shared" ref="L132:AR132" si="246">INDEX($M111:$BA111,MATCH(L$127,$M$106:$BA$106,0))</f>
        <v>43.11250375056882</v>
      </c>
      <c r="M132" s="195">
        <f t="shared" si="246"/>
        <v>43.541669167045889</v>
      </c>
      <c r="N132" s="195">
        <f t="shared" si="246"/>
        <v>43.970834583522958</v>
      </c>
      <c r="O132" s="195">
        <f t="shared" si="246"/>
        <v>44.4</v>
      </c>
      <c r="P132" s="195">
        <f t="shared" si="246"/>
        <v>44.871410582810697</v>
      </c>
      <c r="Q132" s="195">
        <f t="shared" si="246"/>
        <v>45.342821165621402</v>
      </c>
      <c r="R132" s="195">
        <f t="shared" si="246"/>
        <v>45.89020294658313</v>
      </c>
      <c r="S132" s="195">
        <f t="shared" si="246"/>
        <v>46.437584727544852</v>
      </c>
      <c r="T132" s="195">
        <f t="shared" si="246"/>
        <v>43.690087939484705</v>
      </c>
      <c r="U132" s="195">
        <f t="shared" si="246"/>
        <v>44.420435532296942</v>
      </c>
      <c r="V132" s="195">
        <f t="shared" si="246"/>
        <v>45.205291125429042</v>
      </c>
      <c r="W132" s="195">
        <f t="shared" si="246"/>
        <v>45.990146718561142</v>
      </c>
      <c r="X132" s="195">
        <f t="shared" si="246"/>
        <v>46.775002311693243</v>
      </c>
      <c r="Y132" s="195">
        <f t="shared" si="246"/>
        <v>47.559857904825343</v>
      </c>
      <c r="Z132" s="195">
        <f t="shared" si="246"/>
        <v>48.344713497957443</v>
      </c>
      <c r="AA132" s="195">
        <f t="shared" si="246"/>
        <v>49.129569091089543</v>
      </c>
      <c r="AB132" s="195">
        <f t="shared" si="246"/>
        <v>49.914424684221643</v>
      </c>
      <c r="AC132" s="195">
        <f t="shared" si="246"/>
        <v>50.699280277353743</v>
      </c>
      <c r="AD132" s="195">
        <f t="shared" si="246"/>
        <v>51.484135870485822</v>
      </c>
      <c r="AE132" s="195">
        <f t="shared" si="246"/>
        <v>52.778865712051847</v>
      </c>
      <c r="AF132" s="195">
        <f t="shared" si="246"/>
        <v>54.073595553617871</v>
      </c>
      <c r="AG132" s="195">
        <f t="shared" si="246"/>
        <v>55.368325395183895</v>
      </c>
      <c r="AH132" s="195">
        <f t="shared" si="246"/>
        <v>56.663055236749919</v>
      </c>
      <c r="AI132" s="195">
        <f t="shared" si="246"/>
        <v>57.957785078315943</v>
      </c>
      <c r="AJ132" s="195">
        <f t="shared" si="246"/>
        <v>59.252514919881968</v>
      </c>
      <c r="AK132" s="195">
        <f t="shared" si="246"/>
        <v>60.547244761447992</v>
      </c>
      <c r="AL132" s="195">
        <f t="shared" si="246"/>
        <v>61.841974603014016</v>
      </c>
      <c r="AM132" s="195">
        <f t="shared" si="246"/>
        <v>63.13670444458004</v>
      </c>
      <c r="AN132" s="195">
        <f t="shared" si="246"/>
        <v>64.431434286146057</v>
      </c>
      <c r="AO132" s="195">
        <f t="shared" si="246"/>
        <v>73.873852013619597</v>
      </c>
      <c r="AP132" s="195">
        <f t="shared" si="246"/>
        <v>83.316269741093109</v>
      </c>
      <c r="AQ132" s="195">
        <f t="shared" si="246"/>
        <v>83.316269741093109</v>
      </c>
      <c r="AR132" s="195">
        <f t="shared" si="246"/>
        <v>83.316269741093109</v>
      </c>
    </row>
    <row r="133" spans="1:78">
      <c r="A133" s="41"/>
      <c r="B133" s="22" t="str">
        <f t="shared" si="242"/>
        <v>COM_PROJ</v>
      </c>
      <c r="C133" s="23" t="str">
        <f t="shared" si="243"/>
        <v>-</v>
      </c>
      <c r="D133" s="59" t="str">
        <f>ITEMS_TRA!C16</f>
        <v>TFHCV1</v>
      </c>
      <c r="E133" s="23" t="str">
        <f t="shared" si="244"/>
        <v>-</v>
      </c>
      <c r="G133" s="23" t="str">
        <f t="shared" si="244"/>
        <v>-</v>
      </c>
      <c r="I133" s="23" t="str">
        <f t="shared" si="244"/>
        <v>-</v>
      </c>
      <c r="J133" s="23" t="str">
        <f t="shared" si="244"/>
        <v>-</v>
      </c>
      <c r="K133" s="132">
        <f t="shared" si="245"/>
        <v>0</v>
      </c>
      <c r="L133" s="195">
        <f t="shared" ref="L133:AR133" si="247">INDEX($M112:$BA112,MATCH(L$127,$M$106:$BA$106,0))</f>
        <v>3.310563752317667</v>
      </c>
      <c r="M133" s="195">
        <f t="shared" si="247"/>
        <v>3.3405637523176668</v>
      </c>
      <c r="N133" s="195">
        <f t="shared" si="247"/>
        <v>3.3705637523176666</v>
      </c>
      <c r="O133" s="195">
        <f t="shared" si="247"/>
        <v>3.4</v>
      </c>
      <c r="P133" s="195">
        <f t="shared" si="247"/>
        <v>3.4249999999999998</v>
      </c>
      <c r="Q133" s="195">
        <f t="shared" si="247"/>
        <v>3.45</v>
      </c>
      <c r="R133" s="195">
        <f t="shared" si="247"/>
        <v>3.5076429930568063</v>
      </c>
      <c r="S133" s="195">
        <f t="shared" si="247"/>
        <v>3.5652859861136119</v>
      </c>
      <c r="T133" s="195">
        <f t="shared" si="247"/>
        <v>3.3543445288256186</v>
      </c>
      <c r="U133" s="195">
        <f t="shared" si="247"/>
        <v>3.4104176009486125</v>
      </c>
      <c r="V133" s="195">
        <f t="shared" si="247"/>
        <v>3.4706755722392031</v>
      </c>
      <c r="W133" s="195">
        <f t="shared" si="247"/>
        <v>3.5309335435297937</v>
      </c>
      <c r="X133" s="195">
        <f t="shared" si="247"/>
        <v>3.5911915148203843</v>
      </c>
      <c r="Y133" s="195">
        <f t="shared" si="247"/>
        <v>3.651449486110975</v>
      </c>
      <c r="Z133" s="195">
        <f t="shared" si="247"/>
        <v>3.7117074574015656</v>
      </c>
      <c r="AA133" s="195">
        <f t="shared" si="247"/>
        <v>3.7719654286921562</v>
      </c>
      <c r="AB133" s="195">
        <f t="shared" si="247"/>
        <v>3.8322233999827469</v>
      </c>
      <c r="AC133" s="195">
        <f t="shared" si="247"/>
        <v>3.8924813712733375</v>
      </c>
      <c r="AD133" s="195">
        <f t="shared" si="247"/>
        <v>3.9527393425639263</v>
      </c>
      <c r="AE133" s="195">
        <f t="shared" si="247"/>
        <v>4.052143353065798</v>
      </c>
      <c r="AF133" s="195">
        <f t="shared" si="247"/>
        <v>4.1515473635676701</v>
      </c>
      <c r="AG133" s="195">
        <f t="shared" si="247"/>
        <v>4.2509513740695422</v>
      </c>
      <c r="AH133" s="195">
        <f t="shared" si="247"/>
        <v>4.3503553845714142</v>
      </c>
      <c r="AI133" s="195">
        <f t="shared" si="247"/>
        <v>4.4497593950732863</v>
      </c>
      <c r="AJ133" s="195">
        <f t="shared" si="247"/>
        <v>4.5491634055751584</v>
      </c>
      <c r="AK133" s="195">
        <f t="shared" si="247"/>
        <v>4.6485674160770305</v>
      </c>
      <c r="AL133" s="195">
        <f t="shared" si="247"/>
        <v>4.7479714265789026</v>
      </c>
      <c r="AM133" s="195">
        <f t="shared" si="247"/>
        <v>4.8473754370807747</v>
      </c>
      <c r="AN133" s="195">
        <f t="shared" si="247"/>
        <v>4.9467794475826459</v>
      </c>
      <c r="AO133" s="195">
        <f t="shared" si="247"/>
        <v>5.6717292871642782</v>
      </c>
      <c r="AP133" s="195">
        <f t="shared" si="247"/>
        <v>6.3966791267459104</v>
      </c>
      <c r="AQ133" s="195">
        <f t="shared" si="247"/>
        <v>6.3966791267459104</v>
      </c>
      <c r="AR133" s="195">
        <f t="shared" si="247"/>
        <v>6.3966791267459104</v>
      </c>
    </row>
    <row r="134" spans="1:78">
      <c r="A134" s="41"/>
      <c r="B134" s="22" t="str">
        <f t="shared" si="242"/>
        <v>COM_PROJ</v>
      </c>
      <c r="C134" s="23" t="str">
        <f t="shared" si="243"/>
        <v>-</v>
      </c>
      <c r="D134" s="59" t="str">
        <f>ITEMS_TRA!C17</f>
        <v>TFHCV2</v>
      </c>
      <c r="E134" s="23" t="str">
        <f t="shared" si="244"/>
        <v>-</v>
      </c>
      <c r="G134" s="23" t="str">
        <f t="shared" si="244"/>
        <v>-</v>
      </c>
      <c r="I134" s="23" t="str">
        <f t="shared" si="244"/>
        <v>-</v>
      </c>
      <c r="J134" s="23" t="str">
        <f t="shared" si="244"/>
        <v>-</v>
      </c>
      <c r="K134" s="132">
        <f t="shared" si="245"/>
        <v>0</v>
      </c>
      <c r="L134" s="195">
        <f t="shared" ref="L134:AR134" si="248">INDEX($M113:$BA113,MATCH(L$127,$M$106:$BA$106,0))</f>
        <v>0.6547839540708813</v>
      </c>
      <c r="M134" s="195">
        <f t="shared" si="248"/>
        <v>0.67123078144835724</v>
      </c>
      <c r="N134" s="195">
        <f t="shared" si="248"/>
        <v>0.68767760882583318</v>
      </c>
      <c r="O134" s="195">
        <f t="shared" si="248"/>
        <v>0.704124436203308</v>
      </c>
      <c r="P134" s="195">
        <f t="shared" si="248"/>
        <v>0.72006693722491655</v>
      </c>
      <c r="Q134" s="195">
        <f t="shared" si="248"/>
        <v>0.73600943824652509</v>
      </c>
      <c r="R134" s="195">
        <f t="shared" si="248"/>
        <v>0.72064702356147514</v>
      </c>
      <c r="S134" s="195">
        <f t="shared" si="248"/>
        <v>0.70528460887642519</v>
      </c>
      <c r="T134" s="195">
        <f t="shared" si="248"/>
        <v>0.66355618546841733</v>
      </c>
      <c r="U134" s="195">
        <f t="shared" si="248"/>
        <v>0.6746485564296244</v>
      </c>
      <c r="V134" s="195">
        <f t="shared" si="248"/>
        <v>0.68656878383323239</v>
      </c>
      <c r="W134" s="195">
        <f t="shared" si="248"/>
        <v>0.69848901123684037</v>
      </c>
      <c r="X134" s="195">
        <f t="shared" si="248"/>
        <v>0.71040923864044836</v>
      </c>
      <c r="Y134" s="195">
        <f t="shared" si="248"/>
        <v>0.72232946604405635</v>
      </c>
      <c r="Z134" s="195">
        <f t="shared" si="248"/>
        <v>0.73424969344766433</v>
      </c>
      <c r="AA134" s="195">
        <f t="shared" si="248"/>
        <v>0.74616992085127232</v>
      </c>
      <c r="AB134" s="195">
        <f t="shared" si="248"/>
        <v>0.7580901482548803</v>
      </c>
      <c r="AC134" s="195">
        <f t="shared" si="248"/>
        <v>0.77001037565848829</v>
      </c>
      <c r="AD134" s="195">
        <f t="shared" si="248"/>
        <v>0.78193060306209605</v>
      </c>
      <c r="AE134" s="195">
        <f t="shared" si="248"/>
        <v>0.8015946970339749</v>
      </c>
      <c r="AF134" s="195">
        <f t="shared" si="248"/>
        <v>0.82125879100585375</v>
      </c>
      <c r="AG134" s="195">
        <f t="shared" si="248"/>
        <v>0.8409228849777326</v>
      </c>
      <c r="AH134" s="195">
        <f t="shared" si="248"/>
        <v>0.86058697894961145</v>
      </c>
      <c r="AI134" s="195">
        <f t="shared" si="248"/>
        <v>0.8802510729214903</v>
      </c>
      <c r="AJ134" s="195">
        <f t="shared" si="248"/>
        <v>0.89991516689336915</v>
      </c>
      <c r="AK134" s="195">
        <f t="shared" si="248"/>
        <v>0.91957926086524799</v>
      </c>
      <c r="AL134" s="195">
        <f t="shared" si="248"/>
        <v>0.93924335483712684</v>
      </c>
      <c r="AM134" s="195">
        <f t="shared" si="248"/>
        <v>0.95890744880900569</v>
      </c>
      <c r="AN134" s="195">
        <f t="shared" si="248"/>
        <v>0.97857154278088487</v>
      </c>
      <c r="AO134" s="195">
        <f t="shared" si="248"/>
        <v>1.1219810661840002</v>
      </c>
      <c r="AP134" s="195">
        <f t="shared" si="248"/>
        <v>1.2653905895871154</v>
      </c>
      <c r="AQ134" s="195">
        <f t="shared" si="248"/>
        <v>1.2653905895871154</v>
      </c>
      <c r="AR134" s="195">
        <f t="shared" si="248"/>
        <v>1.2653905895871154</v>
      </c>
    </row>
    <row r="135" spans="1:78">
      <c r="A135" s="41"/>
      <c r="B135" s="22" t="str">
        <f t="shared" si="242"/>
        <v>COM_PROJ</v>
      </c>
      <c r="C135" s="23" t="str">
        <f t="shared" si="243"/>
        <v>-</v>
      </c>
      <c r="D135" s="59" t="str">
        <f>ITEMS_TRA!C18</f>
        <v>TFHCV3</v>
      </c>
      <c r="E135" s="23" t="str">
        <f t="shared" si="244"/>
        <v>-</v>
      </c>
      <c r="G135" s="23" t="str">
        <f t="shared" si="244"/>
        <v>-</v>
      </c>
      <c r="I135" s="23" t="str">
        <f t="shared" si="244"/>
        <v>-</v>
      </c>
      <c r="J135" s="23" t="str">
        <f t="shared" si="244"/>
        <v>-</v>
      </c>
      <c r="K135" s="132">
        <f t="shared" si="245"/>
        <v>0</v>
      </c>
      <c r="L135" s="195">
        <f t="shared" ref="L135:AR135" si="249">INDEX($M114:$BA114,MATCH(L$127,$M$106:$BA$106,0))</f>
        <v>2.7114063478211388</v>
      </c>
      <c r="M135" s="195">
        <f t="shared" si="249"/>
        <v>2.7742708985474289</v>
      </c>
      <c r="N135" s="195">
        <f t="shared" si="249"/>
        <v>2.8371354492737191</v>
      </c>
      <c r="O135" s="195">
        <f t="shared" si="249"/>
        <v>2.9</v>
      </c>
      <c r="P135" s="195">
        <f t="shared" si="249"/>
        <v>2.9652984627095749</v>
      </c>
      <c r="Q135" s="195">
        <f t="shared" si="249"/>
        <v>3.0305969254191498</v>
      </c>
      <c r="R135" s="195">
        <f t="shared" si="249"/>
        <v>2.9755611597709288</v>
      </c>
      <c r="S135" s="195">
        <f t="shared" si="249"/>
        <v>2.9205253941227078</v>
      </c>
      <c r="T135" s="195">
        <f t="shared" si="249"/>
        <v>2.7477314345126453</v>
      </c>
      <c r="U135" s="195">
        <f t="shared" si="249"/>
        <v>2.7936640277743123</v>
      </c>
      <c r="V135" s="195">
        <f t="shared" si="249"/>
        <v>2.8430247062831131</v>
      </c>
      <c r="W135" s="195">
        <f t="shared" si="249"/>
        <v>2.8923853847919139</v>
      </c>
      <c r="X135" s="195">
        <f t="shared" si="249"/>
        <v>2.9417460633007146</v>
      </c>
      <c r="Y135" s="195">
        <f t="shared" si="249"/>
        <v>2.9911067418095154</v>
      </c>
      <c r="Z135" s="195">
        <f t="shared" si="249"/>
        <v>3.0404674203183162</v>
      </c>
      <c r="AA135" s="195">
        <f t="shared" si="249"/>
        <v>3.089828098827117</v>
      </c>
      <c r="AB135" s="195">
        <f t="shared" si="249"/>
        <v>3.1391887773359177</v>
      </c>
      <c r="AC135" s="195">
        <f t="shared" si="249"/>
        <v>3.1885494558447185</v>
      </c>
      <c r="AD135" s="195">
        <f t="shared" si="249"/>
        <v>3.2379101343535184</v>
      </c>
      <c r="AE135" s="195">
        <f t="shared" si="249"/>
        <v>3.3193375256144413</v>
      </c>
      <c r="AF135" s="195">
        <f t="shared" si="249"/>
        <v>3.4007649168753642</v>
      </c>
      <c r="AG135" s="195">
        <f t="shared" si="249"/>
        <v>3.4821923081362871</v>
      </c>
      <c r="AH135" s="195">
        <f t="shared" si="249"/>
        <v>3.56361969939721</v>
      </c>
      <c r="AI135" s="195">
        <f t="shared" si="249"/>
        <v>3.6450470906581329</v>
      </c>
      <c r="AJ135" s="195">
        <f t="shared" si="249"/>
        <v>3.7264744819190558</v>
      </c>
      <c r="AK135" s="195">
        <f t="shared" si="249"/>
        <v>3.8079018731799787</v>
      </c>
      <c r="AL135" s="195">
        <f t="shared" si="249"/>
        <v>3.8893292644409017</v>
      </c>
      <c r="AM135" s="195">
        <f t="shared" si="249"/>
        <v>3.9707566557018246</v>
      </c>
      <c r="AN135" s="195">
        <f t="shared" si="249"/>
        <v>4.0521840469627461</v>
      </c>
      <c r="AO135" s="195">
        <f t="shared" si="249"/>
        <v>4.6460310550876853</v>
      </c>
      <c r="AP135" s="195">
        <f t="shared" si="249"/>
        <v>5.2398780632126236</v>
      </c>
      <c r="AQ135" s="195">
        <f t="shared" si="249"/>
        <v>5.2398780632126236</v>
      </c>
      <c r="AR135" s="195">
        <f t="shared" si="249"/>
        <v>5.2398780632126236</v>
      </c>
    </row>
    <row r="136" spans="1:78">
      <c r="A136" s="41"/>
      <c r="B136" s="22" t="str">
        <f t="shared" si="242"/>
        <v>COM_PROJ</v>
      </c>
      <c r="C136" s="23" t="str">
        <f t="shared" si="243"/>
        <v>-</v>
      </c>
      <c r="D136" s="59" t="str">
        <f>ITEMS_TRA!C19</f>
        <v>TFHCV4</v>
      </c>
      <c r="E136" s="23" t="str">
        <f t="shared" si="244"/>
        <v>-</v>
      </c>
      <c r="G136" s="23" t="str">
        <f t="shared" si="244"/>
        <v>-</v>
      </c>
      <c r="I136" s="23" t="str">
        <f t="shared" si="244"/>
        <v>-</v>
      </c>
      <c r="J136" s="23" t="str">
        <f t="shared" si="244"/>
        <v>-</v>
      </c>
      <c r="K136" s="132">
        <f t="shared" si="245"/>
        <v>0</v>
      </c>
      <c r="L136" s="195">
        <f t="shared" ref="L136:AR136" si="250">INDEX($M115:$BA115,MATCH(L$127,$M$106:$BA$106,0))</f>
        <v>0.57023972229676956</v>
      </c>
      <c r="M136" s="195">
        <f t="shared" si="250"/>
        <v>0.55900373411704862</v>
      </c>
      <c r="N136" s="195">
        <f t="shared" si="250"/>
        <v>0.54776774593732769</v>
      </c>
      <c r="O136" s="195">
        <f t="shared" si="250"/>
        <v>0.53653175775760331</v>
      </c>
      <c r="P136" s="195">
        <f t="shared" si="250"/>
        <v>0.54016937887880168</v>
      </c>
      <c r="Q136" s="195">
        <f t="shared" si="250"/>
        <v>0.54380700000000004</v>
      </c>
      <c r="R136" s="195">
        <f t="shared" si="250"/>
        <v>0.57901342305588788</v>
      </c>
      <c r="S136" s="195">
        <f t="shared" si="250"/>
        <v>0.6142198461117756</v>
      </c>
      <c r="T136" s="195">
        <f t="shared" si="250"/>
        <v>0.57787930290187206</v>
      </c>
      <c r="U136" s="195">
        <f t="shared" si="250"/>
        <v>0.58753945186735324</v>
      </c>
      <c r="V136" s="195">
        <f t="shared" si="250"/>
        <v>0.59792056631294621</v>
      </c>
      <c r="W136" s="195">
        <f t="shared" si="250"/>
        <v>0.60830168075853919</v>
      </c>
      <c r="X136" s="195">
        <f t="shared" si="250"/>
        <v>0.61868279520413216</v>
      </c>
      <c r="Y136" s="195">
        <f t="shared" si="250"/>
        <v>0.62906390964972514</v>
      </c>
      <c r="Z136" s="195">
        <f t="shared" si="250"/>
        <v>0.63944502409531812</v>
      </c>
      <c r="AA136" s="195">
        <f t="shared" si="250"/>
        <v>0.64982613854091109</v>
      </c>
      <c r="AB136" s="195">
        <f t="shared" si="250"/>
        <v>0.66020725298650407</v>
      </c>
      <c r="AC136" s="195">
        <f t="shared" si="250"/>
        <v>0.67058836743209704</v>
      </c>
      <c r="AD136" s="195">
        <f t="shared" si="250"/>
        <v>0.68096948187769002</v>
      </c>
      <c r="AE136" s="195">
        <f t="shared" si="250"/>
        <v>0.69809459225345205</v>
      </c>
      <c r="AF136" s="195">
        <f t="shared" si="250"/>
        <v>0.71521970262921408</v>
      </c>
      <c r="AG136" s="195">
        <f t="shared" si="250"/>
        <v>0.73234481300497611</v>
      </c>
      <c r="AH136" s="195">
        <f t="shared" si="250"/>
        <v>0.74946992338073815</v>
      </c>
      <c r="AI136" s="195">
        <f t="shared" si="250"/>
        <v>0.76659503375650018</v>
      </c>
      <c r="AJ136" s="195">
        <f t="shared" si="250"/>
        <v>0.78372014413226221</v>
      </c>
      <c r="AK136" s="195">
        <f t="shared" si="250"/>
        <v>0.80084525450802424</v>
      </c>
      <c r="AL136" s="195">
        <f t="shared" si="250"/>
        <v>0.81797036488378627</v>
      </c>
      <c r="AM136" s="195">
        <f t="shared" si="250"/>
        <v>0.8350954752595483</v>
      </c>
      <c r="AN136" s="195">
        <f t="shared" si="250"/>
        <v>0.85222058563531045</v>
      </c>
      <c r="AO136" s="195">
        <f t="shared" si="250"/>
        <v>0.97711339385347207</v>
      </c>
      <c r="AP136" s="195">
        <f t="shared" si="250"/>
        <v>1.1020062020716337</v>
      </c>
      <c r="AQ136" s="195">
        <f t="shared" si="250"/>
        <v>1.1020062020716337</v>
      </c>
      <c r="AR136" s="195">
        <f t="shared" si="250"/>
        <v>1.1020062020716337</v>
      </c>
    </row>
    <row r="137" spans="1:78">
      <c r="A137" s="41"/>
      <c r="B137" s="22" t="str">
        <f t="shared" si="242"/>
        <v>COM_PROJ</v>
      </c>
      <c r="C137" s="23" t="str">
        <f t="shared" si="243"/>
        <v>-</v>
      </c>
      <c r="D137" s="59" t="str">
        <f>ITEMS_TRA!C20</f>
        <v>TFHCV5</v>
      </c>
      <c r="E137" s="23" t="str">
        <f t="shared" si="244"/>
        <v>-</v>
      </c>
      <c r="G137" s="23" t="str">
        <f t="shared" si="244"/>
        <v>-</v>
      </c>
      <c r="I137" s="23" t="str">
        <f t="shared" si="244"/>
        <v>-</v>
      </c>
      <c r="J137" s="23" t="str">
        <f t="shared" si="244"/>
        <v>-</v>
      </c>
      <c r="K137" s="132">
        <f t="shared" si="245"/>
        <v>0</v>
      </c>
      <c r="L137" s="195">
        <f t="shared" ref="L137:AR137" si="251">INDEX($M116:$BA116,MATCH(L$127,$M$106:$BA$106,0))</f>
        <v>0.27326501935541331</v>
      </c>
      <c r="M137" s="195">
        <f t="shared" si="251"/>
        <v>0.27740453823694228</v>
      </c>
      <c r="N137" s="195">
        <f t="shared" si="251"/>
        <v>0.28154405711847125</v>
      </c>
      <c r="O137" s="195">
        <f t="shared" si="251"/>
        <v>0.28568357599999999</v>
      </c>
      <c r="P137" s="195">
        <f t="shared" si="251"/>
        <v>0.2876204765</v>
      </c>
      <c r="Q137" s="195">
        <f t="shared" si="251"/>
        <v>0.289557377</v>
      </c>
      <c r="R137" s="195">
        <f t="shared" si="251"/>
        <v>0.29194907279047111</v>
      </c>
      <c r="S137" s="195">
        <f t="shared" si="251"/>
        <v>0.29434076858094221</v>
      </c>
      <c r="T137" s="195">
        <f t="shared" si="251"/>
        <v>0.27692598869917107</v>
      </c>
      <c r="U137" s="195">
        <f t="shared" si="251"/>
        <v>0.28155523617319139</v>
      </c>
      <c r="V137" s="195">
        <f t="shared" si="251"/>
        <v>0.28652997807380803</v>
      </c>
      <c r="W137" s="195">
        <f t="shared" si="251"/>
        <v>0.29150471997442468</v>
      </c>
      <c r="X137" s="195">
        <f t="shared" si="251"/>
        <v>0.29647946187504132</v>
      </c>
      <c r="Y137" s="195">
        <f t="shared" si="251"/>
        <v>0.30145420377565796</v>
      </c>
      <c r="Z137" s="195">
        <f t="shared" si="251"/>
        <v>0.3064289456762746</v>
      </c>
      <c r="AA137" s="195">
        <f t="shared" si="251"/>
        <v>0.31140368757689124</v>
      </c>
      <c r="AB137" s="195">
        <f t="shared" si="251"/>
        <v>0.31637842947750788</v>
      </c>
      <c r="AC137" s="195">
        <f t="shared" si="251"/>
        <v>0.32135317137812452</v>
      </c>
      <c r="AD137" s="195">
        <f t="shared" si="251"/>
        <v>0.32632791327874128</v>
      </c>
      <c r="AE137" s="195">
        <f t="shared" si="251"/>
        <v>0.33453445069680765</v>
      </c>
      <c r="AF137" s="195">
        <f t="shared" si="251"/>
        <v>0.34274098811487402</v>
      </c>
      <c r="AG137" s="195">
        <f t="shared" si="251"/>
        <v>0.3509475255329404</v>
      </c>
      <c r="AH137" s="195">
        <f t="shared" si="251"/>
        <v>0.35915406295100677</v>
      </c>
      <c r="AI137" s="195">
        <f t="shared" si="251"/>
        <v>0.36736060036907314</v>
      </c>
      <c r="AJ137" s="195">
        <f t="shared" si="251"/>
        <v>0.37556713778713952</v>
      </c>
      <c r="AK137" s="195">
        <f t="shared" si="251"/>
        <v>0.38377367520520589</v>
      </c>
      <c r="AL137" s="195">
        <f t="shared" si="251"/>
        <v>0.39198021262327226</v>
      </c>
      <c r="AM137" s="195">
        <f t="shared" si="251"/>
        <v>0.40018675004133863</v>
      </c>
      <c r="AN137" s="195">
        <f t="shared" si="251"/>
        <v>0.40839328745940517</v>
      </c>
      <c r="AO137" s="195">
        <f t="shared" si="251"/>
        <v>0.46824326689897561</v>
      </c>
      <c r="AP137" s="195">
        <f t="shared" si="251"/>
        <v>0.52809324633854615</v>
      </c>
      <c r="AQ137" s="195">
        <f t="shared" si="251"/>
        <v>0.52809324633854615</v>
      </c>
      <c r="AR137" s="195">
        <f t="shared" si="251"/>
        <v>0.52809324633854615</v>
      </c>
    </row>
    <row r="138" spans="1:78">
      <c r="A138" s="41"/>
      <c r="B138" s="22" t="str">
        <f t="shared" si="242"/>
        <v>COM_PROJ</v>
      </c>
      <c r="C138" s="23" t="str">
        <f t="shared" si="243"/>
        <v>-</v>
      </c>
      <c r="D138" s="59" t="str">
        <f>ITEMS_TRA!C21</f>
        <v>TFHCV6</v>
      </c>
      <c r="E138" s="23" t="str">
        <f t="shared" si="244"/>
        <v>-</v>
      </c>
      <c r="G138" s="23" t="str">
        <f t="shared" si="244"/>
        <v>-</v>
      </c>
      <c r="I138" s="23" t="str">
        <f t="shared" si="244"/>
        <v>-</v>
      </c>
      <c r="J138" s="23" t="str">
        <f t="shared" si="244"/>
        <v>-</v>
      </c>
      <c r="K138" s="132">
        <f t="shared" si="245"/>
        <v>0</v>
      </c>
      <c r="L138" s="195">
        <f t="shared" ref="L138:AR138" si="252">INDEX($M117:$BA117,MATCH(L$127,$M$106:$BA$106,0))</f>
        <v>5.0361375113209643</v>
      </c>
      <c r="M138" s="195">
        <f t="shared" si="252"/>
        <v>5.3607583408806443</v>
      </c>
      <c r="N138" s="195">
        <f t="shared" si="252"/>
        <v>5.6853791704403243</v>
      </c>
      <c r="O138" s="195">
        <f t="shared" si="252"/>
        <v>6.01</v>
      </c>
      <c r="P138" s="195">
        <f t="shared" si="252"/>
        <v>6.3253919226144593</v>
      </c>
      <c r="Q138" s="195">
        <f t="shared" si="252"/>
        <v>6.6407838452289196</v>
      </c>
      <c r="R138" s="195">
        <f t="shared" si="252"/>
        <v>6.0326684321693991</v>
      </c>
      <c r="S138" s="195">
        <f t="shared" si="252"/>
        <v>5.4245530191098785</v>
      </c>
      <c r="T138" s="195">
        <f t="shared" si="252"/>
        <v>5.1036073436594931</v>
      </c>
      <c r="U138" s="195">
        <f t="shared" si="252"/>
        <v>5.188922057222519</v>
      </c>
      <c r="V138" s="195">
        <f t="shared" si="252"/>
        <v>5.2806040601145563</v>
      </c>
      <c r="W138" s="195">
        <f t="shared" si="252"/>
        <v>5.3722860630065936</v>
      </c>
      <c r="X138" s="195">
        <f t="shared" si="252"/>
        <v>5.4639680658986309</v>
      </c>
      <c r="Y138" s="195">
        <f t="shared" si="252"/>
        <v>5.5556500687906683</v>
      </c>
      <c r="Z138" s="195">
        <f t="shared" si="252"/>
        <v>5.6473320716827056</v>
      </c>
      <c r="AA138" s="195">
        <f t="shared" si="252"/>
        <v>5.7390140745747429</v>
      </c>
      <c r="AB138" s="195">
        <f t="shared" si="252"/>
        <v>5.8306960774667802</v>
      </c>
      <c r="AC138" s="195">
        <f t="shared" si="252"/>
        <v>5.9223780803588175</v>
      </c>
      <c r="AD138" s="195">
        <f t="shared" si="252"/>
        <v>6.0140600832508548</v>
      </c>
      <c r="AE138" s="195">
        <f t="shared" si="252"/>
        <v>6.1653024597053019</v>
      </c>
      <c r="AF138" s="195">
        <f t="shared" si="252"/>
        <v>6.3165448361597489</v>
      </c>
      <c r="AG138" s="195">
        <f t="shared" si="252"/>
        <v>6.467787212614196</v>
      </c>
      <c r="AH138" s="195">
        <f t="shared" si="252"/>
        <v>6.619029589068643</v>
      </c>
      <c r="AI138" s="195">
        <f t="shared" si="252"/>
        <v>6.7702719655230901</v>
      </c>
      <c r="AJ138" s="195">
        <f t="shared" si="252"/>
        <v>6.9215143419775371</v>
      </c>
      <c r="AK138" s="195">
        <f t="shared" si="252"/>
        <v>7.0727567184319842</v>
      </c>
      <c r="AL138" s="195">
        <f t="shared" si="252"/>
        <v>7.2239990948864312</v>
      </c>
      <c r="AM138" s="195">
        <f t="shared" si="252"/>
        <v>7.3752414713408783</v>
      </c>
      <c r="AN138" s="195">
        <f t="shared" si="252"/>
        <v>7.5264838477953289</v>
      </c>
      <c r="AO138" s="195">
        <f t="shared" si="252"/>
        <v>8.6294890082011193</v>
      </c>
      <c r="AP138" s="195">
        <f t="shared" si="252"/>
        <v>9.7324941686069124</v>
      </c>
      <c r="AQ138" s="195">
        <f t="shared" si="252"/>
        <v>9.7324941686069124</v>
      </c>
      <c r="AR138" s="195">
        <f t="shared" si="252"/>
        <v>9.7324941686069124</v>
      </c>
    </row>
    <row r="139" spans="1:78">
      <c r="A139" s="41"/>
      <c r="B139" s="22" t="str">
        <f t="shared" si="242"/>
        <v>COM_PROJ</v>
      </c>
      <c r="C139" s="23" t="str">
        <f t="shared" si="243"/>
        <v>-</v>
      </c>
      <c r="D139" s="59" t="str">
        <f>ITEMS_TRA!C22</f>
        <v>TFHCV7</v>
      </c>
      <c r="E139" s="23" t="str">
        <f t="shared" si="244"/>
        <v>-</v>
      </c>
      <c r="G139" s="23" t="str">
        <f t="shared" si="244"/>
        <v>-</v>
      </c>
      <c r="I139" s="23" t="str">
        <f t="shared" si="244"/>
        <v>-</v>
      </c>
      <c r="J139" s="23" t="str">
        <f t="shared" si="244"/>
        <v>-</v>
      </c>
      <c r="K139" s="132">
        <f t="shared" si="245"/>
        <v>0</v>
      </c>
      <c r="L139" s="195">
        <f t="shared" ref="L139:AR139" si="253">INDEX($M118:$BA118,MATCH(L$127,$M$106:$BA$106,0))</f>
        <v>1.5653068685251963</v>
      </c>
      <c r="M139" s="195">
        <f t="shared" si="253"/>
        <v>1.6102045790167996</v>
      </c>
      <c r="N139" s="195">
        <f t="shared" si="253"/>
        <v>1.6551022895084029</v>
      </c>
      <c r="O139" s="195">
        <f t="shared" si="253"/>
        <v>1.7</v>
      </c>
      <c r="P139" s="195">
        <f t="shared" si="253"/>
        <v>1.74</v>
      </c>
      <c r="Q139" s="195">
        <f t="shared" si="253"/>
        <v>1.78</v>
      </c>
      <c r="R139" s="195">
        <f t="shared" si="253"/>
        <v>1.7330161091118188</v>
      </c>
      <c r="S139" s="195">
        <f t="shared" si="253"/>
        <v>1.6860322182236378</v>
      </c>
      <c r="T139" s="195">
        <f t="shared" si="253"/>
        <v>1.5862775016225472</v>
      </c>
      <c r="U139" s="195">
        <f t="shared" si="253"/>
        <v>1.6127945907263026</v>
      </c>
      <c r="V139" s="195">
        <f t="shared" si="253"/>
        <v>1.6412907285947482</v>
      </c>
      <c r="W139" s="195">
        <f t="shared" si="253"/>
        <v>1.6697868664631939</v>
      </c>
      <c r="X139" s="195">
        <f t="shared" si="253"/>
        <v>1.6982830043316395</v>
      </c>
      <c r="Y139" s="195">
        <f t="shared" si="253"/>
        <v>1.7267791422000851</v>
      </c>
      <c r="Z139" s="195">
        <f t="shared" si="253"/>
        <v>1.7552752800685307</v>
      </c>
      <c r="AA139" s="195">
        <f t="shared" si="253"/>
        <v>1.7837714179369764</v>
      </c>
      <c r="AB139" s="195">
        <f t="shared" si="253"/>
        <v>1.812267555805422</v>
      </c>
      <c r="AC139" s="195">
        <f t="shared" si="253"/>
        <v>1.8407636936738676</v>
      </c>
      <c r="AD139" s="195">
        <f t="shared" si="253"/>
        <v>1.8692598315423128</v>
      </c>
      <c r="AE139" s="195">
        <f t="shared" si="253"/>
        <v>1.9162682244116573</v>
      </c>
      <c r="AF139" s="195">
        <f t="shared" si="253"/>
        <v>1.9632766172810019</v>
      </c>
      <c r="AG139" s="195">
        <f t="shared" si="253"/>
        <v>2.0102850101503464</v>
      </c>
      <c r="AH139" s="195">
        <f t="shared" si="253"/>
        <v>2.057293403019691</v>
      </c>
      <c r="AI139" s="195">
        <f t="shared" si="253"/>
        <v>2.1043017958890355</v>
      </c>
      <c r="AJ139" s="195">
        <f t="shared" si="253"/>
        <v>2.1513101887583801</v>
      </c>
      <c r="AK139" s="195">
        <f t="shared" si="253"/>
        <v>2.1983185816277246</v>
      </c>
      <c r="AL139" s="195">
        <f t="shared" si="253"/>
        <v>2.2453269744970692</v>
      </c>
      <c r="AM139" s="195">
        <f t="shared" si="253"/>
        <v>2.2923353673664137</v>
      </c>
      <c r="AN139" s="195">
        <f t="shared" si="253"/>
        <v>2.3393437602357583</v>
      </c>
      <c r="AO139" s="195">
        <f t="shared" si="253"/>
        <v>2.6821742627231795</v>
      </c>
      <c r="AP139" s="195">
        <f t="shared" si="253"/>
        <v>3.0250047652106007</v>
      </c>
      <c r="AQ139" s="195">
        <f t="shared" si="253"/>
        <v>3.0250047652106007</v>
      </c>
      <c r="AR139" s="195">
        <f t="shared" si="253"/>
        <v>3.0250047652106007</v>
      </c>
    </row>
    <row r="140" spans="1:78">
      <c r="A140" s="41" t="s">
        <v>125</v>
      </c>
      <c r="B140" s="22" t="str">
        <f t="shared" si="242"/>
        <v>COM_PROJ</v>
      </c>
      <c r="C140" s="23" t="str">
        <f t="shared" si="243"/>
        <v>-</v>
      </c>
      <c r="D140" s="59" t="str">
        <f>ITEMS_TRA!C23</f>
        <v>TFHCV8</v>
      </c>
      <c r="E140" s="23" t="str">
        <f t="shared" si="244"/>
        <v>-</v>
      </c>
      <c r="G140" s="23" t="str">
        <f t="shared" si="244"/>
        <v>-</v>
      </c>
      <c r="I140" s="23" t="str">
        <f t="shared" si="244"/>
        <v>-</v>
      </c>
      <c r="J140" s="23" t="str">
        <f t="shared" si="244"/>
        <v>-</v>
      </c>
      <c r="K140" s="132">
        <f t="shared" si="245"/>
        <v>0</v>
      </c>
      <c r="L140" s="195">
        <f t="shared" ref="L140:AR140" si="254">INDEX($M119:$BA119,MATCH(L$127,$M$106:$BA$106,0))</f>
        <v>5.8486156921973939E-2</v>
      </c>
      <c r="M140" s="195">
        <f t="shared" si="254"/>
        <v>6.5622085483256903E-2</v>
      </c>
      <c r="N140" s="195">
        <f t="shared" si="254"/>
        <v>7.2758014044539868E-2</v>
      </c>
      <c r="O140" s="195">
        <f t="shared" si="254"/>
        <v>7.9893942605822804E-2</v>
      </c>
      <c r="P140" s="195">
        <f t="shared" si="254"/>
        <v>9.0970063028559395E-2</v>
      </c>
      <c r="Q140" s="195">
        <f t="shared" si="254"/>
        <v>0.102046183451296</v>
      </c>
      <c r="R140" s="195">
        <f t="shared" si="254"/>
        <v>8.2521562368481099E-2</v>
      </c>
      <c r="S140" s="195">
        <f t="shared" si="254"/>
        <v>6.29969412856662E-2</v>
      </c>
      <c r="T140" s="195">
        <f t="shared" si="254"/>
        <v>5.9269704073492357E-2</v>
      </c>
      <c r="U140" s="195">
        <f t="shared" si="254"/>
        <v>6.0260489117384367E-2</v>
      </c>
      <c r="V140" s="195">
        <f t="shared" si="254"/>
        <v>6.1325219378623425E-2</v>
      </c>
      <c r="W140" s="195">
        <f t="shared" si="254"/>
        <v>6.2389949639862483E-2</v>
      </c>
      <c r="X140" s="195">
        <f t="shared" si="254"/>
        <v>6.3454679901101541E-2</v>
      </c>
      <c r="Y140" s="195">
        <f t="shared" si="254"/>
        <v>6.4519410162340599E-2</v>
      </c>
      <c r="Z140" s="195">
        <f t="shared" si="254"/>
        <v>6.5584140423579657E-2</v>
      </c>
      <c r="AA140" s="195">
        <f t="shared" si="254"/>
        <v>6.6648870684818715E-2</v>
      </c>
      <c r="AB140" s="195">
        <f t="shared" si="254"/>
        <v>6.7713600946057773E-2</v>
      </c>
      <c r="AC140" s="195">
        <f t="shared" si="254"/>
        <v>6.8778331207296831E-2</v>
      </c>
      <c r="AD140" s="195">
        <f t="shared" si="254"/>
        <v>6.9843061468535861E-2</v>
      </c>
      <c r="AE140" s="195">
        <f t="shared" si="254"/>
        <v>7.1599483993274843E-2</v>
      </c>
      <c r="AF140" s="195">
        <f t="shared" si="254"/>
        <v>7.3355906518013825E-2</v>
      </c>
      <c r="AG140" s="195">
        <f t="shared" si="254"/>
        <v>7.5112329042752807E-2</v>
      </c>
      <c r="AH140" s="195">
        <f t="shared" si="254"/>
        <v>7.6868751567491789E-2</v>
      </c>
      <c r="AI140" s="195">
        <f t="shared" si="254"/>
        <v>7.8625174092230771E-2</v>
      </c>
      <c r="AJ140" s="195">
        <f t="shared" si="254"/>
        <v>8.0381596616969753E-2</v>
      </c>
      <c r="AK140" s="195">
        <f t="shared" si="254"/>
        <v>8.2138019141708735E-2</v>
      </c>
      <c r="AL140" s="195">
        <f t="shared" si="254"/>
        <v>8.3894441666447717E-2</v>
      </c>
      <c r="AM140" s="195">
        <f t="shared" si="254"/>
        <v>8.5650864191186699E-2</v>
      </c>
      <c r="AN140" s="195">
        <f t="shared" si="254"/>
        <v>8.7407286715925681E-2</v>
      </c>
      <c r="AO140" s="195">
        <f t="shared" si="254"/>
        <v>0.10021681241934899</v>
      </c>
      <c r="AP140" s="195">
        <f t="shared" si="254"/>
        <v>0.1130263381227723</v>
      </c>
      <c r="AQ140" s="195">
        <f t="shared" si="254"/>
        <v>0.1130263381227723</v>
      </c>
      <c r="AR140" s="195">
        <f t="shared" si="254"/>
        <v>0.1130263381227723</v>
      </c>
    </row>
    <row r="141" spans="1:78">
      <c r="A141" s="41" t="s">
        <v>125</v>
      </c>
      <c r="B141" s="22" t="str">
        <f t="shared" si="242"/>
        <v>COM_PROJ</v>
      </c>
      <c r="C141" s="23" t="str">
        <f t="shared" si="243"/>
        <v>-</v>
      </c>
      <c r="D141" s="59" t="str">
        <f>ITEMS_TRA!C24</f>
        <v>TFHCV9</v>
      </c>
      <c r="E141" s="23" t="str">
        <f t="shared" si="244"/>
        <v>-</v>
      </c>
      <c r="G141" s="23" t="str">
        <f t="shared" si="244"/>
        <v>-</v>
      </c>
      <c r="I141" s="23" t="str">
        <f t="shared" si="244"/>
        <v>-</v>
      </c>
      <c r="J141" s="23" t="str">
        <f t="shared" si="244"/>
        <v>-</v>
      </c>
      <c r="K141" s="132">
        <f t="shared" si="245"/>
        <v>0</v>
      </c>
      <c r="L141" s="195">
        <f t="shared" ref="L141:AR141" si="255">INDEX($M120:$BA120,MATCH(L$127,$M$106:$BA$106,0))</f>
        <v>3.9969372950314989E-2</v>
      </c>
      <c r="M141" s="195">
        <f t="shared" si="255"/>
        <v>3.4102559292729893E-2</v>
      </c>
      <c r="N141" s="195">
        <f t="shared" si="255"/>
        <v>2.8235745635144794E-2</v>
      </c>
      <c r="O141" s="195">
        <f t="shared" si="255"/>
        <v>2.2368931977559604E-2</v>
      </c>
      <c r="P141" s="195">
        <f t="shared" si="255"/>
        <v>2.2519965988779801E-2</v>
      </c>
      <c r="Q141" s="195">
        <f t="shared" si="255"/>
        <v>2.2670999999999997E-2</v>
      </c>
      <c r="R141" s="195">
        <f t="shared" si="255"/>
        <v>3.2861518920469207E-2</v>
      </c>
      <c r="S141" s="195">
        <f t="shared" si="255"/>
        <v>4.3052037840938417E-2</v>
      </c>
      <c r="T141" s="195">
        <f t="shared" si="255"/>
        <v>4.0504848180205263E-2</v>
      </c>
      <c r="U141" s="195">
        <f t="shared" si="255"/>
        <v>4.1181949549436034E-2</v>
      </c>
      <c r="V141" s="195">
        <f t="shared" si="255"/>
        <v>4.1909584995884062E-2</v>
      </c>
      <c r="W141" s="195">
        <f t="shared" si="255"/>
        <v>4.2637220442332091E-2</v>
      </c>
      <c r="X141" s="195">
        <f t="shared" si="255"/>
        <v>4.336485588878012E-2</v>
      </c>
      <c r="Y141" s="195">
        <f t="shared" si="255"/>
        <v>4.4092491335228148E-2</v>
      </c>
      <c r="Z141" s="195">
        <f t="shared" si="255"/>
        <v>4.4820126781676177E-2</v>
      </c>
      <c r="AA141" s="195">
        <f t="shared" si="255"/>
        <v>4.5547762228124206E-2</v>
      </c>
      <c r="AB141" s="195">
        <f t="shared" si="255"/>
        <v>4.6275397674572234E-2</v>
      </c>
      <c r="AC141" s="195">
        <f t="shared" si="255"/>
        <v>4.7003033121020263E-2</v>
      </c>
      <c r="AD141" s="195">
        <f t="shared" si="255"/>
        <v>4.7730668567468298E-2</v>
      </c>
      <c r="AE141" s="195">
        <f t="shared" si="255"/>
        <v>4.8931005718074447E-2</v>
      </c>
      <c r="AF141" s="195">
        <f t="shared" si="255"/>
        <v>5.0131342868680595E-2</v>
      </c>
      <c r="AG141" s="195">
        <f t="shared" si="255"/>
        <v>5.1331680019286743E-2</v>
      </c>
      <c r="AH141" s="195">
        <f t="shared" si="255"/>
        <v>5.2532017169892892E-2</v>
      </c>
      <c r="AI141" s="195">
        <f t="shared" si="255"/>
        <v>5.373235432049904E-2</v>
      </c>
      <c r="AJ141" s="195">
        <f t="shared" si="255"/>
        <v>5.4932691471105188E-2</v>
      </c>
      <c r="AK141" s="195">
        <f t="shared" si="255"/>
        <v>5.6133028621711337E-2</v>
      </c>
      <c r="AL141" s="195">
        <f t="shared" si="255"/>
        <v>5.7333365772317485E-2</v>
      </c>
      <c r="AM141" s="195">
        <f t="shared" si="255"/>
        <v>5.8533702922923633E-2</v>
      </c>
      <c r="AN141" s="195">
        <f t="shared" si="255"/>
        <v>5.9734040073529761E-2</v>
      </c>
      <c r="AO141" s="195">
        <f t="shared" si="255"/>
        <v>6.8488055332898104E-2</v>
      </c>
      <c r="AP141" s="195">
        <f t="shared" si="255"/>
        <v>7.7242070592266454E-2</v>
      </c>
      <c r="AQ141" s="195">
        <f t="shared" si="255"/>
        <v>7.7242070592266454E-2</v>
      </c>
      <c r="AR141" s="195">
        <f t="shared" si="255"/>
        <v>7.7242070592266454E-2</v>
      </c>
    </row>
    <row r="142" spans="1:78">
      <c r="A142" s="41" t="s">
        <v>125</v>
      </c>
      <c r="B142" s="22" t="str">
        <f t="shared" si="242"/>
        <v>COM_PROJ</v>
      </c>
      <c r="C142" s="23" t="str">
        <f t="shared" si="243"/>
        <v>-</v>
      </c>
      <c r="D142" s="59" t="str">
        <f>ITEMS_TRA!C25</f>
        <v>TFRCO</v>
      </c>
      <c r="E142" s="23" t="str">
        <f t="shared" si="244"/>
        <v>-</v>
      </c>
      <c r="G142" s="23" t="str">
        <f t="shared" si="244"/>
        <v>-</v>
      </c>
      <c r="I142" s="23" t="str">
        <f t="shared" si="244"/>
        <v>-</v>
      </c>
      <c r="J142" s="23" t="str">
        <f t="shared" si="244"/>
        <v>-</v>
      </c>
      <c r="K142" s="132">
        <f t="shared" si="245"/>
        <v>0</v>
      </c>
      <c r="L142" s="195">
        <f t="shared" ref="L142:AR142" si="256">INDEX($M121:$BA121,MATCH(L$127,$M$106:$BA$106,0))</f>
        <v>22</v>
      </c>
      <c r="M142" s="195">
        <f t="shared" si="256"/>
        <v>22.352445526032646</v>
      </c>
      <c r="N142" s="195">
        <f t="shared" si="256"/>
        <v>22.704891052065292</v>
      </c>
      <c r="O142" s="195">
        <f t="shared" si="256"/>
        <v>23.057336578097942</v>
      </c>
      <c r="P142" s="195">
        <f t="shared" si="256"/>
        <v>23.249070137552067</v>
      </c>
      <c r="Q142" s="195">
        <f t="shared" si="256"/>
        <v>23.440803697006192</v>
      </c>
      <c r="R142" s="195">
        <f t="shared" si="256"/>
        <v>23.568784279696359</v>
      </c>
      <c r="S142" s="195">
        <f t="shared" si="256"/>
        <v>23.696764862386523</v>
      </c>
      <c r="T142" s="195">
        <f t="shared" si="256"/>
        <v>22.294737049596232</v>
      </c>
      <c r="U142" s="195">
        <f t="shared" si="256"/>
        <v>22.667428163404651</v>
      </c>
      <c r="V142" s="195">
        <f t="shared" si="256"/>
        <v>23.0679343169977</v>
      </c>
      <c r="W142" s="195">
        <f t="shared" si="256"/>
        <v>23.46844047059075</v>
      </c>
      <c r="X142" s="195">
        <f t="shared" si="256"/>
        <v>23.868946624183799</v>
      </c>
      <c r="Y142" s="195">
        <f t="shared" si="256"/>
        <v>24.269452777776849</v>
      </c>
      <c r="Z142" s="195">
        <f t="shared" si="256"/>
        <v>24.669958931369898</v>
      </c>
      <c r="AA142" s="195">
        <f t="shared" si="256"/>
        <v>25.070465084962947</v>
      </c>
      <c r="AB142" s="195">
        <f t="shared" si="256"/>
        <v>25.470971238555997</v>
      </c>
      <c r="AC142" s="195">
        <f t="shared" si="256"/>
        <v>25.871477392149046</v>
      </c>
      <c r="AD142" s="195">
        <f t="shared" si="256"/>
        <v>26.271983545742081</v>
      </c>
      <c r="AE142" s="195">
        <f t="shared" si="256"/>
        <v>26.932674854213737</v>
      </c>
      <c r="AF142" s="195">
        <f t="shared" si="256"/>
        <v>27.593366162685392</v>
      </c>
      <c r="AG142" s="195">
        <f t="shared" si="256"/>
        <v>28.254057471157047</v>
      </c>
      <c r="AH142" s="195">
        <f t="shared" si="256"/>
        <v>28.914748779628702</v>
      </c>
      <c r="AI142" s="195">
        <f t="shared" si="256"/>
        <v>29.575440088100358</v>
      </c>
      <c r="AJ142" s="195">
        <f t="shared" si="256"/>
        <v>30.236131396572013</v>
      </c>
      <c r="AK142" s="195">
        <f t="shared" si="256"/>
        <v>30.896822705043668</v>
      </c>
      <c r="AL142" s="195">
        <f t="shared" si="256"/>
        <v>31.557514013515323</v>
      </c>
      <c r="AM142" s="195">
        <f t="shared" si="256"/>
        <v>32.218205321986979</v>
      </c>
      <c r="AN142" s="195">
        <f t="shared" si="256"/>
        <v>32.878896630458648</v>
      </c>
      <c r="AO142" s="195">
        <f t="shared" si="256"/>
        <v>37.697294355774616</v>
      </c>
      <c r="AP142" s="195">
        <f t="shared" si="256"/>
        <v>42.515692081090613</v>
      </c>
      <c r="AQ142" s="195">
        <f t="shared" si="256"/>
        <v>42.515692081090613</v>
      </c>
      <c r="AR142" s="195">
        <f t="shared" si="256"/>
        <v>42.515692081090613</v>
      </c>
    </row>
    <row r="143" spans="1:78">
      <c r="A143" s="41"/>
      <c r="B143" s="22" t="str">
        <f t="shared" si="242"/>
        <v>COM_PROJ</v>
      </c>
      <c r="C143" s="23" t="str">
        <f t="shared" si="243"/>
        <v>-</v>
      </c>
      <c r="D143" s="59" t="str">
        <f>ITEMS_TRA!C26</f>
        <v>TFROT</v>
      </c>
      <c r="E143" s="23" t="str">
        <f t="shared" si="244"/>
        <v>-</v>
      </c>
      <c r="G143" s="23" t="str">
        <f t="shared" si="244"/>
        <v>-</v>
      </c>
      <c r="I143" s="23" t="str">
        <f t="shared" si="244"/>
        <v>-</v>
      </c>
      <c r="J143" s="23" t="str">
        <f t="shared" si="244"/>
        <v>-</v>
      </c>
      <c r="K143" s="132">
        <f t="shared" si="245"/>
        <v>0</v>
      </c>
      <c r="L143" s="195">
        <f t="shared" ref="L143:AR143" si="257">INDEX($M122:$BA122,MATCH(L$127,$M$106:$BA$106,0))</f>
        <v>25.1</v>
      </c>
      <c r="M143" s="195">
        <f t="shared" si="257"/>
        <v>25.502108304700894</v>
      </c>
      <c r="N143" s="195">
        <f t="shared" si="257"/>
        <v>25.904216609401786</v>
      </c>
      <c r="O143" s="195">
        <f t="shared" si="257"/>
        <v>26.306324914102674</v>
      </c>
      <c r="P143" s="195">
        <f t="shared" si="257"/>
        <v>26.525075475116246</v>
      </c>
      <c r="Q143" s="195">
        <f t="shared" si="257"/>
        <v>26.743826036129814</v>
      </c>
      <c r="R143" s="195">
        <f t="shared" si="257"/>
        <v>26.889840246380864</v>
      </c>
      <c r="S143" s="195">
        <f t="shared" si="257"/>
        <v>27.035854456631917</v>
      </c>
      <c r="T143" s="195">
        <f t="shared" si="257"/>
        <v>25.436268179312091</v>
      </c>
      <c r="U143" s="195">
        <f t="shared" si="257"/>
        <v>25.861474859157145</v>
      </c>
      <c r="V143" s="195">
        <f t="shared" si="257"/>
        <v>26.318415970756487</v>
      </c>
      <c r="W143" s="195">
        <f t="shared" si="257"/>
        <v>26.775357082355828</v>
      </c>
      <c r="X143" s="195">
        <f t="shared" si="257"/>
        <v>27.23229819395517</v>
      </c>
      <c r="Y143" s="195">
        <f t="shared" si="257"/>
        <v>27.689239305554512</v>
      </c>
      <c r="Z143" s="195">
        <f t="shared" si="257"/>
        <v>28.146180417153854</v>
      </c>
      <c r="AA143" s="195">
        <f t="shared" si="257"/>
        <v>28.603121528753196</v>
      </c>
      <c r="AB143" s="195">
        <f t="shared" si="257"/>
        <v>29.060062640352537</v>
      </c>
      <c r="AC143" s="195">
        <f t="shared" si="257"/>
        <v>29.517003751951879</v>
      </c>
      <c r="AD143" s="195">
        <f t="shared" si="257"/>
        <v>29.973944863551218</v>
      </c>
      <c r="AE143" s="195">
        <f t="shared" si="257"/>
        <v>30.727733583671153</v>
      </c>
      <c r="AF143" s="195">
        <f t="shared" si="257"/>
        <v>31.481522303791088</v>
      </c>
      <c r="AG143" s="195">
        <f t="shared" si="257"/>
        <v>32.235311023911024</v>
      </c>
      <c r="AH143" s="195">
        <f t="shared" si="257"/>
        <v>32.989099744030959</v>
      </c>
      <c r="AI143" s="195">
        <f t="shared" si="257"/>
        <v>33.742888464150894</v>
      </c>
      <c r="AJ143" s="195">
        <f t="shared" si="257"/>
        <v>34.49667718427083</v>
      </c>
      <c r="AK143" s="195">
        <f t="shared" si="257"/>
        <v>35.250465904390765</v>
      </c>
      <c r="AL143" s="195">
        <f t="shared" si="257"/>
        <v>36.0042546245107</v>
      </c>
      <c r="AM143" s="195">
        <f t="shared" si="257"/>
        <v>36.758043344630636</v>
      </c>
      <c r="AN143" s="195">
        <f t="shared" si="257"/>
        <v>37.511832064750571</v>
      </c>
      <c r="AO143" s="195">
        <f t="shared" si="257"/>
        <v>43.009185833179252</v>
      </c>
      <c r="AP143" s="195">
        <f t="shared" si="257"/>
        <v>48.506539601607955</v>
      </c>
      <c r="AQ143" s="195">
        <f t="shared" si="257"/>
        <v>48.506539601607955</v>
      </c>
      <c r="AR143" s="195">
        <f t="shared" si="257"/>
        <v>48.506539601607955</v>
      </c>
    </row>
    <row r="144" spans="1:78">
      <c r="A144" s="41"/>
      <c r="B144" s="22" t="str">
        <f t="shared" si="242"/>
        <v>COM_PROJ</v>
      </c>
      <c r="C144" s="131" t="str">
        <f t="shared" si="243"/>
        <v>-</v>
      </c>
      <c r="D144" s="59" t="str">
        <f>ITEMS_TRA!C27</f>
        <v>TFREX</v>
      </c>
      <c r="E144" s="131" t="str">
        <f t="shared" si="244"/>
        <v>-</v>
      </c>
      <c r="G144" s="131" t="str">
        <f t="shared" si="244"/>
        <v>-</v>
      </c>
      <c r="I144" s="131" t="str">
        <f t="shared" si="244"/>
        <v>-</v>
      </c>
      <c r="J144" s="131" t="str">
        <f t="shared" si="244"/>
        <v>-</v>
      </c>
      <c r="K144" s="132">
        <f t="shared" si="245"/>
        <v>0</v>
      </c>
      <c r="L144" s="195">
        <f t="shared" ref="L144:AR144" si="258">INDEX($M123:$BA123,MATCH(L$127,$M$106:$BA$106,0))</f>
        <v>82.000000000000014</v>
      </c>
      <c r="M144" s="195">
        <f t="shared" si="258"/>
        <v>82.000000000000014</v>
      </c>
      <c r="N144" s="195">
        <f t="shared" si="258"/>
        <v>82.000000000000014</v>
      </c>
      <c r="O144" s="195">
        <f t="shared" si="258"/>
        <v>82.000000000000014</v>
      </c>
      <c r="P144" s="195">
        <f t="shared" si="258"/>
        <v>82.000000000000014</v>
      </c>
      <c r="Q144" s="195">
        <f t="shared" si="258"/>
        <v>82.000000000000014</v>
      </c>
      <c r="R144" s="195">
        <f t="shared" si="258"/>
        <v>82.736172776937963</v>
      </c>
      <c r="S144" s="195">
        <f t="shared" si="258"/>
        <v>83.472345553875925</v>
      </c>
      <c r="T144" s="195">
        <f t="shared" si="258"/>
        <v>75.296230147600653</v>
      </c>
      <c r="U144" s="195">
        <f t="shared" si="258"/>
        <v>79.105852655656591</v>
      </c>
      <c r="V144" s="195">
        <f t="shared" si="258"/>
        <v>80.098633146166875</v>
      </c>
      <c r="W144" s="195">
        <f t="shared" si="258"/>
        <v>81.09141363667716</v>
      </c>
      <c r="X144" s="195">
        <f t="shared" si="258"/>
        <v>82.084194127187445</v>
      </c>
      <c r="Y144" s="195">
        <f t="shared" si="258"/>
        <v>83.076974617697729</v>
      </c>
      <c r="Z144" s="195">
        <f t="shared" si="258"/>
        <v>84.069755108208014</v>
      </c>
      <c r="AA144" s="195">
        <f t="shared" si="258"/>
        <v>85.062535598718299</v>
      </c>
      <c r="AB144" s="195">
        <f t="shared" si="258"/>
        <v>86.055316089228583</v>
      </c>
      <c r="AC144" s="195">
        <f t="shared" si="258"/>
        <v>87.048096579738868</v>
      </c>
      <c r="AD144" s="195">
        <f t="shared" si="258"/>
        <v>88.040877070249095</v>
      </c>
      <c r="AE144" s="195">
        <f t="shared" si="258"/>
        <v>89.889451104345525</v>
      </c>
      <c r="AF144" s="195">
        <f t="shared" si="258"/>
        <v>91.738025138441955</v>
      </c>
      <c r="AG144" s="195">
        <f t="shared" si="258"/>
        <v>93.586599172538385</v>
      </c>
      <c r="AH144" s="195">
        <f t="shared" si="258"/>
        <v>95.435173206634815</v>
      </c>
      <c r="AI144" s="195">
        <f t="shared" si="258"/>
        <v>97.283747240731245</v>
      </c>
      <c r="AJ144" s="195">
        <f t="shared" si="258"/>
        <v>99.132321274827675</v>
      </c>
      <c r="AK144" s="195">
        <f t="shared" si="258"/>
        <v>100.9808953089241</v>
      </c>
      <c r="AL144" s="195">
        <f t="shared" si="258"/>
        <v>102.82946934302053</v>
      </c>
      <c r="AM144" s="195">
        <f t="shared" si="258"/>
        <v>104.67804337711696</v>
      </c>
      <c r="AN144" s="195">
        <f t="shared" si="258"/>
        <v>106.52661741121337</v>
      </c>
      <c r="AO144" s="195">
        <f t="shared" si="258"/>
        <v>118.05685712150301</v>
      </c>
      <c r="AP144" s="195">
        <f t="shared" si="258"/>
        <v>129.58709683179268</v>
      </c>
      <c r="AQ144" s="195">
        <f t="shared" si="258"/>
        <v>129.58709683179268</v>
      </c>
      <c r="AR144" s="195">
        <f t="shared" si="258"/>
        <v>129.58709683179268</v>
      </c>
    </row>
    <row r="145" spans="1:51">
      <c r="A145" s="196"/>
      <c r="B145" s="196"/>
      <c r="C145" s="196"/>
      <c r="D145" s="196"/>
      <c r="E145" s="196"/>
      <c r="F145" s="196"/>
      <c r="G145" s="196"/>
      <c r="H145" s="196"/>
      <c r="I145" s="66"/>
      <c r="J145" s="66"/>
      <c r="K145" s="66"/>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row>
    <row r="146" spans="1:51">
      <c r="A146" s="196"/>
      <c r="B146" s="196"/>
      <c r="C146" s="196"/>
      <c r="D146" s="196"/>
      <c r="E146" s="196"/>
      <c r="F146" s="196"/>
      <c r="G146" s="66"/>
      <c r="H146" s="66"/>
      <c r="I146" s="66"/>
      <c r="J146" s="66"/>
      <c r="K146" s="66"/>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1:51">
      <c r="A147" s="196"/>
      <c r="B147" s="196"/>
      <c r="C147" s="196"/>
      <c r="D147" s="196"/>
      <c r="E147" s="196"/>
      <c r="F147" s="196"/>
      <c r="G147" s="66"/>
      <c r="H147" s="66"/>
      <c r="I147" s="66"/>
      <c r="J147" s="66"/>
      <c r="K147" s="66"/>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1: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1: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1: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1: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1" t="s">
        <v>16</v>
      </c>
      <c r="B165" s="125" t="s">
        <v>18</v>
      </c>
      <c r="C165" s="125" t="s">
        <v>19</v>
      </c>
      <c r="D165" s="125" t="s">
        <v>20</v>
      </c>
      <c r="E165" s="125" t="s">
        <v>21</v>
      </c>
      <c r="F165" s="125" t="s">
        <v>22</v>
      </c>
      <c r="G165" s="125" t="s">
        <v>23</v>
      </c>
      <c r="H165" s="125"/>
      <c r="I165" s="125" t="s">
        <v>24</v>
      </c>
      <c r="J165" s="126" t="s">
        <v>25</v>
      </c>
      <c r="K165" s="194">
        <v>2012</v>
      </c>
      <c r="L165" s="194">
        <v>2013</v>
      </c>
      <c r="M165" s="194">
        <v>2014</v>
      </c>
      <c r="N165" s="194">
        <v>2015</v>
      </c>
      <c r="O165" s="194">
        <v>2016</v>
      </c>
      <c r="P165" s="194">
        <v>2017</v>
      </c>
      <c r="Q165" s="194">
        <v>2018</v>
      </c>
      <c r="R165" s="194">
        <v>2019</v>
      </c>
      <c r="S165" s="194">
        <v>2020</v>
      </c>
      <c r="T165" s="194">
        <v>2021</v>
      </c>
      <c r="U165" s="194">
        <v>2022</v>
      </c>
      <c r="V165" s="194">
        <v>2023</v>
      </c>
      <c r="W165" s="194">
        <v>2024</v>
      </c>
      <c r="X165" s="194">
        <v>2025</v>
      </c>
      <c r="Y165" s="194">
        <v>2026</v>
      </c>
      <c r="Z165" s="194">
        <v>2027</v>
      </c>
      <c r="AA165" s="194">
        <v>2028</v>
      </c>
      <c r="AB165" s="194">
        <v>2029</v>
      </c>
      <c r="AC165" s="194">
        <v>2030</v>
      </c>
      <c r="AD165" s="194">
        <v>2031</v>
      </c>
      <c r="AE165" s="194">
        <v>2032</v>
      </c>
      <c r="AF165" s="194">
        <v>2033</v>
      </c>
      <c r="AG165" s="194">
        <v>2034</v>
      </c>
      <c r="AH165" s="194">
        <v>2035</v>
      </c>
      <c r="AI165" s="194">
        <v>2036</v>
      </c>
      <c r="AJ165" s="194">
        <v>2037</v>
      </c>
      <c r="AK165" s="194">
        <v>2038</v>
      </c>
      <c r="AL165" s="194">
        <v>2039</v>
      </c>
      <c r="AM165" s="194">
        <v>2040</v>
      </c>
      <c r="AN165" s="194">
        <v>2041</v>
      </c>
      <c r="AO165" s="194">
        <v>2042</v>
      </c>
      <c r="AP165" s="194">
        <v>2043</v>
      </c>
      <c r="AQ165" s="194">
        <v>2044</v>
      </c>
    </row>
    <row r="166" spans="1:78" s="200" customFormat="1">
      <c r="A166" s="121" t="s">
        <v>16</v>
      </c>
      <c r="B166" s="200" t="s">
        <v>392</v>
      </c>
      <c r="C166" s="200">
        <v>1</v>
      </c>
      <c r="D166" s="200">
        <v>2006</v>
      </c>
      <c r="E166" s="200">
        <v>2010</v>
      </c>
      <c r="F166" s="200">
        <v>2020</v>
      </c>
      <c r="G166" s="200">
        <v>2030</v>
      </c>
      <c r="I166" s="200">
        <v>2040</v>
      </c>
      <c r="J166" s="247">
        <v>2050</v>
      </c>
      <c r="K166" s="200">
        <f t="shared" ref="K166:AQ166" si="259">MATCH(L$127,$C$128:$K$128,$C166)</f>
        <v>1</v>
      </c>
      <c r="L166" s="200">
        <f t="shared" si="259"/>
        <v>1</v>
      </c>
      <c r="M166" s="200">
        <f t="shared" si="259"/>
        <v>1</v>
      </c>
      <c r="N166" s="200">
        <f t="shared" si="259"/>
        <v>2</v>
      </c>
      <c r="O166" s="200">
        <f t="shared" si="259"/>
        <v>2</v>
      </c>
      <c r="P166" s="200">
        <f t="shared" si="259"/>
        <v>3</v>
      </c>
      <c r="Q166" s="200">
        <f t="shared" si="259"/>
        <v>3</v>
      </c>
      <c r="R166" s="200">
        <f t="shared" si="259"/>
        <v>4</v>
      </c>
      <c r="S166" s="200">
        <f t="shared" si="259"/>
        <v>5</v>
      </c>
      <c r="T166" s="200">
        <f t="shared" si="259"/>
        <v>6</v>
      </c>
      <c r="U166" s="200">
        <f t="shared" si="259"/>
        <v>6</v>
      </c>
      <c r="V166" s="200">
        <f t="shared" si="259"/>
        <v>6</v>
      </c>
      <c r="W166" s="200">
        <f t="shared" si="259"/>
        <v>6</v>
      </c>
      <c r="X166" s="200">
        <f t="shared" si="259"/>
        <v>6</v>
      </c>
      <c r="Y166" s="200">
        <f t="shared" si="259"/>
        <v>6</v>
      </c>
      <c r="Z166" s="200">
        <f t="shared" si="259"/>
        <v>6</v>
      </c>
      <c r="AA166" s="200">
        <f t="shared" si="259"/>
        <v>6</v>
      </c>
      <c r="AB166" s="200">
        <f t="shared" si="259"/>
        <v>6</v>
      </c>
      <c r="AC166" s="200">
        <f t="shared" si="259"/>
        <v>7</v>
      </c>
      <c r="AD166" s="200">
        <f t="shared" si="259"/>
        <v>7</v>
      </c>
      <c r="AE166" s="200">
        <f t="shared" si="259"/>
        <v>7</v>
      </c>
      <c r="AF166" s="200">
        <f t="shared" si="259"/>
        <v>7</v>
      </c>
      <c r="AG166" s="200">
        <f t="shared" si="259"/>
        <v>7</v>
      </c>
      <c r="AH166" s="200">
        <f t="shared" si="259"/>
        <v>7</v>
      </c>
      <c r="AI166" s="200">
        <f t="shared" si="259"/>
        <v>7</v>
      </c>
      <c r="AJ166" s="200">
        <f t="shared" si="259"/>
        <v>7</v>
      </c>
      <c r="AK166" s="200">
        <f t="shared" si="259"/>
        <v>7</v>
      </c>
      <c r="AL166" s="200">
        <f t="shared" si="259"/>
        <v>7</v>
      </c>
      <c r="AM166" s="200">
        <f t="shared" si="259"/>
        <v>8</v>
      </c>
      <c r="AN166" s="200">
        <f t="shared" si="259"/>
        <v>8</v>
      </c>
      <c r="AO166" s="200">
        <f t="shared" si="259"/>
        <v>9</v>
      </c>
      <c r="AP166" s="200">
        <f t="shared" si="259"/>
        <v>9</v>
      </c>
      <c r="AQ166" s="200">
        <f t="shared" si="259"/>
        <v>9</v>
      </c>
      <c r="AR166" s="194"/>
      <c r="AS166" s="194"/>
      <c r="AT166" s="194"/>
      <c r="AU166" s="194"/>
      <c r="AV166" s="194"/>
      <c r="AW166" s="194"/>
      <c r="AX166" s="194"/>
      <c r="AY166" s="194"/>
      <c r="AZ166" s="194"/>
      <c r="BA166" s="194"/>
      <c r="BB166" s="194"/>
      <c r="BC166" s="194"/>
      <c r="BD166" s="194"/>
      <c r="BE166" s="194"/>
      <c r="BF166" s="194"/>
      <c r="BG166" s="194"/>
      <c r="BH166" s="194"/>
      <c r="BI166" s="194"/>
      <c r="BJ166" s="194"/>
      <c r="BK166" s="194"/>
      <c r="BL166" s="194"/>
      <c r="BM166" s="194"/>
      <c r="BN166" s="194"/>
      <c r="BO166" s="194"/>
      <c r="BP166" s="194"/>
      <c r="BQ166" s="194"/>
      <c r="BR166" s="194"/>
      <c r="BS166" s="194"/>
      <c r="BT166" s="194"/>
      <c r="BU166" s="194"/>
      <c r="BV166" s="194"/>
      <c r="BW166" s="194"/>
      <c r="BX166" s="194"/>
      <c r="BY166" s="194"/>
      <c r="BZ166" s="194"/>
    </row>
    <row r="167" spans="1:78">
      <c r="A167" s="41" t="s">
        <v>16</v>
      </c>
      <c r="B167" s="194" t="s">
        <v>393</v>
      </c>
      <c r="C167" s="194">
        <v>0</v>
      </c>
      <c r="D167" s="194">
        <f>INDEX($D166:$J166,0,COUNT($D166:$J166)-D168)</f>
        <v>2040</v>
      </c>
      <c r="E167" s="194">
        <f>INDEX($D166:$J166,0,COUNT($D166:$J166)-E168)</f>
        <v>0</v>
      </c>
      <c r="F167" s="194">
        <f>INDEX($D166:$J166,0,COUNT($D166:$J166)-F168)</f>
        <v>2030</v>
      </c>
      <c r="G167" s="194">
        <f>INDEX($D166:$J166,0,COUNT($D166:$J166)-G168)</f>
        <v>2020</v>
      </c>
      <c r="I167" s="194">
        <f>INDEX($D166:$J166,0,COUNT($D166:$J166)-I168)</f>
        <v>2010</v>
      </c>
      <c r="J167" s="128">
        <f>INDEX($D166:$J166,0,COUNT($D166:$J166)-J168)</f>
        <v>2006</v>
      </c>
      <c r="K167" s="41">
        <f t="shared" ref="K167:AQ167" si="260">MATCH(L$127,$C$128:$K$128,$C167)</f>
        <v>1</v>
      </c>
      <c r="L167" s="194" t="e">
        <f t="shared" si="260"/>
        <v>#N/A</v>
      </c>
      <c r="M167" s="194" t="e">
        <f t="shared" si="260"/>
        <v>#N/A</v>
      </c>
      <c r="N167" s="194">
        <f t="shared" si="260"/>
        <v>2</v>
      </c>
      <c r="O167" s="194" t="e">
        <f t="shared" si="260"/>
        <v>#N/A</v>
      </c>
      <c r="P167" s="194">
        <f t="shared" si="260"/>
        <v>3</v>
      </c>
      <c r="Q167" s="194" t="e">
        <f t="shared" si="260"/>
        <v>#N/A</v>
      </c>
      <c r="R167" s="194">
        <f t="shared" si="260"/>
        <v>4</v>
      </c>
      <c r="S167" s="194">
        <f t="shared" si="260"/>
        <v>5</v>
      </c>
      <c r="T167" s="194">
        <f t="shared" si="260"/>
        <v>6</v>
      </c>
      <c r="U167" s="194" t="e">
        <f t="shared" si="260"/>
        <v>#N/A</v>
      </c>
      <c r="V167" s="194" t="e">
        <f t="shared" si="260"/>
        <v>#N/A</v>
      </c>
      <c r="W167" s="194" t="e">
        <f t="shared" si="260"/>
        <v>#N/A</v>
      </c>
      <c r="X167" s="194" t="e">
        <f t="shared" si="260"/>
        <v>#N/A</v>
      </c>
      <c r="Y167" s="194" t="e">
        <f t="shared" si="260"/>
        <v>#N/A</v>
      </c>
      <c r="Z167" s="194" t="e">
        <f t="shared" si="260"/>
        <v>#N/A</v>
      </c>
      <c r="AA167" s="194" t="e">
        <f t="shared" si="260"/>
        <v>#N/A</v>
      </c>
      <c r="AB167" s="194" t="e">
        <f t="shared" si="260"/>
        <v>#N/A</v>
      </c>
      <c r="AC167" s="194">
        <f t="shared" si="260"/>
        <v>7</v>
      </c>
      <c r="AD167" s="194" t="e">
        <f t="shared" si="260"/>
        <v>#N/A</v>
      </c>
      <c r="AE167" s="194" t="e">
        <f t="shared" si="260"/>
        <v>#N/A</v>
      </c>
      <c r="AF167" s="194" t="e">
        <f t="shared" si="260"/>
        <v>#N/A</v>
      </c>
      <c r="AG167" s="194" t="e">
        <f t="shared" si="260"/>
        <v>#N/A</v>
      </c>
      <c r="AH167" s="194" t="e">
        <f t="shared" si="260"/>
        <v>#N/A</v>
      </c>
      <c r="AI167" s="194" t="e">
        <f t="shared" si="260"/>
        <v>#N/A</v>
      </c>
      <c r="AJ167" s="194" t="e">
        <f t="shared" si="260"/>
        <v>#N/A</v>
      </c>
      <c r="AK167" s="194" t="e">
        <f t="shared" si="260"/>
        <v>#N/A</v>
      </c>
      <c r="AL167" s="194" t="e">
        <f t="shared" si="260"/>
        <v>#N/A</v>
      </c>
      <c r="AM167" s="194">
        <f t="shared" si="260"/>
        <v>8</v>
      </c>
      <c r="AN167" s="194" t="e">
        <f t="shared" si="260"/>
        <v>#N/A</v>
      </c>
      <c r="AO167" s="194">
        <f t="shared" si="260"/>
        <v>9</v>
      </c>
      <c r="AP167" s="194" t="e">
        <f t="shared" si="260"/>
        <v>#N/A</v>
      </c>
      <c r="AQ167" s="194" t="e">
        <f t="shared" si="260"/>
        <v>#N/A</v>
      </c>
    </row>
    <row r="168" spans="1:78">
      <c r="A168" s="41" t="s">
        <v>16</v>
      </c>
      <c r="B168" s="194" t="s">
        <v>391</v>
      </c>
      <c r="C168" s="194">
        <v>-1</v>
      </c>
      <c r="D168" s="194">
        <v>0</v>
      </c>
      <c r="E168" s="194">
        <v>1</v>
      </c>
      <c r="F168" s="194">
        <v>2</v>
      </c>
      <c r="G168" s="194">
        <v>3</v>
      </c>
      <c r="I168" s="194">
        <v>4</v>
      </c>
      <c r="J168" s="194">
        <v>5</v>
      </c>
      <c r="K168" s="41">
        <f t="shared" ref="K168:AQ168" si="261">MATCH(L$127,$C$129:$K$129,$C168)</f>
        <v>9</v>
      </c>
      <c r="L168" s="194">
        <f t="shared" si="261"/>
        <v>8</v>
      </c>
      <c r="M168" s="194">
        <f t="shared" si="261"/>
        <v>8</v>
      </c>
      <c r="N168" s="194">
        <f t="shared" si="261"/>
        <v>8</v>
      </c>
      <c r="O168" s="194">
        <f t="shared" si="261"/>
        <v>7</v>
      </c>
      <c r="P168" s="194">
        <f t="shared" si="261"/>
        <v>7</v>
      </c>
      <c r="Q168" s="194">
        <f t="shared" si="261"/>
        <v>6</v>
      </c>
      <c r="R168" s="194">
        <f t="shared" si="261"/>
        <v>6</v>
      </c>
      <c r="S168" s="194">
        <f t="shared" si="261"/>
        <v>5</v>
      </c>
      <c r="T168" s="194">
        <f t="shared" si="261"/>
        <v>4</v>
      </c>
      <c r="U168" s="194">
        <f t="shared" si="261"/>
        <v>3</v>
      </c>
      <c r="V168" s="194">
        <f t="shared" si="261"/>
        <v>3</v>
      </c>
      <c r="W168" s="194">
        <f t="shared" si="261"/>
        <v>3</v>
      </c>
      <c r="X168" s="194">
        <f t="shared" si="261"/>
        <v>3</v>
      </c>
      <c r="Y168" s="194">
        <f t="shared" si="261"/>
        <v>3</v>
      </c>
      <c r="Z168" s="194">
        <f t="shared" si="261"/>
        <v>3</v>
      </c>
      <c r="AA168" s="194">
        <f t="shared" si="261"/>
        <v>3</v>
      </c>
      <c r="AB168" s="194">
        <f t="shared" si="261"/>
        <v>3</v>
      </c>
      <c r="AC168" s="194">
        <f t="shared" si="261"/>
        <v>3</v>
      </c>
      <c r="AD168" s="194">
        <f t="shared" si="261"/>
        <v>2</v>
      </c>
      <c r="AE168" s="194">
        <f t="shared" si="261"/>
        <v>2</v>
      </c>
      <c r="AF168" s="194">
        <f t="shared" si="261"/>
        <v>2</v>
      </c>
      <c r="AG168" s="194">
        <f t="shared" si="261"/>
        <v>2</v>
      </c>
      <c r="AH168" s="194">
        <f t="shared" si="261"/>
        <v>2</v>
      </c>
      <c r="AI168" s="194">
        <f t="shared" si="261"/>
        <v>2</v>
      </c>
      <c r="AJ168" s="194">
        <f t="shared" si="261"/>
        <v>2</v>
      </c>
      <c r="AK168" s="194">
        <f t="shared" si="261"/>
        <v>2</v>
      </c>
      <c r="AL168" s="194">
        <f t="shared" si="261"/>
        <v>2</v>
      </c>
      <c r="AM168" s="194">
        <f t="shared" si="261"/>
        <v>2</v>
      </c>
      <c r="AN168" s="194">
        <f t="shared" si="261"/>
        <v>1</v>
      </c>
      <c r="AO168" s="194">
        <f t="shared" si="261"/>
        <v>1</v>
      </c>
      <c r="AP168" s="194" t="e">
        <f t="shared" si="261"/>
        <v>#N/A</v>
      </c>
      <c r="AQ168" s="194" t="e">
        <f t="shared" si="261"/>
        <v>#N/A</v>
      </c>
    </row>
    <row r="169" spans="1:78" s="124" customFormat="1">
      <c r="A169" s="41" t="s">
        <v>16</v>
      </c>
      <c r="B169" s="194" t="s">
        <v>394</v>
      </c>
      <c r="C169" s="194"/>
      <c r="D169" s="194"/>
      <c r="E169" s="194"/>
      <c r="F169" s="194"/>
      <c r="G169" s="194"/>
      <c r="H169" s="194"/>
      <c r="I169" s="194"/>
      <c r="J169" s="129"/>
      <c r="K169" s="198">
        <f>IF(ISNA(K166),-1,IF(ISNA(K168),99,IF(ISNA(K167),K166,0)))</f>
        <v>0</v>
      </c>
      <c r="L169" s="198">
        <f t="shared" ref="L169:AQ169" si="262">IF(ISNA(L166),-1,IF(ISNA(L168),99,IF(ISNA(L167),L166,0)))</f>
        <v>1</v>
      </c>
      <c r="M169" s="198">
        <f t="shared" si="262"/>
        <v>1</v>
      </c>
      <c r="N169" s="198">
        <f t="shared" si="262"/>
        <v>0</v>
      </c>
      <c r="O169" s="198">
        <f t="shared" si="262"/>
        <v>2</v>
      </c>
      <c r="P169" s="198">
        <f t="shared" si="262"/>
        <v>0</v>
      </c>
      <c r="Q169" s="198">
        <f t="shared" si="262"/>
        <v>3</v>
      </c>
      <c r="R169" s="198">
        <f t="shared" si="262"/>
        <v>0</v>
      </c>
      <c r="S169" s="198">
        <f t="shared" si="262"/>
        <v>0</v>
      </c>
      <c r="T169" s="198">
        <f t="shared" si="262"/>
        <v>0</v>
      </c>
      <c r="U169" s="198">
        <f t="shared" si="262"/>
        <v>6</v>
      </c>
      <c r="V169" s="198">
        <f t="shared" si="262"/>
        <v>6</v>
      </c>
      <c r="W169" s="198">
        <f t="shared" si="262"/>
        <v>6</v>
      </c>
      <c r="X169" s="198">
        <f t="shared" si="262"/>
        <v>6</v>
      </c>
      <c r="Y169" s="198">
        <f t="shared" si="262"/>
        <v>6</v>
      </c>
      <c r="Z169" s="198">
        <f t="shared" si="262"/>
        <v>6</v>
      </c>
      <c r="AA169" s="198">
        <f t="shared" si="262"/>
        <v>6</v>
      </c>
      <c r="AB169" s="198">
        <f t="shared" si="262"/>
        <v>6</v>
      </c>
      <c r="AC169" s="198">
        <f t="shared" si="262"/>
        <v>0</v>
      </c>
      <c r="AD169" s="198">
        <f t="shared" si="262"/>
        <v>7</v>
      </c>
      <c r="AE169" s="198">
        <f t="shared" si="262"/>
        <v>7</v>
      </c>
      <c r="AF169" s="198">
        <f t="shared" si="262"/>
        <v>7</v>
      </c>
      <c r="AG169" s="198">
        <f t="shared" si="262"/>
        <v>7</v>
      </c>
      <c r="AH169" s="198">
        <f t="shared" si="262"/>
        <v>7</v>
      </c>
      <c r="AI169" s="198">
        <f t="shared" si="262"/>
        <v>7</v>
      </c>
      <c r="AJ169" s="198">
        <f t="shared" si="262"/>
        <v>7</v>
      </c>
      <c r="AK169" s="198">
        <f t="shared" si="262"/>
        <v>7</v>
      </c>
      <c r="AL169" s="198">
        <f t="shared" si="262"/>
        <v>7</v>
      </c>
      <c r="AM169" s="198">
        <f t="shared" si="262"/>
        <v>0</v>
      </c>
      <c r="AN169" s="198">
        <f t="shared" si="262"/>
        <v>8</v>
      </c>
      <c r="AO169" s="198">
        <f t="shared" si="262"/>
        <v>0</v>
      </c>
      <c r="AP169" s="198">
        <f t="shared" si="262"/>
        <v>99</v>
      </c>
      <c r="AQ169" s="198">
        <f t="shared" si="262"/>
        <v>99</v>
      </c>
      <c r="AR169" s="194"/>
      <c r="AS169" s="194"/>
      <c r="AT169" s="194"/>
      <c r="AU169" s="194"/>
      <c r="AV169" s="194"/>
      <c r="AW169" s="194"/>
      <c r="AX169" s="194"/>
      <c r="AY169" s="194"/>
      <c r="AZ169" s="194"/>
      <c r="BA169" s="194"/>
      <c r="BB169" s="194"/>
      <c r="BC169" s="194"/>
      <c r="BD169" s="194"/>
      <c r="BE169" s="194"/>
      <c r="BF169" s="194"/>
      <c r="BG169" s="194"/>
      <c r="BH169" s="194"/>
      <c r="BI169" s="194"/>
      <c r="BJ169" s="194"/>
      <c r="BK169" s="194"/>
      <c r="BL169" s="194"/>
      <c r="BM169" s="194"/>
      <c r="BN169" s="194"/>
      <c r="BO169" s="194"/>
      <c r="BP169" s="194"/>
      <c r="BQ169" s="194"/>
      <c r="BR169" s="194"/>
      <c r="BS169" s="194"/>
      <c r="BT169" s="194"/>
      <c r="BU169" s="194"/>
      <c r="BV169" s="194"/>
      <c r="BW169" s="194"/>
      <c r="BX169" s="194"/>
      <c r="BY169" s="194"/>
      <c r="BZ169" s="194"/>
    </row>
    <row r="170" spans="1:78">
      <c r="A170" s="194" t="s">
        <v>16</v>
      </c>
      <c r="B170" s="22" t="str">
        <f t="shared" ref="B170:B179" si="263">IF(A170="*","","COM_PROJ")</f>
        <v/>
      </c>
      <c r="C170" s="23" t="str">
        <f t="shared" ref="C170:C179" si="264">IF($A170="*","","-")</f>
        <v/>
      </c>
      <c r="D170" s="59"/>
      <c r="E170" s="23" t="str">
        <f t="shared" ref="E170:I179" si="265">IF($A170="*","","-")</f>
        <v/>
      </c>
      <c r="F170" s="23" t="str">
        <f t="shared" si="265"/>
        <v/>
      </c>
      <c r="G170" s="23" t="str">
        <f t="shared" si="265"/>
        <v/>
      </c>
      <c r="H170" s="23"/>
      <c r="I170" s="23" t="str">
        <f t="shared" si="265"/>
        <v/>
      </c>
      <c r="K170" s="23">
        <f>K165</f>
        <v>2012</v>
      </c>
      <c r="L170" s="23">
        <f t="shared" ref="L170:AQ170" si="266">L165</f>
        <v>2013</v>
      </c>
      <c r="M170" s="23">
        <f t="shared" si="266"/>
        <v>2014</v>
      </c>
      <c r="N170" s="23">
        <f t="shared" si="266"/>
        <v>2015</v>
      </c>
      <c r="O170" s="23">
        <f t="shared" si="266"/>
        <v>2016</v>
      </c>
      <c r="P170" s="23">
        <f t="shared" si="266"/>
        <v>2017</v>
      </c>
      <c r="Q170" s="23">
        <f t="shared" si="266"/>
        <v>2018</v>
      </c>
      <c r="R170" s="23">
        <f t="shared" si="266"/>
        <v>2019</v>
      </c>
      <c r="S170" s="23">
        <f t="shared" si="266"/>
        <v>2020</v>
      </c>
      <c r="T170" s="23">
        <f t="shared" si="266"/>
        <v>2021</v>
      </c>
      <c r="U170" s="23">
        <f t="shared" si="266"/>
        <v>2022</v>
      </c>
      <c r="V170" s="23">
        <f t="shared" si="266"/>
        <v>2023</v>
      </c>
      <c r="W170" s="23">
        <f t="shared" si="266"/>
        <v>2024</v>
      </c>
      <c r="X170" s="23">
        <f t="shared" si="266"/>
        <v>2025</v>
      </c>
      <c r="Y170" s="23">
        <f t="shared" si="266"/>
        <v>2026</v>
      </c>
      <c r="Z170" s="23">
        <f t="shared" si="266"/>
        <v>2027</v>
      </c>
      <c r="AA170" s="23">
        <f t="shared" si="266"/>
        <v>2028</v>
      </c>
      <c r="AB170" s="23">
        <f t="shared" si="266"/>
        <v>2029</v>
      </c>
      <c r="AC170" s="23">
        <f t="shared" si="266"/>
        <v>2030</v>
      </c>
      <c r="AD170" s="23">
        <f t="shared" si="266"/>
        <v>2031</v>
      </c>
      <c r="AE170" s="23">
        <f t="shared" si="266"/>
        <v>2032</v>
      </c>
      <c r="AF170" s="23">
        <f t="shared" si="266"/>
        <v>2033</v>
      </c>
      <c r="AG170" s="23">
        <f t="shared" si="266"/>
        <v>2034</v>
      </c>
      <c r="AH170" s="23">
        <f t="shared" si="266"/>
        <v>2035</v>
      </c>
      <c r="AI170" s="23">
        <f t="shared" si="266"/>
        <v>2036</v>
      </c>
      <c r="AJ170" s="23">
        <f t="shared" si="266"/>
        <v>2037</v>
      </c>
      <c r="AK170" s="23">
        <f t="shared" si="266"/>
        <v>2038</v>
      </c>
      <c r="AL170" s="23">
        <f t="shared" si="266"/>
        <v>2039</v>
      </c>
      <c r="AM170" s="23">
        <f t="shared" si="266"/>
        <v>2040</v>
      </c>
      <c r="AN170" s="23">
        <f t="shared" si="266"/>
        <v>2041</v>
      </c>
      <c r="AO170" s="23">
        <f t="shared" si="266"/>
        <v>2042</v>
      </c>
      <c r="AP170" s="23">
        <f t="shared" si="266"/>
        <v>2043</v>
      </c>
      <c r="AQ170" s="23">
        <f t="shared" si="266"/>
        <v>2044</v>
      </c>
    </row>
    <row r="171" spans="1:78">
      <c r="A171" s="194" t="s">
        <v>16</v>
      </c>
      <c r="B171" s="22" t="str">
        <f t="shared" si="263"/>
        <v/>
      </c>
      <c r="C171" s="23" t="str">
        <f t="shared" si="264"/>
        <v/>
      </c>
      <c r="D171" s="59"/>
      <c r="E171" s="23" t="str">
        <f t="shared" si="265"/>
        <v/>
      </c>
      <c r="F171" s="23" t="str">
        <f t="shared" si="265"/>
        <v/>
      </c>
      <c r="G171" s="23" t="str">
        <f t="shared" si="265"/>
        <v/>
      </c>
      <c r="H171" s="23"/>
      <c r="I171" s="23" t="str">
        <f t="shared" si="265"/>
        <v/>
      </c>
      <c r="J171" s="140" t="str">
        <f t="shared" ref="J171:J183" si="267">B76</f>
        <v>TFLCV</v>
      </c>
      <c r="K171" s="195">
        <f>F43</f>
        <v>17.151878492126293</v>
      </c>
      <c r="L171" s="195">
        <f t="shared" ref="L171:AQ171" si="268">IF(L$169=-1,M171,IF(L$169=99,K171,IF(L$169=0,INDEX($F43:$N43,0,L$167),(INDEX($F43:$N43,0,L$169+1)-INDEX($F43:$N43,0,L$169))/(INDEX($F$4:$N$4,0,L$169+1)-INDEX($F$4:$N$4,0,L$169))+K171)))</f>
        <v>17.42665589383564</v>
      </c>
      <c r="M171" s="195">
        <f t="shared" si="268"/>
        <v>17.701433295544987</v>
      </c>
      <c r="N171" s="195">
        <f t="shared" si="268"/>
        <v>17.976210697254331</v>
      </c>
      <c r="O171" s="195">
        <f t="shared" si="268"/>
        <v>18.125692093373424</v>
      </c>
      <c r="P171" s="195">
        <f t="shared" si="268"/>
        <v>18.275173489492516</v>
      </c>
      <c r="Q171" s="195">
        <f t="shared" si="268"/>
        <v>18.374951098749481</v>
      </c>
      <c r="R171" s="195">
        <f t="shared" si="268"/>
        <v>18.474728708006445</v>
      </c>
      <c r="S171" s="195">
        <f t="shared" si="268"/>
        <v>17.381664585844597</v>
      </c>
      <c r="T171" s="195">
        <f t="shared" si="268"/>
        <v>17.672226072169018</v>
      </c>
      <c r="U171" s="195">
        <f t="shared" si="268"/>
        <v>17.98447302134069</v>
      </c>
      <c r="V171" s="195">
        <f t="shared" si="268"/>
        <v>18.296719970512363</v>
      </c>
      <c r="W171" s="195">
        <f t="shared" si="268"/>
        <v>18.608966919684036</v>
      </c>
      <c r="X171" s="195">
        <f t="shared" si="268"/>
        <v>18.921213868855709</v>
      </c>
      <c r="Y171" s="195">
        <f t="shared" si="268"/>
        <v>19.233460818027382</v>
      </c>
      <c r="Z171" s="195">
        <f t="shared" si="268"/>
        <v>19.545707767199055</v>
      </c>
      <c r="AA171" s="195">
        <f t="shared" si="268"/>
        <v>19.857954716370728</v>
      </c>
      <c r="AB171" s="195">
        <f t="shared" si="268"/>
        <v>20.1702016655424</v>
      </c>
      <c r="AC171" s="195">
        <f t="shared" si="268"/>
        <v>20.48244861471408</v>
      </c>
      <c r="AD171" s="195">
        <f t="shared" si="268"/>
        <v>20.997543934882707</v>
      </c>
      <c r="AE171" s="195">
        <f t="shared" si="268"/>
        <v>21.512639255051333</v>
      </c>
      <c r="AF171" s="195">
        <f t="shared" si="268"/>
        <v>22.027734575219959</v>
      </c>
      <c r="AG171" s="195">
        <f t="shared" si="268"/>
        <v>22.542829895388586</v>
      </c>
      <c r="AH171" s="195">
        <f t="shared" si="268"/>
        <v>23.057925215557212</v>
      </c>
      <c r="AI171" s="195">
        <f t="shared" si="268"/>
        <v>23.573020535725838</v>
      </c>
      <c r="AJ171" s="195">
        <f t="shared" si="268"/>
        <v>24.088115855894465</v>
      </c>
      <c r="AK171" s="195">
        <f t="shared" si="268"/>
        <v>24.603211176063091</v>
      </c>
      <c r="AL171" s="195">
        <f t="shared" si="268"/>
        <v>25.118306496231718</v>
      </c>
      <c r="AM171" s="195">
        <f t="shared" si="268"/>
        <v>25.633401816400347</v>
      </c>
      <c r="AN171" s="195">
        <f t="shared" si="268"/>
        <v>26.384716110139962</v>
      </c>
      <c r="AO171" s="195">
        <f t="shared" si="268"/>
        <v>33.146544753796483</v>
      </c>
      <c r="AP171" s="195">
        <f t="shared" si="268"/>
        <v>33.146544753796483</v>
      </c>
      <c r="AQ171" s="195">
        <f t="shared" si="268"/>
        <v>33.146544753796483</v>
      </c>
    </row>
    <row r="172" spans="1:78">
      <c r="A172" s="194" t="s">
        <v>16</v>
      </c>
      <c r="B172" s="22" t="str">
        <f t="shared" si="263"/>
        <v/>
      </c>
      <c r="C172" s="23" t="str">
        <f t="shared" si="264"/>
        <v/>
      </c>
      <c r="D172" s="59"/>
      <c r="E172" s="23" t="str">
        <f t="shared" si="265"/>
        <v/>
      </c>
      <c r="F172" s="23" t="str">
        <f t="shared" si="265"/>
        <v/>
      </c>
      <c r="G172" s="23" t="str">
        <f t="shared" si="265"/>
        <v/>
      </c>
      <c r="H172" s="23"/>
      <c r="I172" s="23" t="str">
        <f t="shared" si="265"/>
        <v/>
      </c>
      <c r="J172" s="140" t="str">
        <f t="shared" si="267"/>
        <v>TFHCV1</v>
      </c>
      <c r="K172" s="195">
        <f>F46</f>
        <v>4.9123710000000003</v>
      </c>
      <c r="L172" s="195">
        <f t="shared" ref="L172:AQ172" si="269">IF(L$169=-1,M172,IF(L$169=99,K172,IF(L$169=0,INDEX($F46:$N46,0,L$167),(INDEX($F46:$N46,0,L$169+1)-INDEX($F46:$N46,0,L$169))/(INDEX($F$4:$N$4,0,L$169+1)-INDEX($F$4:$N$4,0,L$169))+K172)))</f>
        <v>4.9910684173255708</v>
      </c>
      <c r="M172" s="195">
        <f t="shared" si="269"/>
        <v>5.0697658346511414</v>
      </c>
      <c r="N172" s="195">
        <f t="shared" si="269"/>
        <v>5.1484632519767128</v>
      </c>
      <c r="O172" s="195">
        <f t="shared" si="269"/>
        <v>5.1912753600307688</v>
      </c>
      <c r="P172" s="195">
        <f t="shared" si="269"/>
        <v>5.2340874680848239</v>
      </c>
      <c r="Q172" s="195">
        <f t="shared" si="269"/>
        <v>5.2626642000380173</v>
      </c>
      <c r="R172" s="195">
        <f t="shared" si="269"/>
        <v>5.2912409319912115</v>
      </c>
      <c r="S172" s="195">
        <f t="shared" si="269"/>
        <v>4.9781827152301004</v>
      </c>
      <c r="T172" s="195">
        <f t="shared" si="269"/>
        <v>5.0614007615678354</v>
      </c>
      <c r="U172" s="195">
        <f t="shared" si="269"/>
        <v>5.150829616760201</v>
      </c>
      <c r="V172" s="195">
        <f t="shared" si="269"/>
        <v>5.2402584719525667</v>
      </c>
      <c r="W172" s="195">
        <f t="shared" si="269"/>
        <v>5.3296873271449323</v>
      </c>
      <c r="X172" s="195">
        <f t="shared" si="269"/>
        <v>5.419116182337298</v>
      </c>
      <c r="Y172" s="195">
        <f t="shared" si="269"/>
        <v>5.5085450375296636</v>
      </c>
      <c r="Z172" s="195">
        <f t="shared" si="269"/>
        <v>5.5979738927220293</v>
      </c>
      <c r="AA172" s="195">
        <f t="shared" si="269"/>
        <v>5.6874027479143949</v>
      </c>
      <c r="AB172" s="195">
        <f t="shared" si="269"/>
        <v>5.7768316031067606</v>
      </c>
      <c r="AC172" s="195">
        <f t="shared" si="269"/>
        <v>5.8662604582991227</v>
      </c>
      <c r="AD172" s="195">
        <f t="shared" si="269"/>
        <v>6.0137859502849507</v>
      </c>
      <c r="AE172" s="195">
        <f t="shared" si="269"/>
        <v>6.1613114422707786</v>
      </c>
      <c r="AF172" s="195">
        <f t="shared" si="269"/>
        <v>6.3088369342566066</v>
      </c>
      <c r="AG172" s="195">
        <f t="shared" si="269"/>
        <v>6.4563624262424346</v>
      </c>
      <c r="AH172" s="195">
        <f t="shared" si="269"/>
        <v>6.6038879182282626</v>
      </c>
      <c r="AI172" s="195">
        <f t="shared" si="269"/>
        <v>6.7514134102140906</v>
      </c>
      <c r="AJ172" s="195">
        <f t="shared" si="269"/>
        <v>6.8989389021999186</v>
      </c>
      <c r="AK172" s="195">
        <f t="shared" si="269"/>
        <v>7.0464643941857465</v>
      </c>
      <c r="AL172" s="195">
        <f t="shared" si="269"/>
        <v>7.1939898861715745</v>
      </c>
      <c r="AM172" s="195">
        <f t="shared" si="269"/>
        <v>7.3415153781574052</v>
      </c>
      <c r="AN172" s="195">
        <f t="shared" si="269"/>
        <v>7.5566949895420255</v>
      </c>
      <c r="AO172" s="195">
        <f t="shared" si="269"/>
        <v>9.4933114920036061</v>
      </c>
      <c r="AP172" s="195">
        <f t="shared" si="269"/>
        <v>9.4933114920036061</v>
      </c>
      <c r="AQ172" s="195">
        <f t="shared" si="269"/>
        <v>9.4933114920036061</v>
      </c>
      <c r="AZ172" s="195"/>
      <c r="BA172" s="195"/>
      <c r="BB172" s="195"/>
      <c r="BC172" s="195"/>
      <c r="BD172" s="195"/>
      <c r="BE172" s="195"/>
    </row>
    <row r="173" spans="1:78">
      <c r="A173" s="194" t="s">
        <v>16</v>
      </c>
      <c r="B173" s="22" t="str">
        <f t="shared" si="263"/>
        <v/>
      </c>
      <c r="C173" s="23" t="str">
        <f t="shared" si="264"/>
        <v/>
      </c>
      <c r="D173" s="59"/>
      <c r="E173" s="23" t="str">
        <f t="shared" si="265"/>
        <v/>
      </c>
      <c r="F173" s="23" t="str">
        <f t="shared" si="265"/>
        <v/>
      </c>
      <c r="G173" s="23" t="str">
        <f t="shared" si="265"/>
        <v/>
      </c>
      <c r="H173" s="23"/>
      <c r="I173" s="23" t="str">
        <f t="shared" si="265"/>
        <v/>
      </c>
      <c r="J173" s="140" t="str">
        <f t="shared" si="267"/>
        <v>TFHCV2</v>
      </c>
      <c r="K173" s="195">
        <f t="shared" ref="K173:K180" si="270">F51</f>
        <v>1.637614669131271</v>
      </c>
      <c r="L173" s="195">
        <f t="shared" ref="L173:AQ173" si="271">IF(L$169=-1,M173,IF(L$169=99,K173,IF(L$169=0,INDEX($F51:$N51,0,L$167),(INDEX($F51:$N51,0,L$169+1)-INDEX($F51:$N51,0,L$169))/(INDEX($F$4:$N$4,0,L$169+1)-INDEX($F$4:$N$4,0,L$169))+K173)))</f>
        <v>1.6638496674722147</v>
      </c>
      <c r="M173" s="195">
        <f t="shared" si="271"/>
        <v>1.6900846658131585</v>
      </c>
      <c r="N173" s="195">
        <f t="shared" si="271"/>
        <v>1.7163196641541021</v>
      </c>
      <c r="O173" s="195">
        <f t="shared" si="271"/>
        <v>1.7305917409507761</v>
      </c>
      <c r="P173" s="195">
        <f t="shared" si="271"/>
        <v>1.74486381774745</v>
      </c>
      <c r="Q173" s="195">
        <f t="shared" si="271"/>
        <v>1.7543903122736948</v>
      </c>
      <c r="R173" s="195">
        <f t="shared" si="271"/>
        <v>1.7639168067999393</v>
      </c>
      <c r="S173" s="195">
        <f t="shared" si="271"/>
        <v>1.6595540198565115</v>
      </c>
      <c r="T173" s="195">
        <f t="shared" si="271"/>
        <v>1.6872960396304906</v>
      </c>
      <c r="U173" s="195">
        <f t="shared" si="271"/>
        <v>1.7171085283669141</v>
      </c>
      <c r="V173" s="195">
        <f t="shared" si="271"/>
        <v>1.7469210171033376</v>
      </c>
      <c r="W173" s="195">
        <f t="shared" si="271"/>
        <v>1.7767335058397611</v>
      </c>
      <c r="X173" s="195">
        <f t="shared" si="271"/>
        <v>1.8065459945761846</v>
      </c>
      <c r="Y173" s="195">
        <f t="shared" si="271"/>
        <v>1.8363584833126081</v>
      </c>
      <c r="Z173" s="195">
        <f t="shared" si="271"/>
        <v>1.8661709720490316</v>
      </c>
      <c r="AA173" s="195">
        <f t="shared" si="271"/>
        <v>1.8959834607854551</v>
      </c>
      <c r="AB173" s="195">
        <f t="shared" si="271"/>
        <v>1.9257959495218786</v>
      </c>
      <c r="AC173" s="195">
        <f t="shared" si="271"/>
        <v>1.9556084382583021</v>
      </c>
      <c r="AD173" s="195">
        <f t="shared" si="271"/>
        <v>2.0047883372819713</v>
      </c>
      <c r="AE173" s="195">
        <f t="shared" si="271"/>
        <v>2.0539682363056402</v>
      </c>
      <c r="AF173" s="195">
        <f t="shared" si="271"/>
        <v>2.1031481353293091</v>
      </c>
      <c r="AG173" s="195">
        <f t="shared" si="271"/>
        <v>2.152328034352978</v>
      </c>
      <c r="AH173" s="195">
        <f t="shared" si="271"/>
        <v>2.201507933376647</v>
      </c>
      <c r="AI173" s="195">
        <f t="shared" si="271"/>
        <v>2.2506878324003159</v>
      </c>
      <c r="AJ173" s="195">
        <f t="shared" si="271"/>
        <v>2.2998677314239848</v>
      </c>
      <c r="AK173" s="195">
        <f t="shared" si="271"/>
        <v>2.3490476304476537</v>
      </c>
      <c r="AL173" s="195">
        <f t="shared" si="271"/>
        <v>2.3982275294713227</v>
      </c>
      <c r="AM173" s="195">
        <f t="shared" si="271"/>
        <v>2.4474074284949929</v>
      </c>
      <c r="AN173" s="195">
        <f t="shared" si="271"/>
        <v>2.5191408721012314</v>
      </c>
      <c r="AO173" s="195">
        <f t="shared" si="271"/>
        <v>3.1647418645573753</v>
      </c>
      <c r="AP173" s="195">
        <f t="shared" si="271"/>
        <v>3.1647418645573753</v>
      </c>
      <c r="AQ173" s="195">
        <f t="shared" si="271"/>
        <v>3.1647418645573753</v>
      </c>
      <c r="AZ173" s="195"/>
      <c r="BA173" s="195"/>
      <c r="BB173" s="195"/>
      <c r="BC173" s="195"/>
      <c r="BD173" s="195"/>
      <c r="BE173" s="195"/>
    </row>
    <row r="174" spans="1:78">
      <c r="A174" s="194" t="s">
        <v>16</v>
      </c>
      <c r="B174" s="22" t="str">
        <f t="shared" si="263"/>
        <v/>
      </c>
      <c r="C174" s="23" t="str">
        <f t="shared" si="264"/>
        <v/>
      </c>
      <c r="D174" s="59"/>
      <c r="E174" s="23" t="str">
        <f t="shared" si="265"/>
        <v/>
      </c>
      <c r="F174" s="23" t="str">
        <f t="shared" si="265"/>
        <v/>
      </c>
      <c r="G174" s="23" t="str">
        <f t="shared" si="265"/>
        <v/>
      </c>
      <c r="H174" s="23"/>
      <c r="I174" s="23" t="str">
        <f t="shared" si="265"/>
        <v/>
      </c>
      <c r="J174" s="140" t="str">
        <f t="shared" si="267"/>
        <v>TFHCV3</v>
      </c>
      <c r="K174" s="195">
        <f t="shared" si="270"/>
        <v>13.576270721867905</v>
      </c>
      <c r="L174" s="195">
        <f t="shared" ref="L174:AQ174" si="272">IF(L$169=-1,M174,IF(L$169=99,K174,IF(L$169=0,INDEX($F52:$N52,0,L$167),(INDEX($F52:$N52,0,L$169+1)-INDEX($F52:$N52,0,L$169))/(INDEX($F$4:$N$4,0,L$169+1)-INDEX($F$4:$N$4,0,L$169))+K174)))</f>
        <v>13.793765988964743</v>
      </c>
      <c r="M174" s="195">
        <f t="shared" si="272"/>
        <v>14.011261256061582</v>
      </c>
      <c r="N174" s="195">
        <f t="shared" si="272"/>
        <v>14.22875652315842</v>
      </c>
      <c r="O174" s="195">
        <f t="shared" si="272"/>
        <v>14.347075919050081</v>
      </c>
      <c r="P174" s="195">
        <f t="shared" si="272"/>
        <v>14.465395314941743</v>
      </c>
      <c r="Q174" s="195">
        <f t="shared" si="272"/>
        <v>14.544372543930111</v>
      </c>
      <c r="R174" s="195">
        <f t="shared" si="272"/>
        <v>14.623349772918479</v>
      </c>
      <c r="S174" s="195">
        <f t="shared" si="272"/>
        <v>13.758153902644418</v>
      </c>
      <c r="T174" s="195">
        <f t="shared" si="272"/>
        <v>13.988142787039763</v>
      </c>
      <c r="U174" s="195">
        <f t="shared" si="272"/>
        <v>14.235296421901273</v>
      </c>
      <c r="V174" s="195">
        <f t="shared" si="272"/>
        <v>14.482450056762783</v>
      </c>
      <c r="W174" s="195">
        <f t="shared" si="272"/>
        <v>14.729603691624293</v>
      </c>
      <c r="X174" s="195">
        <f t="shared" si="272"/>
        <v>14.976757326485803</v>
      </c>
      <c r="Y174" s="195">
        <f t="shared" si="272"/>
        <v>15.223910961347313</v>
      </c>
      <c r="Z174" s="195">
        <f t="shared" si="272"/>
        <v>15.471064596208823</v>
      </c>
      <c r="AA174" s="195">
        <f t="shared" si="272"/>
        <v>15.718218231070333</v>
      </c>
      <c r="AB174" s="195">
        <f t="shared" si="272"/>
        <v>15.965371865931843</v>
      </c>
      <c r="AC174" s="195">
        <f t="shared" si="272"/>
        <v>16.212525500793355</v>
      </c>
      <c r="AD174" s="195">
        <f t="shared" si="272"/>
        <v>16.620240231129554</v>
      </c>
      <c r="AE174" s="195">
        <f t="shared" si="272"/>
        <v>17.027954961465753</v>
      </c>
      <c r="AF174" s="195">
        <f t="shared" si="272"/>
        <v>17.435669691801952</v>
      </c>
      <c r="AG174" s="195">
        <f t="shared" si="272"/>
        <v>17.843384422138151</v>
      </c>
      <c r="AH174" s="195">
        <f t="shared" si="272"/>
        <v>18.25109915247435</v>
      </c>
      <c r="AI174" s="195">
        <f t="shared" si="272"/>
        <v>18.658813882810549</v>
      </c>
      <c r="AJ174" s="195">
        <f t="shared" si="272"/>
        <v>19.066528613146748</v>
      </c>
      <c r="AK174" s="195">
        <f t="shared" si="272"/>
        <v>19.474243343482946</v>
      </c>
      <c r="AL174" s="195">
        <f t="shared" si="272"/>
        <v>19.881958073819145</v>
      </c>
      <c r="AM174" s="195">
        <f t="shared" si="272"/>
        <v>20.289672804155337</v>
      </c>
      <c r="AN174" s="195">
        <f t="shared" si="272"/>
        <v>20.88436254928736</v>
      </c>
      <c r="AO174" s="195">
        <f t="shared" si="272"/>
        <v>26.236570255475549</v>
      </c>
      <c r="AP174" s="195">
        <f t="shared" si="272"/>
        <v>26.236570255475549</v>
      </c>
      <c r="AQ174" s="195">
        <f t="shared" si="272"/>
        <v>26.236570255475549</v>
      </c>
      <c r="AZ174" s="195"/>
      <c r="BA174" s="195"/>
      <c r="BB174" s="195"/>
      <c r="BC174" s="195"/>
      <c r="BD174" s="195"/>
      <c r="BE174" s="195"/>
    </row>
    <row r="175" spans="1:78">
      <c r="A175" s="194" t="s">
        <v>16</v>
      </c>
      <c r="B175" s="22" t="str">
        <f t="shared" si="263"/>
        <v/>
      </c>
      <c r="C175" s="23" t="str">
        <f t="shared" si="264"/>
        <v/>
      </c>
      <c r="D175" s="59"/>
      <c r="E175" s="23" t="str">
        <f t="shared" si="265"/>
        <v/>
      </c>
      <c r="F175" s="23" t="str">
        <f t="shared" si="265"/>
        <v/>
      </c>
      <c r="G175" s="23" t="str">
        <f t="shared" si="265"/>
        <v/>
      </c>
      <c r="H175" s="23"/>
      <c r="I175" s="23" t="str">
        <f t="shared" si="265"/>
        <v/>
      </c>
      <c r="J175" s="140" t="str">
        <f t="shared" si="267"/>
        <v>TFHCV4</v>
      </c>
      <c r="K175" s="195">
        <f t="shared" si="270"/>
        <v>4.515932780515814</v>
      </c>
      <c r="L175" s="195">
        <f t="shared" ref="L175:AQ175" si="273">IF(L$169=-1,M175,IF(L$169=99,K175,IF(L$169=0,INDEX($F53:$N53,0,L$167),(INDEX($F53:$N53,0,L$169+1)-INDEX($F53:$N53,0,L$169))/(INDEX($F$4:$N$4,0,L$169+1)-INDEX($F$4:$N$4,0,L$169))+K175)))</f>
        <v>4.5882791579865865</v>
      </c>
      <c r="M175" s="195">
        <f t="shared" si="273"/>
        <v>4.6606255354573589</v>
      </c>
      <c r="N175" s="195">
        <f t="shared" si="273"/>
        <v>4.7329719129281322</v>
      </c>
      <c r="O175" s="195">
        <f t="shared" si="273"/>
        <v>4.7723289977583079</v>
      </c>
      <c r="P175" s="195">
        <f t="shared" si="273"/>
        <v>4.8116860825884835</v>
      </c>
      <c r="Q175" s="195">
        <f t="shared" si="273"/>
        <v>4.8379566147993938</v>
      </c>
      <c r="R175" s="195">
        <f t="shared" si="273"/>
        <v>4.864227147010304</v>
      </c>
      <c r="S175" s="195">
        <f t="shared" si="273"/>
        <v>4.5764333579660059</v>
      </c>
      <c r="T175" s="195">
        <f t="shared" si="273"/>
        <v>4.6529355405957507</v>
      </c>
      <c r="U175" s="195">
        <f t="shared" si="273"/>
        <v>4.7351473073143486</v>
      </c>
      <c r="V175" s="195">
        <f t="shared" si="273"/>
        <v>4.8173590740329466</v>
      </c>
      <c r="W175" s="195">
        <f t="shared" si="273"/>
        <v>4.8995708407515446</v>
      </c>
      <c r="X175" s="195">
        <f t="shared" si="273"/>
        <v>4.9817826074701426</v>
      </c>
      <c r="Y175" s="195">
        <f t="shared" si="273"/>
        <v>5.0639943741887405</v>
      </c>
      <c r="Z175" s="195">
        <f t="shared" si="273"/>
        <v>5.1462061409073385</v>
      </c>
      <c r="AA175" s="195">
        <f t="shared" si="273"/>
        <v>5.2284179076259365</v>
      </c>
      <c r="AB175" s="195">
        <f t="shared" si="273"/>
        <v>5.3106296743445345</v>
      </c>
      <c r="AC175" s="195">
        <f t="shared" si="273"/>
        <v>5.3928414410631289</v>
      </c>
      <c r="AD175" s="195">
        <f t="shared" si="273"/>
        <v>5.5284613291417219</v>
      </c>
      <c r="AE175" s="195">
        <f t="shared" si="273"/>
        <v>5.664081217220315</v>
      </c>
      <c r="AF175" s="195">
        <f t="shared" si="273"/>
        <v>5.799701105298908</v>
      </c>
      <c r="AG175" s="195">
        <f t="shared" si="273"/>
        <v>5.9353209933775011</v>
      </c>
      <c r="AH175" s="195">
        <f t="shared" si="273"/>
        <v>6.0709408814560941</v>
      </c>
      <c r="AI175" s="195">
        <f t="shared" si="273"/>
        <v>6.2065607695346872</v>
      </c>
      <c r="AJ175" s="195">
        <f t="shared" si="273"/>
        <v>6.3421806576132802</v>
      </c>
      <c r="AK175" s="195">
        <f t="shared" si="273"/>
        <v>6.4778005456918732</v>
      </c>
      <c r="AL175" s="195">
        <f t="shared" si="273"/>
        <v>6.6134204337704663</v>
      </c>
      <c r="AM175" s="195">
        <f t="shared" si="273"/>
        <v>6.7490403218490576</v>
      </c>
      <c r="AN175" s="195">
        <f t="shared" si="273"/>
        <v>6.9468545058246693</v>
      </c>
      <c r="AO175" s="195">
        <f t="shared" si="273"/>
        <v>8.7271821616051746</v>
      </c>
      <c r="AP175" s="195">
        <f t="shared" si="273"/>
        <v>8.7271821616051746</v>
      </c>
      <c r="AQ175" s="195">
        <f t="shared" si="273"/>
        <v>8.7271821616051746</v>
      </c>
      <c r="AZ175" s="195"/>
      <c r="BA175" s="195"/>
      <c r="BB175" s="195"/>
      <c r="BC175" s="195"/>
      <c r="BD175" s="195"/>
      <c r="BE175" s="195"/>
    </row>
    <row r="176" spans="1:78">
      <c r="A176" s="194" t="s">
        <v>16</v>
      </c>
      <c r="B176" s="22" t="str">
        <f t="shared" si="263"/>
        <v/>
      </c>
      <c r="C176" s="23" t="str">
        <f t="shared" si="264"/>
        <v/>
      </c>
      <c r="D176" s="59"/>
      <c r="E176" s="23" t="str">
        <f t="shared" si="265"/>
        <v/>
      </c>
      <c r="F176" s="23" t="str">
        <f t="shared" si="265"/>
        <v/>
      </c>
      <c r="G176" s="23" t="str">
        <f t="shared" si="265"/>
        <v/>
      </c>
      <c r="H176" s="23"/>
      <c r="I176" s="23" t="str">
        <f t="shared" si="265"/>
        <v/>
      </c>
      <c r="J176" s="140" t="str">
        <f t="shared" si="267"/>
        <v>TFHCV5</v>
      </c>
      <c r="K176" s="195">
        <f t="shared" si="270"/>
        <v>2.9750185434856067</v>
      </c>
      <c r="L176" s="195">
        <f t="shared" ref="L176:AQ176" si="274">IF(L$169=-1,M176,IF(L$169=99,K176,IF(L$169=0,INDEX($F54:$N54,0,L$167),(INDEX($F54:$N54,0,L$169+1)-INDEX($F54:$N54,0,L$169))/(INDEX($F$4:$N$4,0,L$169+1)-INDEX($F$4:$N$4,0,L$169))+K176)))</f>
        <v>3.0226790878272287</v>
      </c>
      <c r="M176" s="195">
        <f t="shared" si="274"/>
        <v>3.0703396321688508</v>
      </c>
      <c r="N176" s="195">
        <f t="shared" si="274"/>
        <v>3.1180001765104728</v>
      </c>
      <c r="O176" s="195">
        <f t="shared" si="274"/>
        <v>3.1439279444552239</v>
      </c>
      <c r="P176" s="195">
        <f t="shared" si="274"/>
        <v>3.1698557123999747</v>
      </c>
      <c r="Q176" s="195">
        <f t="shared" si="274"/>
        <v>3.1871622854322172</v>
      </c>
      <c r="R176" s="195">
        <f t="shared" si="274"/>
        <v>3.2044688584644594</v>
      </c>
      <c r="S176" s="195">
        <f t="shared" si="274"/>
        <v>3.0148752793038378</v>
      </c>
      <c r="T176" s="195">
        <f t="shared" si="274"/>
        <v>3.0652735963298534</v>
      </c>
      <c r="U176" s="195">
        <f t="shared" si="274"/>
        <v>3.1194332887716447</v>
      </c>
      <c r="V176" s="195">
        <f t="shared" si="274"/>
        <v>3.173592981213436</v>
      </c>
      <c r="W176" s="195">
        <f t="shared" si="274"/>
        <v>3.2277526736552273</v>
      </c>
      <c r="X176" s="195">
        <f t="shared" si="274"/>
        <v>3.2819123660970186</v>
      </c>
      <c r="Y176" s="195">
        <f t="shared" si="274"/>
        <v>3.3360720585388099</v>
      </c>
      <c r="Z176" s="195">
        <f t="shared" si="274"/>
        <v>3.3902317509806013</v>
      </c>
      <c r="AA176" s="195">
        <f t="shared" si="274"/>
        <v>3.4443914434223926</v>
      </c>
      <c r="AB176" s="195">
        <f t="shared" si="274"/>
        <v>3.4985511358641839</v>
      </c>
      <c r="AC176" s="195">
        <f t="shared" si="274"/>
        <v>3.552710828305977</v>
      </c>
      <c r="AD176" s="195">
        <f t="shared" si="274"/>
        <v>3.6420548689524748</v>
      </c>
      <c r="AE176" s="195">
        <f t="shared" si="274"/>
        <v>3.7313989095989726</v>
      </c>
      <c r="AF176" s="195">
        <f t="shared" si="274"/>
        <v>3.8207429502454704</v>
      </c>
      <c r="AG176" s="195">
        <f t="shared" si="274"/>
        <v>3.9100869908919682</v>
      </c>
      <c r="AH176" s="195">
        <f t="shared" si="274"/>
        <v>3.999431031538466</v>
      </c>
      <c r="AI176" s="195">
        <f t="shared" si="274"/>
        <v>4.0887750721849638</v>
      </c>
      <c r="AJ176" s="195">
        <f t="shared" si="274"/>
        <v>4.1781191128314612</v>
      </c>
      <c r="AK176" s="195">
        <f t="shared" si="274"/>
        <v>4.2674631534779586</v>
      </c>
      <c r="AL176" s="195">
        <f t="shared" si="274"/>
        <v>4.3568071941244559</v>
      </c>
      <c r="AM176" s="195">
        <f t="shared" si="274"/>
        <v>4.4461512347709542</v>
      </c>
      <c r="AN176" s="195">
        <f t="shared" si="274"/>
        <v>4.5764678037046265</v>
      </c>
      <c r="AO176" s="195">
        <f t="shared" si="274"/>
        <v>5.7493169241076743</v>
      </c>
      <c r="AP176" s="195">
        <f t="shared" si="274"/>
        <v>5.7493169241076743</v>
      </c>
      <c r="AQ176" s="195">
        <f t="shared" si="274"/>
        <v>5.7493169241076743</v>
      </c>
      <c r="AZ176" s="195"/>
      <c r="BA176" s="195"/>
      <c r="BB176" s="195"/>
      <c r="BC176" s="195"/>
      <c r="BD176" s="195"/>
      <c r="BE176" s="195"/>
    </row>
    <row r="177" spans="1:57">
      <c r="A177" s="194" t="s">
        <v>16</v>
      </c>
      <c r="B177" s="22" t="str">
        <f t="shared" si="263"/>
        <v/>
      </c>
      <c r="C177" s="23" t="str">
        <f t="shared" si="264"/>
        <v/>
      </c>
      <c r="D177" s="59"/>
      <c r="E177" s="23" t="str">
        <f t="shared" si="265"/>
        <v/>
      </c>
      <c r="F177" s="23" t="str">
        <f t="shared" si="265"/>
        <v/>
      </c>
      <c r="G177" s="23" t="str">
        <f t="shared" si="265"/>
        <v/>
      </c>
      <c r="H177" s="23"/>
      <c r="I177" s="23" t="str">
        <f t="shared" si="265"/>
        <v/>
      </c>
      <c r="J177" s="140" t="str">
        <f t="shared" si="267"/>
        <v>TFHCV6</v>
      </c>
      <c r="K177" s="195">
        <f t="shared" si="270"/>
        <v>98.309314568087203</v>
      </c>
      <c r="L177" s="195">
        <f t="shared" ref="L177:AQ177" si="275">IF(L$169=-1,M177,IF(L$169=99,K177,IF(L$169=0,INDEX($F55:$N55,0,L$167),(INDEX($F55:$N55,0,L$169+1)-INDEX($F55:$N55,0,L$169))/(INDEX($F$4:$N$4,0,L$169+1)-INDEX($F$4:$N$4,0,L$169))+K177)))</f>
        <v>99.884254481126248</v>
      </c>
      <c r="M177" s="195">
        <f t="shared" si="275"/>
        <v>101.45919439416529</v>
      </c>
      <c r="N177" s="195">
        <f t="shared" si="275"/>
        <v>103.03413430720434</v>
      </c>
      <c r="O177" s="195">
        <f t="shared" si="275"/>
        <v>103.89091588946047</v>
      </c>
      <c r="P177" s="195">
        <f t="shared" si="275"/>
        <v>104.74769747171659</v>
      </c>
      <c r="Q177" s="195">
        <f t="shared" si="275"/>
        <v>105.31959217000271</v>
      </c>
      <c r="R177" s="195">
        <f t="shared" si="275"/>
        <v>105.89148686828882</v>
      </c>
      <c r="S177" s="195">
        <f t="shared" si="275"/>
        <v>99.626378082797544</v>
      </c>
      <c r="T177" s="195">
        <f t="shared" si="275"/>
        <v>101.29178753480312</v>
      </c>
      <c r="U177" s="195">
        <f t="shared" si="275"/>
        <v>103.081491418441</v>
      </c>
      <c r="V177" s="195">
        <f t="shared" si="275"/>
        <v>104.87119530207889</v>
      </c>
      <c r="W177" s="195">
        <f t="shared" si="275"/>
        <v>106.66089918571677</v>
      </c>
      <c r="X177" s="195">
        <f t="shared" si="275"/>
        <v>108.45060306935466</v>
      </c>
      <c r="Y177" s="195">
        <f t="shared" si="275"/>
        <v>110.24030695299254</v>
      </c>
      <c r="Z177" s="195">
        <f t="shared" si="275"/>
        <v>112.03001083663042</v>
      </c>
      <c r="AA177" s="195">
        <f t="shared" si="275"/>
        <v>113.81971472026831</v>
      </c>
      <c r="AB177" s="195">
        <f t="shared" si="275"/>
        <v>115.60941860390619</v>
      </c>
      <c r="AC177" s="195">
        <f t="shared" si="275"/>
        <v>117.39912248754413</v>
      </c>
      <c r="AD177" s="195">
        <f t="shared" si="275"/>
        <v>120.35149110922329</v>
      </c>
      <c r="AE177" s="195">
        <f t="shared" si="275"/>
        <v>123.30385973090245</v>
      </c>
      <c r="AF177" s="195">
        <f t="shared" si="275"/>
        <v>126.2562283525816</v>
      </c>
      <c r="AG177" s="195">
        <f t="shared" si="275"/>
        <v>129.20859697426076</v>
      </c>
      <c r="AH177" s="195">
        <f t="shared" si="275"/>
        <v>132.1609655959399</v>
      </c>
      <c r="AI177" s="195">
        <f t="shared" si="275"/>
        <v>135.11333421761904</v>
      </c>
      <c r="AJ177" s="195">
        <f t="shared" si="275"/>
        <v>138.06570283929818</v>
      </c>
      <c r="AK177" s="195">
        <f t="shared" si="275"/>
        <v>141.01807146097732</v>
      </c>
      <c r="AL177" s="195">
        <f t="shared" si="275"/>
        <v>143.97044008265647</v>
      </c>
      <c r="AM177" s="195">
        <f t="shared" si="275"/>
        <v>146.92280870433564</v>
      </c>
      <c r="AN177" s="195">
        <f t="shared" si="275"/>
        <v>151.2291121379015</v>
      </c>
      <c r="AO177" s="195">
        <f t="shared" si="275"/>
        <v>189.98584303999428</v>
      </c>
      <c r="AP177" s="195">
        <f t="shared" si="275"/>
        <v>189.98584303999428</v>
      </c>
      <c r="AQ177" s="195">
        <f t="shared" si="275"/>
        <v>189.98584303999428</v>
      </c>
      <c r="AZ177" s="195"/>
      <c r="BA177" s="195"/>
      <c r="BB177" s="195"/>
      <c r="BC177" s="195"/>
      <c r="BD177" s="195"/>
      <c r="BE177" s="195"/>
    </row>
    <row r="178" spans="1:57">
      <c r="A178" s="194" t="s">
        <v>16</v>
      </c>
      <c r="B178" s="22" t="str">
        <f t="shared" si="263"/>
        <v/>
      </c>
      <c r="C178" s="23" t="str">
        <f t="shared" si="264"/>
        <v/>
      </c>
      <c r="D178" s="59"/>
      <c r="E178" s="23" t="str">
        <f t="shared" si="265"/>
        <v/>
      </c>
      <c r="F178" s="23" t="str">
        <f t="shared" si="265"/>
        <v/>
      </c>
      <c r="G178" s="23" t="str">
        <f t="shared" si="265"/>
        <v/>
      </c>
      <c r="H178" s="23"/>
      <c r="I178" s="23" t="str">
        <f t="shared" si="265"/>
        <v/>
      </c>
      <c r="J178" s="140" t="str">
        <f t="shared" si="267"/>
        <v>TFHCV7</v>
      </c>
      <c r="K178" s="195">
        <f t="shared" si="270"/>
        <v>28.003212301240232</v>
      </c>
      <c r="L178" s="195">
        <f t="shared" ref="L178:AQ178" si="276">IF(L$169=-1,M178,IF(L$169=99,K178,IF(L$169=0,INDEX($F56:$N56,0,L$167),(INDEX($F56:$N56,0,L$169+1)-INDEX($F56:$N56,0,L$169))/(INDEX($F$4:$N$4,0,L$169+1)-INDEX($F$4:$N$4,0,L$169))+K178)))</f>
        <v>28.451830796245446</v>
      </c>
      <c r="M178" s="195">
        <f t="shared" si="276"/>
        <v>28.900449291250659</v>
      </c>
      <c r="N178" s="195">
        <f t="shared" si="276"/>
        <v>29.349067786255869</v>
      </c>
      <c r="O178" s="195">
        <f t="shared" si="276"/>
        <v>29.593120312195246</v>
      </c>
      <c r="P178" s="195">
        <f t="shared" si="276"/>
        <v>29.837172838134627</v>
      </c>
      <c r="Q178" s="195">
        <f t="shared" si="276"/>
        <v>30.000075903021404</v>
      </c>
      <c r="R178" s="195">
        <f t="shared" si="276"/>
        <v>30.162978967908185</v>
      </c>
      <c r="S178" s="195">
        <f t="shared" si="276"/>
        <v>28.378375218189547</v>
      </c>
      <c r="T178" s="195">
        <f t="shared" si="276"/>
        <v>28.852763781042402</v>
      </c>
      <c r="U178" s="195">
        <f t="shared" si="276"/>
        <v>29.362557364997823</v>
      </c>
      <c r="V178" s="195">
        <f t="shared" si="276"/>
        <v>29.872350948953244</v>
      </c>
      <c r="W178" s="195">
        <f t="shared" si="276"/>
        <v>30.382144532908665</v>
      </c>
      <c r="X178" s="195">
        <f t="shared" si="276"/>
        <v>30.891938116864086</v>
      </c>
      <c r="Y178" s="195">
        <f t="shared" si="276"/>
        <v>31.401731700819507</v>
      </c>
      <c r="Z178" s="195">
        <f t="shared" si="276"/>
        <v>31.911525284774928</v>
      </c>
      <c r="AA178" s="195">
        <f t="shared" si="276"/>
        <v>32.421318868730346</v>
      </c>
      <c r="AB178" s="195">
        <f t="shared" si="276"/>
        <v>32.931112452685767</v>
      </c>
      <c r="AC178" s="195">
        <f t="shared" si="276"/>
        <v>33.440906036641188</v>
      </c>
      <c r="AD178" s="195">
        <f t="shared" si="276"/>
        <v>34.281882353764644</v>
      </c>
      <c r="AE178" s="195">
        <f t="shared" si="276"/>
        <v>35.1228586708881</v>
      </c>
      <c r="AF178" s="195">
        <f t="shared" si="276"/>
        <v>35.963834988011556</v>
      </c>
      <c r="AG178" s="195">
        <f t="shared" si="276"/>
        <v>36.804811305135011</v>
      </c>
      <c r="AH178" s="195">
        <f t="shared" si="276"/>
        <v>37.645787622258467</v>
      </c>
      <c r="AI178" s="195">
        <f t="shared" si="276"/>
        <v>38.486763939381923</v>
      </c>
      <c r="AJ178" s="195">
        <f t="shared" si="276"/>
        <v>39.327740256505379</v>
      </c>
      <c r="AK178" s="195">
        <f t="shared" si="276"/>
        <v>40.168716573628835</v>
      </c>
      <c r="AL178" s="195">
        <f t="shared" si="276"/>
        <v>41.009692890752291</v>
      </c>
      <c r="AM178" s="195">
        <f t="shared" si="276"/>
        <v>41.85066920787574</v>
      </c>
      <c r="AN178" s="195">
        <f t="shared" si="276"/>
        <v>43.077311157456073</v>
      </c>
      <c r="AO178" s="195">
        <f t="shared" si="276"/>
        <v>54.117088703679066</v>
      </c>
      <c r="AP178" s="195">
        <f t="shared" si="276"/>
        <v>54.117088703679066</v>
      </c>
      <c r="AQ178" s="195">
        <f t="shared" si="276"/>
        <v>54.117088703679066</v>
      </c>
      <c r="AZ178" s="195"/>
      <c r="BA178" s="195"/>
      <c r="BB178" s="195"/>
      <c r="BC178" s="195"/>
      <c r="BD178" s="195"/>
      <c r="BE178" s="195"/>
    </row>
    <row r="179" spans="1:57">
      <c r="A179" s="194" t="s">
        <v>16</v>
      </c>
      <c r="B179" s="22" t="str">
        <f t="shared" si="263"/>
        <v/>
      </c>
      <c r="C179" s="23" t="str">
        <f t="shared" si="264"/>
        <v/>
      </c>
      <c r="D179" s="59"/>
      <c r="E179" s="23" t="str">
        <f t="shared" si="265"/>
        <v/>
      </c>
      <c r="F179" s="23" t="str">
        <f t="shared" si="265"/>
        <v/>
      </c>
      <c r="G179" s="23" t="str">
        <f t="shared" si="265"/>
        <v/>
      </c>
      <c r="H179" s="23"/>
      <c r="I179" s="23" t="str">
        <f t="shared" si="265"/>
        <v/>
      </c>
      <c r="J179" s="140" t="str">
        <f t="shared" si="267"/>
        <v>TFHCV8</v>
      </c>
      <c r="K179" s="195">
        <f t="shared" si="270"/>
        <v>1.0763192990282064</v>
      </c>
      <c r="L179" s="195">
        <f t="shared" ref="L179:AQ179" si="277">IF(L$169=-1,M179,IF(L$169=99,K179,IF(L$169=0,INDEX($F57:$N57,0,L$167),(INDEX($F57:$N57,0,L$169+1)-INDEX($F57:$N57,0,L$169))/(INDEX($F$4:$N$4,0,L$169+1)-INDEX($F$4:$N$4,0,L$169))+K179)))</f>
        <v>1.0935622045520743</v>
      </c>
      <c r="M179" s="195">
        <f t="shared" si="277"/>
        <v>1.1108051100759422</v>
      </c>
      <c r="N179" s="195">
        <f t="shared" si="277"/>
        <v>1.12804801559981</v>
      </c>
      <c r="O179" s="195">
        <f t="shared" si="277"/>
        <v>1.1374283124321667</v>
      </c>
      <c r="P179" s="195">
        <f t="shared" si="277"/>
        <v>1.1468086092645235</v>
      </c>
      <c r="Q179" s="195">
        <f t="shared" si="277"/>
        <v>1.1530698806759008</v>
      </c>
      <c r="R179" s="195">
        <f t="shared" si="277"/>
        <v>1.159331152087278</v>
      </c>
      <c r="S179" s="195">
        <f t="shared" si="277"/>
        <v>1.0907388978745283</v>
      </c>
      <c r="T179" s="195">
        <f t="shared" si="277"/>
        <v>1.1089722905276336</v>
      </c>
      <c r="U179" s="195">
        <f t="shared" si="277"/>
        <v>1.1285664951863497</v>
      </c>
      <c r="V179" s="195">
        <f t="shared" si="277"/>
        <v>1.1481606998450657</v>
      </c>
      <c r="W179" s="195">
        <f t="shared" si="277"/>
        <v>1.1677549045037818</v>
      </c>
      <c r="X179" s="195">
        <f t="shared" si="277"/>
        <v>1.1873491091624979</v>
      </c>
      <c r="Y179" s="195">
        <f t="shared" si="277"/>
        <v>1.206943313821214</v>
      </c>
      <c r="Z179" s="195">
        <f t="shared" si="277"/>
        <v>1.2265375184799301</v>
      </c>
      <c r="AA179" s="195">
        <f t="shared" si="277"/>
        <v>1.2461317231386462</v>
      </c>
      <c r="AB179" s="195">
        <f t="shared" si="277"/>
        <v>1.2657259277973623</v>
      </c>
      <c r="AC179" s="195">
        <f t="shared" si="277"/>
        <v>1.2853201324560779</v>
      </c>
      <c r="AD179" s="195">
        <f t="shared" si="277"/>
        <v>1.3176435327291798</v>
      </c>
      <c r="AE179" s="195">
        <f t="shared" si="277"/>
        <v>1.3499669330022817</v>
      </c>
      <c r="AF179" s="195">
        <f t="shared" si="277"/>
        <v>1.3822903332753835</v>
      </c>
      <c r="AG179" s="195">
        <f t="shared" si="277"/>
        <v>1.4146137335484854</v>
      </c>
      <c r="AH179" s="195">
        <f t="shared" si="277"/>
        <v>1.4469371338215873</v>
      </c>
      <c r="AI179" s="195">
        <f t="shared" si="277"/>
        <v>1.4792605340946892</v>
      </c>
      <c r="AJ179" s="195">
        <f t="shared" si="277"/>
        <v>1.511583934367791</v>
      </c>
      <c r="AK179" s="195">
        <f t="shared" si="277"/>
        <v>1.5439073346408929</v>
      </c>
      <c r="AL179" s="195">
        <f t="shared" si="277"/>
        <v>1.5762307349139948</v>
      </c>
      <c r="AM179" s="195">
        <f t="shared" si="277"/>
        <v>1.6085541351870973</v>
      </c>
      <c r="AN179" s="195">
        <f t="shared" si="277"/>
        <v>1.6557008121157446</v>
      </c>
      <c r="AO179" s="195">
        <f t="shared" si="277"/>
        <v>2.0800209044735705</v>
      </c>
      <c r="AP179" s="195">
        <f t="shared" si="277"/>
        <v>2.0800209044735705</v>
      </c>
      <c r="AQ179" s="195">
        <f t="shared" si="277"/>
        <v>2.0800209044735705</v>
      </c>
      <c r="AZ179" s="195"/>
      <c r="BA179" s="195"/>
      <c r="BB179" s="195"/>
      <c r="BC179" s="195"/>
      <c r="BD179" s="195"/>
      <c r="BE179" s="195"/>
    </row>
    <row r="180" spans="1:57">
      <c r="A180" s="194" t="s">
        <v>16</v>
      </c>
      <c r="B180" s="22"/>
      <c r="C180" s="23"/>
      <c r="D180" s="59"/>
      <c r="E180" s="23"/>
      <c r="F180" s="23"/>
      <c r="G180" s="23"/>
      <c r="H180" s="23"/>
      <c r="I180" s="23"/>
      <c r="J180" s="140" t="str">
        <f t="shared" si="267"/>
        <v>TFHCV9</v>
      </c>
      <c r="K180" s="195">
        <f t="shared" si="270"/>
        <v>0.87560973396075781</v>
      </c>
      <c r="L180" s="195">
        <f t="shared" ref="L180:AQ180" si="278">IF(L$169=-1,M180,IF(L$169=99,K180,IF(L$169=0,INDEX($F58:$N58,0,L$167),(INDEX($F58:$N58,0,L$169+1)-INDEX($F58:$N58,0,L$169))/(INDEX($F$4:$N$4,0,L$169+1)-INDEX($F$4:$N$4,0,L$169))+K180)))</f>
        <v>0.88963722183735383</v>
      </c>
      <c r="M180" s="195">
        <f t="shared" si="278"/>
        <v>0.90366470971394985</v>
      </c>
      <c r="N180" s="195">
        <f t="shared" si="278"/>
        <v>0.91769219759054577</v>
      </c>
      <c r="O180" s="195">
        <f t="shared" si="278"/>
        <v>0.92532327808986281</v>
      </c>
      <c r="P180" s="195">
        <f t="shared" si="278"/>
        <v>0.93295435858917986</v>
      </c>
      <c r="Q180" s="195">
        <f t="shared" si="278"/>
        <v>0.93804804240561068</v>
      </c>
      <c r="R180" s="195">
        <f t="shared" si="278"/>
        <v>0.94314172622204151</v>
      </c>
      <c r="S180" s="195">
        <f t="shared" si="278"/>
        <v>0.88734039894191019</v>
      </c>
      <c r="T180" s="195">
        <f t="shared" si="278"/>
        <v>0.90217367016969785</v>
      </c>
      <c r="U180" s="195">
        <f t="shared" si="278"/>
        <v>0.91811399228775492</v>
      </c>
      <c r="V180" s="195">
        <f t="shared" si="278"/>
        <v>0.93405431440581199</v>
      </c>
      <c r="W180" s="195">
        <f t="shared" si="278"/>
        <v>0.94999463652386906</v>
      </c>
      <c r="X180" s="195">
        <f t="shared" si="278"/>
        <v>0.96593495864192613</v>
      </c>
      <c r="Y180" s="195">
        <f t="shared" si="278"/>
        <v>0.9818752807599832</v>
      </c>
      <c r="Z180" s="195">
        <f t="shared" si="278"/>
        <v>0.99781560287804028</v>
      </c>
      <c r="AA180" s="195">
        <f t="shared" si="278"/>
        <v>1.0137559249960972</v>
      </c>
      <c r="AB180" s="195">
        <f t="shared" si="278"/>
        <v>1.0296962471141542</v>
      </c>
      <c r="AC180" s="195">
        <f t="shared" si="278"/>
        <v>1.0456365692322114</v>
      </c>
      <c r="AD180" s="195">
        <f t="shared" si="278"/>
        <v>1.0719323756340775</v>
      </c>
      <c r="AE180" s="195">
        <f t="shared" si="278"/>
        <v>1.0982281820359436</v>
      </c>
      <c r="AF180" s="195">
        <f t="shared" si="278"/>
        <v>1.1245239884378098</v>
      </c>
      <c r="AG180" s="195">
        <f t="shared" si="278"/>
        <v>1.1508197948396759</v>
      </c>
      <c r="AH180" s="195">
        <f t="shared" si="278"/>
        <v>1.177115601241542</v>
      </c>
      <c r="AI180" s="195">
        <f t="shared" si="278"/>
        <v>1.2034114076434081</v>
      </c>
      <c r="AJ180" s="195">
        <f t="shared" si="278"/>
        <v>1.2297072140452743</v>
      </c>
      <c r="AK180" s="195">
        <f t="shared" si="278"/>
        <v>1.2560030204471404</v>
      </c>
      <c r="AL180" s="195">
        <f t="shared" si="278"/>
        <v>1.2822988268490065</v>
      </c>
      <c r="AM180" s="195">
        <f t="shared" si="278"/>
        <v>1.3085946332508718</v>
      </c>
      <c r="AN180" s="195">
        <f t="shared" si="278"/>
        <v>1.3469495055270631</v>
      </c>
      <c r="AO180" s="195">
        <f t="shared" si="278"/>
        <v>1.6921433560127854</v>
      </c>
      <c r="AP180" s="195">
        <f t="shared" si="278"/>
        <v>1.6921433560127854</v>
      </c>
      <c r="AQ180" s="195">
        <f t="shared" si="278"/>
        <v>1.6921433560127854</v>
      </c>
      <c r="AZ180" s="195"/>
      <c r="BA180" s="195"/>
      <c r="BB180" s="195"/>
      <c r="BC180" s="195"/>
      <c r="BD180" s="195"/>
      <c r="BE180" s="195"/>
    </row>
    <row r="181" spans="1:57">
      <c r="A181" s="194" t="s">
        <v>16</v>
      </c>
      <c r="B181" s="22"/>
      <c r="C181" s="23"/>
      <c r="D181" s="59"/>
      <c r="E181" s="23"/>
      <c r="F181" s="23"/>
      <c r="G181" s="23"/>
      <c r="H181" s="23"/>
      <c r="I181" s="23"/>
      <c r="J181" s="140" t="str">
        <f t="shared" si="267"/>
        <v>TFRCO</v>
      </c>
      <c r="K181" s="195">
        <f t="shared" ref="K181:AQ181" si="279">L142</f>
        <v>22</v>
      </c>
      <c r="L181" s="195">
        <f t="shared" si="279"/>
        <v>22.352445526032646</v>
      </c>
      <c r="M181" s="195">
        <f t="shared" si="279"/>
        <v>22.704891052065292</v>
      </c>
      <c r="N181" s="195">
        <f t="shared" si="279"/>
        <v>23.057336578097942</v>
      </c>
      <c r="O181" s="195">
        <f t="shared" si="279"/>
        <v>23.249070137552067</v>
      </c>
      <c r="P181" s="195">
        <f t="shared" si="279"/>
        <v>23.440803697006192</v>
      </c>
      <c r="Q181" s="195">
        <f t="shared" si="279"/>
        <v>23.568784279696359</v>
      </c>
      <c r="R181" s="195">
        <f t="shared" si="279"/>
        <v>23.696764862386523</v>
      </c>
      <c r="S181" s="195">
        <f t="shared" si="279"/>
        <v>22.294737049596232</v>
      </c>
      <c r="T181" s="195">
        <f t="shared" si="279"/>
        <v>22.667428163404651</v>
      </c>
      <c r="U181" s="195">
        <f t="shared" si="279"/>
        <v>23.0679343169977</v>
      </c>
      <c r="V181" s="195">
        <f t="shared" si="279"/>
        <v>23.46844047059075</v>
      </c>
      <c r="W181" s="195">
        <f t="shared" si="279"/>
        <v>23.868946624183799</v>
      </c>
      <c r="X181" s="195">
        <f t="shared" si="279"/>
        <v>24.269452777776849</v>
      </c>
      <c r="Y181" s="195">
        <f t="shared" si="279"/>
        <v>24.669958931369898</v>
      </c>
      <c r="Z181" s="195">
        <f t="shared" si="279"/>
        <v>25.070465084962947</v>
      </c>
      <c r="AA181" s="195">
        <f t="shared" si="279"/>
        <v>25.470971238555997</v>
      </c>
      <c r="AB181" s="195">
        <f t="shared" si="279"/>
        <v>25.871477392149046</v>
      </c>
      <c r="AC181" s="195">
        <f t="shared" si="279"/>
        <v>26.271983545742081</v>
      </c>
      <c r="AD181" s="195">
        <f t="shared" si="279"/>
        <v>26.932674854213737</v>
      </c>
      <c r="AE181" s="195">
        <f t="shared" si="279"/>
        <v>27.593366162685392</v>
      </c>
      <c r="AF181" s="195">
        <f t="shared" si="279"/>
        <v>28.254057471157047</v>
      </c>
      <c r="AG181" s="195">
        <f t="shared" si="279"/>
        <v>28.914748779628702</v>
      </c>
      <c r="AH181" s="195">
        <f t="shared" si="279"/>
        <v>29.575440088100358</v>
      </c>
      <c r="AI181" s="195">
        <f t="shared" si="279"/>
        <v>30.236131396572013</v>
      </c>
      <c r="AJ181" s="195">
        <f t="shared" si="279"/>
        <v>30.896822705043668</v>
      </c>
      <c r="AK181" s="195">
        <f t="shared" si="279"/>
        <v>31.557514013515323</v>
      </c>
      <c r="AL181" s="195">
        <f t="shared" si="279"/>
        <v>32.218205321986979</v>
      </c>
      <c r="AM181" s="195">
        <f t="shared" si="279"/>
        <v>32.878896630458648</v>
      </c>
      <c r="AN181" s="195">
        <f t="shared" si="279"/>
        <v>37.697294355774616</v>
      </c>
      <c r="AO181" s="195">
        <f t="shared" si="279"/>
        <v>42.515692081090613</v>
      </c>
      <c r="AP181" s="195">
        <f t="shared" si="279"/>
        <v>42.515692081090613</v>
      </c>
      <c r="AQ181" s="195">
        <f t="shared" si="279"/>
        <v>42.515692081090613</v>
      </c>
      <c r="AZ181" s="195"/>
      <c r="BA181" s="195"/>
      <c r="BB181" s="195"/>
      <c r="BC181" s="195"/>
      <c r="BD181" s="195"/>
      <c r="BE181" s="195"/>
    </row>
    <row r="182" spans="1:57">
      <c r="A182" s="194" t="s">
        <v>16</v>
      </c>
      <c r="B182" s="22"/>
      <c r="C182" s="23"/>
      <c r="D182" s="59"/>
      <c r="E182" s="23"/>
      <c r="F182" s="23"/>
      <c r="G182" s="23"/>
      <c r="H182" s="23"/>
      <c r="I182" s="23"/>
      <c r="J182" s="140" t="str">
        <f t="shared" si="267"/>
        <v>TFROT</v>
      </c>
      <c r="K182" s="195">
        <f t="shared" ref="K182:AQ182" si="280">L143</f>
        <v>25.1</v>
      </c>
      <c r="L182" s="195">
        <f t="shared" si="280"/>
        <v>25.502108304700894</v>
      </c>
      <c r="M182" s="195">
        <f t="shared" si="280"/>
        <v>25.904216609401786</v>
      </c>
      <c r="N182" s="195">
        <f t="shared" si="280"/>
        <v>26.306324914102674</v>
      </c>
      <c r="O182" s="195">
        <f t="shared" si="280"/>
        <v>26.525075475116246</v>
      </c>
      <c r="P182" s="195">
        <f t="shared" si="280"/>
        <v>26.743826036129814</v>
      </c>
      <c r="Q182" s="195">
        <f t="shared" si="280"/>
        <v>26.889840246380864</v>
      </c>
      <c r="R182" s="195">
        <f t="shared" si="280"/>
        <v>27.035854456631917</v>
      </c>
      <c r="S182" s="195">
        <f t="shared" si="280"/>
        <v>25.436268179312091</v>
      </c>
      <c r="T182" s="195">
        <f t="shared" si="280"/>
        <v>25.861474859157145</v>
      </c>
      <c r="U182" s="195">
        <f t="shared" si="280"/>
        <v>26.318415970756487</v>
      </c>
      <c r="V182" s="195">
        <f t="shared" si="280"/>
        <v>26.775357082355828</v>
      </c>
      <c r="W182" s="195">
        <f t="shared" si="280"/>
        <v>27.23229819395517</v>
      </c>
      <c r="X182" s="195">
        <f t="shared" si="280"/>
        <v>27.689239305554512</v>
      </c>
      <c r="Y182" s="195">
        <f t="shared" si="280"/>
        <v>28.146180417153854</v>
      </c>
      <c r="Z182" s="195">
        <f t="shared" si="280"/>
        <v>28.603121528753196</v>
      </c>
      <c r="AA182" s="195">
        <f t="shared" si="280"/>
        <v>29.060062640352537</v>
      </c>
      <c r="AB182" s="195">
        <f t="shared" si="280"/>
        <v>29.517003751951879</v>
      </c>
      <c r="AC182" s="195">
        <f t="shared" si="280"/>
        <v>29.973944863551218</v>
      </c>
      <c r="AD182" s="195">
        <f t="shared" si="280"/>
        <v>30.727733583671153</v>
      </c>
      <c r="AE182" s="195">
        <f t="shared" si="280"/>
        <v>31.481522303791088</v>
      </c>
      <c r="AF182" s="195">
        <f t="shared" si="280"/>
        <v>32.235311023911024</v>
      </c>
      <c r="AG182" s="195">
        <f t="shared" si="280"/>
        <v>32.989099744030959</v>
      </c>
      <c r="AH182" s="195">
        <f t="shared" si="280"/>
        <v>33.742888464150894</v>
      </c>
      <c r="AI182" s="195">
        <f t="shared" si="280"/>
        <v>34.49667718427083</v>
      </c>
      <c r="AJ182" s="195">
        <f t="shared" si="280"/>
        <v>35.250465904390765</v>
      </c>
      <c r="AK182" s="195">
        <f t="shared" si="280"/>
        <v>36.0042546245107</v>
      </c>
      <c r="AL182" s="195">
        <f t="shared" si="280"/>
        <v>36.758043344630636</v>
      </c>
      <c r="AM182" s="195">
        <f t="shared" si="280"/>
        <v>37.511832064750571</v>
      </c>
      <c r="AN182" s="195">
        <f t="shared" si="280"/>
        <v>43.009185833179252</v>
      </c>
      <c r="AO182" s="195">
        <f t="shared" si="280"/>
        <v>48.506539601607955</v>
      </c>
      <c r="AP182" s="195">
        <f t="shared" si="280"/>
        <v>48.506539601607955</v>
      </c>
      <c r="AQ182" s="195">
        <f t="shared" si="280"/>
        <v>48.506539601607955</v>
      </c>
      <c r="AZ182" s="195"/>
      <c r="BA182" s="195"/>
      <c r="BB182" s="195"/>
      <c r="BC182" s="195"/>
      <c r="BD182" s="195"/>
      <c r="BE182" s="195"/>
    </row>
    <row r="183" spans="1:57">
      <c r="A183" s="194" t="s">
        <v>16</v>
      </c>
      <c r="J183" s="140" t="str">
        <f t="shared" si="267"/>
        <v>TFREX</v>
      </c>
      <c r="K183" s="195">
        <f t="shared" ref="K183:AQ183" si="281">L144</f>
        <v>82.000000000000014</v>
      </c>
      <c r="L183" s="195">
        <f t="shared" si="281"/>
        <v>82.000000000000014</v>
      </c>
      <c r="M183" s="195">
        <f t="shared" si="281"/>
        <v>82.000000000000014</v>
      </c>
      <c r="N183" s="195">
        <f t="shared" si="281"/>
        <v>82.000000000000014</v>
      </c>
      <c r="O183" s="195">
        <f t="shared" si="281"/>
        <v>82.000000000000014</v>
      </c>
      <c r="P183" s="195">
        <f t="shared" si="281"/>
        <v>82.000000000000014</v>
      </c>
      <c r="Q183" s="195">
        <f t="shared" si="281"/>
        <v>82.736172776937963</v>
      </c>
      <c r="R183" s="195">
        <f t="shared" si="281"/>
        <v>83.472345553875925</v>
      </c>
      <c r="S183" s="195">
        <f t="shared" si="281"/>
        <v>75.296230147600653</v>
      </c>
      <c r="T183" s="195">
        <f t="shared" si="281"/>
        <v>79.105852655656591</v>
      </c>
      <c r="U183" s="195">
        <f t="shared" si="281"/>
        <v>80.098633146166875</v>
      </c>
      <c r="V183" s="195">
        <f t="shared" si="281"/>
        <v>81.09141363667716</v>
      </c>
      <c r="W183" s="195">
        <f t="shared" si="281"/>
        <v>82.084194127187445</v>
      </c>
      <c r="X183" s="195">
        <f t="shared" si="281"/>
        <v>83.076974617697729</v>
      </c>
      <c r="Y183" s="195">
        <f t="shared" si="281"/>
        <v>84.069755108208014</v>
      </c>
      <c r="Z183" s="195">
        <f t="shared" si="281"/>
        <v>85.062535598718299</v>
      </c>
      <c r="AA183" s="195">
        <f t="shared" si="281"/>
        <v>86.055316089228583</v>
      </c>
      <c r="AB183" s="195">
        <f t="shared" si="281"/>
        <v>87.048096579738868</v>
      </c>
      <c r="AC183" s="195">
        <f t="shared" si="281"/>
        <v>88.040877070249095</v>
      </c>
      <c r="AD183" s="195">
        <f t="shared" si="281"/>
        <v>89.889451104345525</v>
      </c>
      <c r="AE183" s="195">
        <f t="shared" si="281"/>
        <v>91.738025138441955</v>
      </c>
      <c r="AF183" s="195">
        <f t="shared" si="281"/>
        <v>93.586599172538385</v>
      </c>
      <c r="AG183" s="195">
        <f t="shared" si="281"/>
        <v>95.435173206634815</v>
      </c>
      <c r="AH183" s="195">
        <f t="shared" si="281"/>
        <v>97.283747240731245</v>
      </c>
      <c r="AI183" s="195">
        <f t="shared" si="281"/>
        <v>99.132321274827675</v>
      </c>
      <c r="AJ183" s="195">
        <f t="shared" si="281"/>
        <v>100.9808953089241</v>
      </c>
      <c r="AK183" s="195">
        <f t="shared" si="281"/>
        <v>102.82946934302053</v>
      </c>
      <c r="AL183" s="195">
        <f t="shared" si="281"/>
        <v>104.67804337711696</v>
      </c>
      <c r="AM183" s="195">
        <f t="shared" si="281"/>
        <v>106.52661741121337</v>
      </c>
      <c r="AN183" s="195">
        <f t="shared" si="281"/>
        <v>118.05685712150301</v>
      </c>
      <c r="AO183" s="195">
        <f t="shared" si="281"/>
        <v>129.58709683179268</v>
      </c>
      <c r="AP183" s="195">
        <f t="shared" si="281"/>
        <v>129.58709683179268</v>
      </c>
      <c r="AQ183" s="195">
        <f t="shared" si="281"/>
        <v>129.58709683179268</v>
      </c>
      <c r="AZ183" s="195"/>
      <c r="BA183" s="195"/>
      <c r="BB183" s="195"/>
      <c r="BC183" s="195"/>
      <c r="BD183" s="195"/>
      <c r="BE183" s="195"/>
    </row>
    <row r="184" spans="1:57">
      <c r="A184" s="194"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77"/>
  <sheetViews>
    <sheetView tabSelected="1" zoomScale="90" zoomScaleNormal="90" workbookViewId="0">
      <selection activeCell="D3" sqref="D3"/>
    </sheetView>
  </sheetViews>
  <sheetFormatPr defaultColWidth="9.140625" defaultRowHeight="15"/>
  <cols>
    <col min="1" max="1" width="9" style="194" customWidth="1"/>
    <col min="2" max="2" width="11.140625" style="194" customWidth="1"/>
    <col min="3" max="3" width="42.85546875" style="194" customWidth="1"/>
    <col min="4" max="4" width="15.85546875" style="194" customWidth="1"/>
    <col min="5" max="5" width="10.140625" style="194" customWidth="1"/>
    <col min="6" max="7" width="7.42578125" style="194" customWidth="1"/>
    <col min="8" max="8" width="8.42578125" style="194" bestFit="1" customWidth="1"/>
    <col min="9" max="9" width="8.85546875" style="194" bestFit="1" customWidth="1"/>
    <col min="10" max="11" width="11.140625" style="194" bestFit="1" customWidth="1"/>
    <col min="12" max="12" width="9.140625" style="41" bestFit="1" customWidth="1"/>
    <col min="13" max="13" width="7.85546875" style="194" customWidth="1"/>
    <col min="14" max="14" width="7.7109375" style="194" customWidth="1"/>
    <col min="15" max="15" width="8.42578125" style="194" bestFit="1" customWidth="1"/>
    <col min="16" max="17" width="8.42578125" style="194" customWidth="1"/>
    <col min="18" max="18" width="7.5703125" style="194" customWidth="1"/>
    <col min="19" max="19" width="7.85546875" style="194" customWidth="1"/>
    <col min="20" max="20" width="9.42578125" style="194" customWidth="1"/>
    <col min="21" max="21" width="8.140625" style="194" customWidth="1"/>
    <col min="22" max="22" width="9.85546875" style="194" customWidth="1"/>
    <col min="23" max="23" width="9.42578125" style="194" customWidth="1"/>
    <col min="24" max="24" width="9.7109375" style="194" customWidth="1"/>
    <col min="25" max="42" width="7.7109375" style="194" customWidth="1"/>
    <col min="43" max="53" width="9.140625" style="194"/>
    <col min="54" max="54" width="19.140625" style="194" customWidth="1"/>
    <col min="55" max="55" width="18.85546875" style="194" customWidth="1"/>
    <col min="56" max="16384" width="9.140625" style="194"/>
  </cols>
  <sheetData>
    <row r="1" spans="1:64">
      <c r="A1" s="194" t="str">
        <f>IF(TRA,"TS DATA","")</f>
        <v>TS DATA</v>
      </c>
      <c r="B1" s="194" t="s">
        <v>17</v>
      </c>
      <c r="D1" s="194">
        <f>DriversGams!C163</f>
        <v>-1</v>
      </c>
      <c r="L1" s="194"/>
      <c r="N1" s="41"/>
      <c r="BB1" s="201" t="s">
        <v>223</v>
      </c>
      <c r="BC1" s="201" t="s">
        <v>540</v>
      </c>
      <c r="BD1" s="201" t="s">
        <v>197</v>
      </c>
      <c r="BE1" s="201" t="s">
        <v>544</v>
      </c>
      <c r="BF1" s="201"/>
      <c r="BG1" s="201"/>
      <c r="BH1" s="201"/>
      <c r="BI1" s="298" t="s">
        <v>624</v>
      </c>
      <c r="BJ1" s="298"/>
      <c r="BK1" s="298"/>
      <c r="BL1" s="201"/>
    </row>
    <row r="2" spans="1:64" ht="15.75" thickBot="1">
      <c r="A2" s="194" t="s">
        <v>16</v>
      </c>
      <c r="B2" s="324" t="s">
        <v>296</v>
      </c>
      <c r="C2" s="324"/>
      <c r="L2" s="194"/>
      <c r="N2" s="145"/>
      <c r="O2" s="145"/>
      <c r="R2" s="145"/>
      <c r="T2" s="145"/>
      <c r="U2" s="34"/>
      <c r="V2" s="34"/>
      <c r="W2" s="34"/>
      <c r="X2" s="34"/>
      <c r="AA2" s="34"/>
      <c r="AC2" s="34"/>
      <c r="AD2" s="34"/>
      <c r="AE2" s="34"/>
      <c r="AF2" s="34"/>
      <c r="AG2" s="34"/>
      <c r="AH2" s="34"/>
      <c r="AI2" s="34"/>
      <c r="AJ2" s="34"/>
      <c r="AK2" s="34"/>
      <c r="AL2" s="34"/>
      <c r="AM2" s="34"/>
      <c r="AN2" s="34"/>
      <c r="AO2" s="34"/>
      <c r="AP2" s="34"/>
      <c r="AQ2" s="34"/>
      <c r="AR2" s="34"/>
      <c r="BB2" s="201"/>
      <c r="BC2" s="201"/>
      <c r="BD2" s="201"/>
      <c r="BE2" s="201" t="s">
        <v>541</v>
      </c>
      <c r="BF2" s="201" t="s">
        <v>541</v>
      </c>
      <c r="BG2" s="201" t="s">
        <v>541</v>
      </c>
      <c r="BH2" s="201" t="s">
        <v>546</v>
      </c>
      <c r="BI2" s="201" t="s">
        <v>621</v>
      </c>
      <c r="BJ2" s="201" t="s">
        <v>622</v>
      </c>
      <c r="BK2" s="201" t="s">
        <v>623</v>
      </c>
      <c r="BL2" s="201"/>
    </row>
    <row r="3" spans="1:64">
      <c r="A3" s="194" t="s">
        <v>16</v>
      </c>
      <c r="B3" s="238"/>
      <c r="C3" s="201" t="str">
        <f>INDEX($BC$4:$BC$7,MATCH($D$3,$BB$4:$BB$7,0))</f>
        <v>NDC-PAMS-reference</v>
      </c>
      <c r="D3" s="205">
        <f>DriversGams!C163</f>
        <v>-1</v>
      </c>
      <c r="L3" s="194"/>
      <c r="N3" s="40"/>
      <c r="BB3" s="201"/>
      <c r="BC3" s="201"/>
      <c r="BD3" s="201"/>
      <c r="BE3" s="201" t="s">
        <v>542</v>
      </c>
      <c r="BF3" s="201" t="s">
        <v>543</v>
      </c>
      <c r="BG3" s="201" t="s">
        <v>655</v>
      </c>
      <c r="BH3" s="201"/>
      <c r="BI3" s="201"/>
      <c r="BJ3" s="201"/>
      <c r="BK3" s="201"/>
      <c r="BL3" s="201"/>
    </row>
    <row r="4" spans="1:64">
      <c r="A4" s="194" t="s">
        <v>16</v>
      </c>
      <c r="C4" s="5" t="s">
        <v>198</v>
      </c>
      <c r="D4" s="204">
        <f>INDEX($BD$4:$BD$7,MATCH($D$3,$BB$4:$BB$7,0))</f>
        <v>0</v>
      </c>
      <c r="E4" s="194">
        <v>2012</v>
      </c>
      <c r="F4" s="194">
        <v>2015</v>
      </c>
      <c r="G4" s="194">
        <v>2017</v>
      </c>
      <c r="H4" s="197">
        <v>2019</v>
      </c>
      <c r="I4" s="194">
        <v>2020</v>
      </c>
      <c r="J4" s="197">
        <v>2021</v>
      </c>
      <c r="K4" s="194">
        <v>2030</v>
      </c>
      <c r="L4" s="194">
        <v>2040</v>
      </c>
      <c r="M4" s="128">
        <v>2050</v>
      </c>
      <c r="N4" s="248"/>
      <c r="W4" s="248"/>
      <c r="X4" s="248"/>
      <c r="AA4" s="248"/>
      <c r="AC4" s="248"/>
      <c r="AD4" s="248"/>
      <c r="AE4" s="248"/>
      <c r="AF4" s="248"/>
      <c r="AG4" s="248"/>
      <c r="AH4" s="248"/>
      <c r="AI4" s="248"/>
      <c r="AJ4" s="248"/>
      <c r="AK4" s="248"/>
      <c r="AL4" s="248"/>
      <c r="AM4" s="248"/>
      <c r="AN4" s="248"/>
      <c r="AO4" s="248"/>
      <c r="AP4" s="248"/>
      <c r="AQ4" s="248"/>
      <c r="AR4" s="248"/>
      <c r="AS4" s="248"/>
      <c r="BB4" s="201">
        <v>-1</v>
      </c>
      <c r="BC4" s="201" t="s">
        <v>627</v>
      </c>
      <c r="BD4" s="201">
        <v>0</v>
      </c>
      <c r="BE4" s="192">
        <v>0.97499999999999998</v>
      </c>
      <c r="BF4" s="193">
        <v>0.95</v>
      </c>
      <c r="BG4" s="193">
        <v>0.95</v>
      </c>
      <c r="BH4" s="210">
        <v>1</v>
      </c>
      <c r="BI4" s="193">
        <v>0</v>
      </c>
      <c r="BJ4" s="190">
        <v>0</v>
      </c>
      <c r="BK4" s="193">
        <v>0</v>
      </c>
      <c r="BL4" s="201"/>
    </row>
    <row r="5" spans="1:64" ht="15.75" thickBot="1">
      <c r="A5" s="194" t="s">
        <v>16</v>
      </c>
      <c r="B5" s="237"/>
      <c r="C5" s="237"/>
      <c r="L5" s="194"/>
      <c r="M5" s="128"/>
      <c r="BB5" s="201">
        <v>1</v>
      </c>
      <c r="BC5" s="201" t="s">
        <v>628</v>
      </c>
      <c r="BD5" s="201">
        <v>1</v>
      </c>
      <c r="BE5" s="192">
        <v>0.97499999999999998</v>
      </c>
      <c r="BF5" s="193">
        <v>0.95</v>
      </c>
      <c r="BG5" s="193">
        <v>0.95</v>
      </c>
      <c r="BH5" s="210">
        <v>1</v>
      </c>
      <c r="BI5" s="193">
        <v>0</v>
      </c>
      <c r="BJ5" s="190">
        <v>0</v>
      </c>
      <c r="BK5" s="193">
        <v>0</v>
      </c>
      <c r="BL5" s="201"/>
    </row>
    <row r="6" spans="1:64">
      <c r="A6" s="194" t="s">
        <v>16</v>
      </c>
      <c r="E6" s="195"/>
      <c r="F6" s="195"/>
      <c r="G6" s="195"/>
      <c r="I6" s="195"/>
      <c r="K6" s="195"/>
      <c r="L6" s="195"/>
      <c r="M6" s="154"/>
      <c r="N6" s="249"/>
      <c r="R6" s="249"/>
      <c r="T6" s="249"/>
      <c r="U6" s="249"/>
      <c r="V6" s="249"/>
      <c r="W6" s="249"/>
      <c r="X6" s="249"/>
      <c r="AA6" s="249"/>
      <c r="AC6" s="249"/>
      <c r="AD6" s="249"/>
      <c r="AE6" s="249"/>
      <c r="AF6" s="249"/>
      <c r="AG6" s="249"/>
      <c r="AH6" s="249"/>
      <c r="AI6" s="249"/>
      <c r="AJ6" s="249"/>
      <c r="AK6" s="249"/>
      <c r="AL6" s="249"/>
      <c r="AM6" s="249"/>
      <c r="AN6" s="249"/>
      <c r="AO6" s="249"/>
      <c r="AP6" s="249"/>
      <c r="AQ6" s="249"/>
      <c r="AR6" s="249"/>
      <c r="AS6" s="249"/>
      <c r="AT6" s="249"/>
      <c r="AU6" s="249"/>
      <c r="BB6" s="201">
        <v>2</v>
      </c>
      <c r="BC6" s="201" t="s">
        <v>619</v>
      </c>
      <c r="BD6" s="201">
        <v>1</v>
      </c>
      <c r="BE6" s="192">
        <v>0.97499999999999998</v>
      </c>
      <c r="BF6" s="193">
        <v>0.95</v>
      </c>
      <c r="BG6" s="193">
        <v>0.95</v>
      </c>
      <c r="BH6" s="211">
        <v>1</v>
      </c>
      <c r="BI6" s="193">
        <v>0</v>
      </c>
      <c r="BJ6" s="263">
        <v>0</v>
      </c>
      <c r="BK6" s="193">
        <v>0</v>
      </c>
      <c r="BL6" s="201"/>
    </row>
    <row r="7" spans="1:64">
      <c r="A7" s="194" t="s">
        <v>16</v>
      </c>
      <c r="L7" s="194"/>
      <c r="N7" s="41"/>
      <c r="BB7" s="201">
        <v>3</v>
      </c>
      <c r="BC7" s="201" t="s">
        <v>629</v>
      </c>
      <c r="BD7" s="201">
        <v>1</v>
      </c>
      <c r="BE7" s="192">
        <v>0.97499999999999998</v>
      </c>
      <c r="BF7" s="193">
        <v>0.95</v>
      </c>
      <c r="BG7" s="193">
        <v>0.95</v>
      </c>
      <c r="BH7" s="211">
        <v>1</v>
      </c>
      <c r="BI7" s="192">
        <v>0.05</v>
      </c>
      <c r="BJ7" s="192">
        <v>2.5000000000000001E-2</v>
      </c>
      <c r="BK7" s="192">
        <v>0.2</v>
      </c>
      <c r="BL7" s="201"/>
    </row>
    <row r="8" spans="1:64">
      <c r="A8" s="194" t="s">
        <v>16</v>
      </c>
      <c r="L8" s="194"/>
      <c r="N8" s="41"/>
    </row>
    <row r="9" spans="1:64">
      <c r="A9" s="194" t="s">
        <v>16</v>
      </c>
      <c r="L9" s="194"/>
      <c r="N9" s="41"/>
    </row>
    <row r="10" spans="1:64">
      <c r="A10" s="194" t="s">
        <v>16</v>
      </c>
      <c r="B10" s="238"/>
      <c r="C10" s="238"/>
      <c r="L10" s="194"/>
      <c r="N10" s="41"/>
      <c r="O10" s="249"/>
    </row>
    <row r="11" spans="1:64" ht="15.75" thickBot="1">
      <c r="A11" s="194" t="s">
        <v>16</v>
      </c>
      <c r="B11" s="237" t="s">
        <v>56</v>
      </c>
      <c r="E11" s="194">
        <f>MATCH(E12,Drivers!$C$5:$AG$5,0)</f>
        <v>1</v>
      </c>
      <c r="F11" s="194">
        <f>MATCH(F12,Drivers!$C$5:$AG$5,0)</f>
        <v>4</v>
      </c>
      <c r="G11" s="194">
        <f>MATCH(G12,Drivers!$C$5:$AG$5,0)</f>
        <v>6</v>
      </c>
      <c r="H11" s="293">
        <f>MATCH(H12,Drivers!$C$5:$AG$5,0)</f>
        <v>8</v>
      </c>
      <c r="I11" s="293">
        <f>MATCH(I12,Drivers!$C$5:$AG$5,0)</f>
        <v>9</v>
      </c>
      <c r="J11" s="293">
        <f>MATCH(J12,Drivers!$C$5:$AG$5,0)</f>
        <v>10</v>
      </c>
      <c r="K11" s="194">
        <f>MATCH(K12,Drivers!$C$5:$AG$5,0)</f>
        <v>19</v>
      </c>
      <c r="L11" s="194">
        <f>MATCH(L12,Drivers!$C$5:$AG$5,0)</f>
        <v>29</v>
      </c>
      <c r="M11" s="194">
        <f>MATCH(M12,Drivers!$C$5:$AG$5,0)</f>
        <v>31</v>
      </c>
      <c r="N11" s="41"/>
      <c r="O11" s="5" t="s">
        <v>41</v>
      </c>
      <c r="X11" s="5" t="s">
        <v>197</v>
      </c>
    </row>
    <row r="12" spans="1:64" ht="15.75" thickBot="1">
      <c r="A12" s="194" t="s">
        <v>16</v>
      </c>
      <c r="D12" s="23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1"/>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94" t="s">
        <v>16</v>
      </c>
      <c r="C13" s="194" t="s">
        <v>49</v>
      </c>
      <c r="D13" s="194" t="s">
        <v>47</v>
      </c>
      <c r="E13" s="195">
        <f>INDEX(Drivers!$C$31:$AG$33,1,E$11)</f>
        <v>26.164390783448656</v>
      </c>
      <c r="F13" s="195">
        <f>INDEX(Drivers!$C$31:$AG$33,1,F$11)</f>
        <v>26.360993218184007</v>
      </c>
      <c r="G13" s="195">
        <f>INDEX(Drivers!$C$31:$AG$33,1,G$11)</f>
        <v>26.578764727799523</v>
      </c>
      <c r="H13" s="195">
        <f>INDEX(Drivers!$C$31:$AG$33,1,H$11)</f>
        <v>26.911307025844376</v>
      </c>
      <c r="I13" s="195">
        <f>INDEX(Drivers!$C$31:$AG$33,1,I$11)</f>
        <v>28.111589337230718</v>
      </c>
      <c r="J13" s="195">
        <f>INDEX(Drivers!$C$31:$AG$33,1,J$11)</f>
        <v>29.277268001984922</v>
      </c>
      <c r="K13" s="195">
        <f>INDEX(Drivers!$C$31:$AG$33,1,K$11)</f>
        <v>27.84457886154026</v>
      </c>
      <c r="L13" s="195">
        <f>INDEX(Drivers!$C$31:$AG$33,1,L$11)</f>
        <v>23.986195872849844</v>
      </c>
      <c r="M13" s="195">
        <f>INDEX(Drivers!$C$31:$AG$33,1,M$11)</f>
        <v>19.593316062021987</v>
      </c>
      <c r="N13" s="41"/>
      <c r="O13" s="195">
        <f>F13</f>
        <v>26.360993218184007</v>
      </c>
      <c r="P13" s="195">
        <f t="shared" si="1"/>
        <v>26.578764727799523</v>
      </c>
      <c r="Q13" s="195">
        <f t="shared" si="1"/>
        <v>26.911307025844376</v>
      </c>
      <c r="R13" s="195">
        <f t="shared" si="1"/>
        <v>28.111589337230718</v>
      </c>
      <c r="S13" s="195">
        <f t="shared" si="1"/>
        <v>29.277268001984922</v>
      </c>
      <c r="T13" s="195">
        <f t="shared" ref="T13:V15" si="3">K13</f>
        <v>27.84457886154026</v>
      </c>
      <c r="U13" s="195">
        <f t="shared" si="3"/>
        <v>23.986195872849844</v>
      </c>
      <c r="V13" s="195">
        <f t="shared" si="3"/>
        <v>19.593316062021987</v>
      </c>
      <c r="X13" s="195">
        <f>F13</f>
        <v>26.360993218184007</v>
      </c>
      <c r="Y13" s="195">
        <f t="shared" ref="Y13:AE15" si="4">G13</f>
        <v>26.578764727799523</v>
      </c>
      <c r="Z13" s="195">
        <f t="shared" si="4"/>
        <v>26.911307025844376</v>
      </c>
      <c r="AA13" s="195">
        <f t="shared" si="4"/>
        <v>28.111589337230718</v>
      </c>
      <c r="AB13" s="195">
        <f t="shared" si="4"/>
        <v>29.277268001984922</v>
      </c>
      <c r="AC13" s="7">
        <f>T13</f>
        <v>27.84457886154026</v>
      </c>
      <c r="AD13" s="195">
        <f t="shared" si="4"/>
        <v>23.986195872849844</v>
      </c>
      <c r="AE13" s="195">
        <f t="shared" si="4"/>
        <v>19.593316062021987</v>
      </c>
    </row>
    <row r="14" spans="1:64">
      <c r="A14" s="194" t="s">
        <v>16</v>
      </c>
      <c r="C14" s="194" t="s">
        <v>51</v>
      </c>
      <c r="D14" s="194" t="s">
        <v>47</v>
      </c>
      <c r="E14" s="195">
        <f>INDEX(Drivers!$C$31:$AG$33,2,E$11)</f>
        <v>15.698634470069196</v>
      </c>
      <c r="F14" s="195">
        <f>INDEX(Drivers!$C$31:$AG$33,2,F$11)</f>
        <v>16.60012737178209</v>
      </c>
      <c r="G14" s="195">
        <f>INDEX(Drivers!$C$31:$AG$33,2,G$11)</f>
        <v>17.298814732088275</v>
      </c>
      <c r="H14" s="195">
        <f>INDEX(Drivers!$C$31:$AG$33,2,H$11)</f>
        <v>18.226385675800731</v>
      </c>
      <c r="I14" s="195">
        <f>INDEX(Drivers!$C$31:$AG$33,2,I$11)</f>
        <v>19.201285369797056</v>
      </c>
      <c r="J14" s="195">
        <f>INDEX(Drivers!$C$31:$AG$33,2,J$11)</f>
        <v>18.406399362296234</v>
      </c>
      <c r="K14" s="195">
        <f>INDEX(Drivers!$C$31:$AG$33,2,K$11)</f>
        <v>21.41729290657965</v>
      </c>
      <c r="L14" s="195">
        <f>INDEX(Drivers!$C$31:$AG$33,2,L$11)</f>
        <v>24.674136706158219</v>
      </c>
      <c r="M14" s="195">
        <f>INDEX(Drivers!$C$31:$AG$33,2,M$11)</f>
        <v>27.322481569655267</v>
      </c>
      <c r="N14" s="41"/>
      <c r="O14" s="195">
        <f t="shared" ref="O14:O15" si="5">F14</f>
        <v>16.60012737178209</v>
      </c>
      <c r="P14" s="195">
        <f t="shared" si="1"/>
        <v>17.298814732088275</v>
      </c>
      <c r="Q14" s="195">
        <f t="shared" si="1"/>
        <v>18.226385675800731</v>
      </c>
      <c r="R14" s="195">
        <f t="shared" si="1"/>
        <v>19.201285369797056</v>
      </c>
      <c r="S14" s="195">
        <f t="shared" si="1"/>
        <v>18.406399362296234</v>
      </c>
      <c r="T14" s="195">
        <f t="shared" si="3"/>
        <v>21.41729290657965</v>
      </c>
      <c r="U14" s="195">
        <f t="shared" si="3"/>
        <v>24.674136706158219</v>
      </c>
      <c r="V14" s="195">
        <f t="shared" si="3"/>
        <v>27.322481569655267</v>
      </c>
      <c r="X14" s="195">
        <f t="shared" ref="X14:X15" si="6">F14</f>
        <v>16.60012737178209</v>
      </c>
      <c r="Y14" s="195">
        <f t="shared" si="4"/>
        <v>17.298814732088275</v>
      </c>
      <c r="Z14" s="195">
        <f t="shared" si="4"/>
        <v>18.226385675800731</v>
      </c>
      <c r="AA14" s="195">
        <f t="shared" si="4"/>
        <v>19.201285369797056</v>
      </c>
      <c r="AB14" s="195">
        <f t="shared" si="4"/>
        <v>18.406399362296234</v>
      </c>
      <c r="AC14" s="7">
        <f>T14</f>
        <v>21.41729290657965</v>
      </c>
      <c r="AD14" s="195">
        <f t="shared" si="4"/>
        <v>24.674136706158219</v>
      </c>
      <c r="AE14" s="195">
        <f t="shared" si="4"/>
        <v>27.322481569655267</v>
      </c>
    </row>
    <row r="15" spans="1:64">
      <c r="A15" s="194" t="s">
        <v>16</v>
      </c>
      <c r="C15" s="194" t="s">
        <v>50</v>
      </c>
      <c r="D15" s="194" t="s">
        <v>47</v>
      </c>
      <c r="E15" s="195">
        <f>INDEX(Drivers!$C$31:$AG$33,3,E$11)</f>
        <v>10.46240762855223</v>
      </c>
      <c r="F15" s="195">
        <f>INDEX(Drivers!$C$31:$AG$33,3,F$11)</f>
        <v>11.789370867355018</v>
      </c>
      <c r="G15" s="195">
        <f>INDEX(Drivers!$C$31:$AG$33,3,G$11)</f>
        <v>12.644368581760297</v>
      </c>
      <c r="H15" s="195">
        <f>INDEX(Drivers!$C$31:$AG$33,3,H$11)</f>
        <v>13.227142220174334</v>
      </c>
      <c r="I15" s="195">
        <f>INDEX(Drivers!$C$31:$AG$33,3,I$11)</f>
        <v>11.995815292972233</v>
      </c>
      <c r="J15" s="195">
        <f>INDEX(Drivers!$C$31:$AG$33,3,J$11)</f>
        <v>12.307913084923102</v>
      </c>
      <c r="K15" s="195">
        <f>INDEX(Drivers!$C$31:$AG$33,3,K$11)</f>
        <v>16.694218231880097</v>
      </c>
      <c r="L15" s="195">
        <f>INDEX(Drivers!$C$31:$AG$33,3,L$11)</f>
        <v>22.714973420991928</v>
      </c>
      <c r="M15" s="195">
        <f>INDEX(Drivers!$C$31:$AG$33,3,M$11)</f>
        <v>28.602111368322735</v>
      </c>
      <c r="N15" s="41"/>
      <c r="O15" s="195">
        <f t="shared" si="5"/>
        <v>11.789370867355018</v>
      </c>
      <c r="P15" s="195">
        <f t="shared" si="1"/>
        <v>12.644368581760297</v>
      </c>
      <c r="Q15" s="195">
        <f t="shared" si="1"/>
        <v>13.227142220174334</v>
      </c>
      <c r="R15" s="195">
        <f t="shared" si="1"/>
        <v>11.995815292972233</v>
      </c>
      <c r="S15" s="195">
        <f t="shared" si="1"/>
        <v>12.307913084923102</v>
      </c>
      <c r="T15" s="195">
        <f t="shared" si="3"/>
        <v>16.694218231880097</v>
      </c>
      <c r="U15" s="195">
        <f t="shared" si="3"/>
        <v>22.714973420991928</v>
      </c>
      <c r="V15" s="195">
        <f t="shared" si="3"/>
        <v>28.602111368322735</v>
      </c>
      <c r="X15" s="195">
        <f t="shared" si="6"/>
        <v>11.789370867355018</v>
      </c>
      <c r="Y15" s="195">
        <f t="shared" si="4"/>
        <v>12.644368581760297</v>
      </c>
      <c r="Z15" s="195">
        <f t="shared" si="4"/>
        <v>13.227142220174334</v>
      </c>
      <c r="AA15" s="195">
        <f t="shared" si="4"/>
        <v>11.995815292972233</v>
      </c>
      <c r="AB15" s="195">
        <f t="shared" si="4"/>
        <v>12.307913084923102</v>
      </c>
      <c r="AC15" s="7">
        <f>T15</f>
        <v>16.694218231880097</v>
      </c>
      <c r="AD15" s="195">
        <f t="shared" si="4"/>
        <v>22.714973420991928</v>
      </c>
      <c r="AE15" s="195">
        <f t="shared" si="4"/>
        <v>28.602111368322735</v>
      </c>
      <c r="BE15" s="30"/>
    </row>
    <row r="16" spans="1:64">
      <c r="A16" s="194" t="s">
        <v>16</v>
      </c>
      <c r="E16" s="3">
        <f t="shared" ref="E16:K16" si="7">SUM(E13:E15)</f>
        <v>52.325432882070082</v>
      </c>
      <c r="F16" s="3">
        <f t="shared" si="7"/>
        <v>54.750491457321118</v>
      </c>
      <c r="G16" s="3">
        <f t="shared" si="7"/>
        <v>56.521948041648095</v>
      </c>
      <c r="H16" s="3">
        <f t="shared" si="7"/>
        <v>58.364834921819444</v>
      </c>
      <c r="I16" s="3">
        <f t="shared" si="7"/>
        <v>59.308690000000006</v>
      </c>
      <c r="J16" s="3">
        <f t="shared" si="7"/>
        <v>59.991580449204257</v>
      </c>
      <c r="K16" s="3">
        <f t="shared" si="7"/>
        <v>65.956090000000003</v>
      </c>
      <c r="L16" s="3">
        <f>SUM(L13:L15)</f>
        <v>71.375305999999995</v>
      </c>
      <c r="M16" s="3">
        <f>SUM(M13:M15)</f>
        <v>75.517908999999989</v>
      </c>
      <c r="N16" s="41"/>
      <c r="O16" s="3">
        <f>SUM(O13:O15)</f>
        <v>54.750491457321118</v>
      </c>
      <c r="P16" s="3">
        <f t="shared" ref="P16:V16" si="8">SUM(P13:P15)</f>
        <v>56.521948041648095</v>
      </c>
      <c r="Q16" s="3">
        <f t="shared" si="8"/>
        <v>58.364834921819444</v>
      </c>
      <c r="R16" s="3">
        <f t="shared" si="8"/>
        <v>59.308690000000006</v>
      </c>
      <c r="S16" s="3">
        <f t="shared" si="8"/>
        <v>59.991580449204257</v>
      </c>
      <c r="T16" s="3">
        <f t="shared" si="8"/>
        <v>65.956090000000003</v>
      </c>
      <c r="U16" s="3">
        <f t="shared" si="8"/>
        <v>71.375305999999995</v>
      </c>
      <c r="V16" s="3">
        <f t="shared" si="8"/>
        <v>75.517908999999989</v>
      </c>
      <c r="X16" s="48">
        <f>SUM(X13:X15)</f>
        <v>54.750491457321118</v>
      </c>
      <c r="Y16" s="48">
        <f t="shared" ref="Y16:AE16" si="9">SUM(Y13:Y15)</f>
        <v>56.521948041648095</v>
      </c>
      <c r="Z16" s="48">
        <f t="shared" si="9"/>
        <v>58.364834921819444</v>
      </c>
      <c r="AA16" s="48">
        <f t="shared" si="9"/>
        <v>59.308690000000006</v>
      </c>
      <c r="AB16" s="48">
        <f t="shared" si="9"/>
        <v>59.991580449204257</v>
      </c>
      <c r="AC16" s="7">
        <f>T16</f>
        <v>65.956090000000003</v>
      </c>
      <c r="AD16" s="48">
        <f t="shared" si="9"/>
        <v>71.375305999999995</v>
      </c>
      <c r="AE16" s="48">
        <f t="shared" si="9"/>
        <v>75.517908999999989</v>
      </c>
      <c r="BE16" s="30"/>
    </row>
    <row r="17" spans="1:57">
      <c r="A17" s="194" t="s">
        <v>16</v>
      </c>
      <c r="B17" s="238"/>
      <c r="L17" s="194"/>
      <c r="N17" s="41"/>
      <c r="BE17" s="30"/>
    </row>
    <row r="18" spans="1:57" ht="15.75" thickBot="1">
      <c r="A18" s="194" t="s">
        <v>16</v>
      </c>
      <c r="B18" s="28"/>
      <c r="C18" s="237" t="s">
        <v>58</v>
      </c>
      <c r="D18" s="237"/>
      <c r="E18" s="7">
        <v>2012</v>
      </c>
      <c r="F18" s="7">
        <v>2015</v>
      </c>
      <c r="G18" s="7">
        <f>G12</f>
        <v>2017</v>
      </c>
      <c r="H18" s="7">
        <f t="shared" ref="H18:J18" si="10">H12</f>
        <v>2019</v>
      </c>
      <c r="I18" s="7">
        <f t="shared" si="10"/>
        <v>2020</v>
      </c>
      <c r="J18" s="7">
        <f t="shared" si="10"/>
        <v>2021</v>
      </c>
      <c r="K18" s="7">
        <v>2030</v>
      </c>
      <c r="L18" s="7">
        <v>2040</v>
      </c>
      <c r="M18" s="7">
        <v>2050</v>
      </c>
      <c r="N18" s="41"/>
      <c r="O18" s="7">
        <f>F18</f>
        <v>2015</v>
      </c>
      <c r="P18" s="7">
        <f t="shared" ref="P18" si="11">G18</f>
        <v>2017</v>
      </c>
      <c r="Q18" s="7">
        <f t="shared" ref="Q18" si="12">H18</f>
        <v>2019</v>
      </c>
      <c r="R18" s="7">
        <f>I18</f>
        <v>2020</v>
      </c>
      <c r="S18" s="7">
        <f>J18</f>
        <v>2021</v>
      </c>
      <c r="T18" s="7">
        <f>K18</f>
        <v>2030</v>
      </c>
      <c r="U18" s="7">
        <f>L18</f>
        <v>2040</v>
      </c>
      <c r="V18" s="7">
        <f>M18</f>
        <v>2050</v>
      </c>
    </row>
    <row r="19" spans="1:57">
      <c r="A19" s="194" t="s">
        <v>16</v>
      </c>
      <c r="B19" s="238"/>
      <c r="C19" s="194" t="s">
        <v>7</v>
      </c>
      <c r="D19" s="36" t="s">
        <v>512</v>
      </c>
      <c r="E19" s="10">
        <f>RES!E43</f>
        <v>1</v>
      </c>
      <c r="F19" s="10">
        <f>RES!E43</f>
        <v>1</v>
      </c>
      <c r="G19" s="213">
        <f>AVERAGE(F19,I19)</f>
        <v>1</v>
      </c>
      <c r="H19" s="213">
        <f>AVERAGE(F19,I19)</f>
        <v>1</v>
      </c>
      <c r="I19" s="10">
        <f>RES!F43</f>
        <v>1</v>
      </c>
      <c r="J19" s="213">
        <f>AVERAGE(I19,K19)</f>
        <v>1</v>
      </c>
      <c r="K19" s="10">
        <f>RES!G43</f>
        <v>1</v>
      </c>
      <c r="L19" s="10">
        <f>RES!H43</f>
        <v>1</v>
      </c>
      <c r="M19" s="10">
        <f>RES!I43</f>
        <v>1</v>
      </c>
      <c r="N19" s="44"/>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94" t="s">
        <v>16</v>
      </c>
      <c r="B20" s="238"/>
      <c r="C20" s="238" t="s">
        <v>8</v>
      </c>
      <c r="D20" s="36" t="s">
        <v>512</v>
      </c>
      <c r="E20" s="10">
        <f>RES!E44</f>
        <v>1</v>
      </c>
      <c r="F20" s="10">
        <f>RES!E44</f>
        <v>1</v>
      </c>
      <c r="G20" s="213">
        <f>AVERAGE(F20,I20)</f>
        <v>1</v>
      </c>
      <c r="H20" s="213">
        <f t="shared" ref="H20:H21" si="13">AVERAGE(F20,I20)</f>
        <v>1</v>
      </c>
      <c r="I20" s="10">
        <f>RES!F44</f>
        <v>1</v>
      </c>
      <c r="J20" s="213">
        <f t="shared" ref="J20:J21" si="14">AVERAGE(I20,K20)</f>
        <v>1</v>
      </c>
      <c r="K20" s="10">
        <f>RES!G44</f>
        <v>1</v>
      </c>
      <c r="L20" s="10">
        <f>RES!H44</f>
        <v>1</v>
      </c>
      <c r="M20" s="10">
        <f>RES!I44</f>
        <v>1</v>
      </c>
      <c r="N20" s="44"/>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94" t="s">
        <v>16</v>
      </c>
      <c r="C21" s="238" t="s">
        <v>406</v>
      </c>
      <c r="D21" s="36" t="s">
        <v>512</v>
      </c>
      <c r="E21" s="10">
        <f>RES!E45</f>
        <v>1</v>
      </c>
      <c r="F21" s="10">
        <f>RES!E45</f>
        <v>1</v>
      </c>
      <c r="G21" s="213">
        <f>AVERAGE(F21,I21)</f>
        <v>0.97610921501706494</v>
      </c>
      <c r="H21" s="213">
        <f t="shared" si="13"/>
        <v>0.97610921501706494</v>
      </c>
      <c r="I21" s="10">
        <f>RES!F45</f>
        <v>0.95221843003412987</v>
      </c>
      <c r="J21" s="213">
        <f t="shared" si="14"/>
        <v>1.0273037542662118</v>
      </c>
      <c r="K21" s="10">
        <f>RES!G45</f>
        <v>1.1023890784982937</v>
      </c>
      <c r="L21" s="10">
        <f>RES!H45</f>
        <v>1.3620156089042583</v>
      </c>
      <c r="M21" s="10">
        <f>RES!I45</f>
        <v>1.7304739927162893</v>
      </c>
      <c r="N21" s="44"/>
      <c r="O21" s="10"/>
      <c r="R21" s="47">
        <v>0.25</v>
      </c>
      <c r="S21" s="47">
        <v>0.25</v>
      </c>
      <c r="T21" s="47">
        <f>R21</f>
        <v>0.25</v>
      </c>
      <c r="U21" s="47">
        <f>T21</f>
        <v>0.25</v>
      </c>
      <c r="V21" s="47">
        <f>U21</f>
        <v>0.25</v>
      </c>
      <c r="W21" s="10"/>
      <c r="AA21" s="115"/>
      <c r="AC21" s="10"/>
      <c r="AD21" s="10"/>
      <c r="AE21" s="10"/>
      <c r="AF21" s="10"/>
      <c r="AG21" s="10"/>
      <c r="AH21" s="10"/>
      <c r="AI21" s="10"/>
      <c r="AJ21" s="10"/>
      <c r="AK21" s="10"/>
      <c r="AL21" s="10"/>
      <c r="AM21" s="10"/>
      <c r="AN21" s="10"/>
      <c r="AO21" s="10"/>
      <c r="AP21" s="10"/>
      <c r="AQ21" s="10"/>
      <c r="AR21" s="10"/>
      <c r="AS21" s="10"/>
      <c r="AT21" s="10"/>
      <c r="AU21" s="8"/>
    </row>
    <row r="22" spans="1:57">
      <c r="A22" s="194" t="s">
        <v>16</v>
      </c>
      <c r="C22" s="238"/>
      <c r="L22" s="194"/>
      <c r="N22" s="44"/>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94" t="s">
        <v>16</v>
      </c>
      <c r="B23" s="238"/>
      <c r="C23" s="238"/>
      <c r="L23" s="194"/>
      <c r="N23" s="41"/>
      <c r="X23" s="194" t="s">
        <v>199</v>
      </c>
    </row>
    <row r="24" spans="1:57" ht="15.75" thickBot="1">
      <c r="A24" s="194" t="s">
        <v>16</v>
      </c>
      <c r="B24" s="237" t="s">
        <v>160</v>
      </c>
      <c r="D24" s="23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1"/>
      <c r="O24" s="7">
        <f>F24</f>
        <v>2015</v>
      </c>
      <c r="P24" s="7">
        <f t="shared" ref="P24:Q24" si="16">G24</f>
        <v>2017</v>
      </c>
      <c r="Q24" s="7">
        <f t="shared" si="16"/>
        <v>2019</v>
      </c>
      <c r="R24" s="7">
        <f>I24</f>
        <v>2020</v>
      </c>
      <c r="S24" s="7">
        <f>J24</f>
        <v>2021</v>
      </c>
      <c r="T24" s="7">
        <f>K24</f>
        <v>2030</v>
      </c>
      <c r="U24" s="7">
        <f>L24</f>
        <v>2040</v>
      </c>
      <c r="V24" s="7">
        <f>M24</f>
        <v>2050</v>
      </c>
      <c r="X24" s="314">
        <f>X$12</f>
        <v>2015</v>
      </c>
      <c r="Y24" s="314">
        <f t="shared" ref="Y24:AE24" si="17">Y$12</f>
        <v>2017</v>
      </c>
      <c r="Z24" s="314">
        <f t="shared" si="17"/>
        <v>2019</v>
      </c>
      <c r="AA24" s="314">
        <f t="shared" si="17"/>
        <v>2020</v>
      </c>
      <c r="AB24" s="314">
        <f t="shared" si="17"/>
        <v>2021</v>
      </c>
      <c r="AC24" s="314">
        <f t="shared" si="17"/>
        <v>2030</v>
      </c>
      <c r="AD24" s="314">
        <f t="shared" si="17"/>
        <v>2040</v>
      </c>
      <c r="AE24" s="314">
        <f t="shared" si="17"/>
        <v>2050</v>
      </c>
    </row>
    <row r="25" spans="1:57">
      <c r="A25" s="194" t="s">
        <v>16</v>
      </c>
      <c r="B25" s="202">
        <f>INDEX($BG$4:$BG$7,MATCH($D$3,$BB$4:$BB$7,0))</f>
        <v>0.95</v>
      </c>
      <c r="C25" s="238" t="str">
        <f>C19</f>
        <v>Low Income</v>
      </c>
      <c r="D25" s="194" t="s">
        <v>48</v>
      </c>
      <c r="E25" s="240">
        <f>[2]Calib_1011!$H$86</f>
        <v>0.02</v>
      </c>
      <c r="F25" s="64">
        <f>IF($D$4,X25,O25)</f>
        <v>0.02</v>
      </c>
      <c r="G25" s="64">
        <f t="shared" ref="G25:L25" si="18">IF($D$4,Y25,P25)</f>
        <v>0.02</v>
      </c>
      <c r="H25" s="64">
        <f t="shared" si="18"/>
        <v>0.02</v>
      </c>
      <c r="I25" s="64">
        <f t="shared" si="18"/>
        <v>0.02</v>
      </c>
      <c r="J25" s="64">
        <f t="shared" si="18"/>
        <v>0.02</v>
      </c>
      <c r="K25" s="64">
        <f t="shared" si="18"/>
        <v>0.02</v>
      </c>
      <c r="L25" s="64">
        <f t="shared" si="18"/>
        <v>0.02</v>
      </c>
      <c r="M25" s="64">
        <f>IF($D$4,AE25,V25)</f>
        <v>0.02</v>
      </c>
      <c r="N25" s="250"/>
      <c r="O25" s="64">
        <f>E25</f>
        <v>0.02</v>
      </c>
      <c r="P25" s="64">
        <f>O25</f>
        <v>0.02</v>
      </c>
      <c r="Q25" s="64">
        <f>P25</f>
        <v>0.02</v>
      </c>
      <c r="R25" s="64">
        <f t="shared" ref="R25:V25" si="19">Q25</f>
        <v>0.02</v>
      </c>
      <c r="S25" s="64">
        <f t="shared" si="19"/>
        <v>0.02</v>
      </c>
      <c r="T25" s="35">
        <f t="shared" si="19"/>
        <v>0.02</v>
      </c>
      <c r="U25" s="35">
        <f t="shared" si="19"/>
        <v>0.02</v>
      </c>
      <c r="V25" s="35">
        <f t="shared" si="19"/>
        <v>0.02</v>
      </c>
      <c r="W25" s="251"/>
      <c r="X25" s="64">
        <f>O25</f>
        <v>0.02</v>
      </c>
      <c r="Y25" s="64">
        <f t="shared" ref="Y25:AB25" si="20">P25</f>
        <v>0.02</v>
      </c>
      <c r="Z25" s="64">
        <f t="shared" si="20"/>
        <v>0.02</v>
      </c>
      <c r="AA25" s="64">
        <f t="shared" si="20"/>
        <v>0.02</v>
      </c>
      <c r="AB25" s="64">
        <f t="shared" si="20"/>
        <v>0.02</v>
      </c>
      <c r="AC25" s="74">
        <v>0.05</v>
      </c>
      <c r="AD25" s="74">
        <v>0.04</v>
      </c>
      <c r="AE25" s="74">
        <v>0.04</v>
      </c>
      <c r="AF25" s="251"/>
      <c r="AG25" s="251"/>
      <c r="AH25" s="251"/>
      <c r="AI25" s="251"/>
      <c r="AJ25" s="251"/>
      <c r="AK25" s="251"/>
      <c r="AL25" s="251"/>
      <c r="AM25" s="251"/>
      <c r="AN25" s="251"/>
      <c r="AO25" s="251"/>
      <c r="AP25" s="251"/>
      <c r="AQ25" s="251"/>
      <c r="AR25" s="251"/>
      <c r="AS25" s="251"/>
      <c r="AT25" s="251"/>
      <c r="AU25" s="251"/>
    </row>
    <row r="26" spans="1:57">
      <c r="A26" s="194" t="s">
        <v>16</v>
      </c>
      <c r="B26" s="202">
        <f>INDEX($BF$4:$BF$7,MATCH($D$3,$BB$4:$BB$7,0))</f>
        <v>0.95</v>
      </c>
      <c r="C26" s="238" t="str">
        <f>C20</f>
        <v>Middle Income</v>
      </c>
      <c r="D26" s="194" t="s">
        <v>48</v>
      </c>
      <c r="E26" s="240">
        <f>[2]Calib_1011!$I$86</f>
        <v>0.53</v>
      </c>
      <c r="F26" s="64">
        <f t="shared" ref="F26:F27" si="21">IF($D$4,X26,O26)</f>
        <v>0.53</v>
      </c>
      <c r="G26" s="64">
        <f t="shared" ref="G26:G27" si="22">IF($D$4,Y26,P26)</f>
        <v>0.53</v>
      </c>
      <c r="H26" s="64">
        <f t="shared" ref="H26:H27" si="23">IF($D$4,Z26,Q26)</f>
        <v>0.53</v>
      </c>
      <c r="I26" s="64">
        <f t="shared" ref="I26:I27" si="24">IF($D$4,AA26,R26)</f>
        <v>0.53</v>
      </c>
      <c r="J26" s="64">
        <f t="shared" ref="J26:J27" si="25">IF($D$4,AB26,S26)</f>
        <v>0.53</v>
      </c>
      <c r="K26" s="64">
        <f t="shared" ref="K26:K27" si="26">IF($D$4,AC26,T26)</f>
        <v>0.53</v>
      </c>
      <c r="L26" s="64">
        <f t="shared" ref="L26:L27" si="27">IF($D$4,AD26,U26)</f>
        <v>0.53</v>
      </c>
      <c r="M26" s="64">
        <f t="shared" ref="M26:M27" si="28">IF($D$4,AE26,V26)</f>
        <v>0.53</v>
      </c>
      <c r="N26" s="250"/>
      <c r="O26" s="64">
        <f>E26</f>
        <v>0.53</v>
      </c>
      <c r="P26" s="64">
        <f t="shared" ref="P26:Q27" si="29">O26</f>
        <v>0.53</v>
      </c>
      <c r="Q26" s="64">
        <f t="shared" si="29"/>
        <v>0.53</v>
      </c>
      <c r="R26" s="64">
        <f t="shared" ref="R26:V26" si="30">Q26</f>
        <v>0.53</v>
      </c>
      <c r="S26" s="64">
        <f t="shared" si="30"/>
        <v>0.53</v>
      </c>
      <c r="T26" s="35">
        <f t="shared" si="30"/>
        <v>0.53</v>
      </c>
      <c r="U26" s="35">
        <f t="shared" si="30"/>
        <v>0.53</v>
      </c>
      <c r="V26" s="35">
        <f t="shared" si="30"/>
        <v>0.53</v>
      </c>
      <c r="W26" s="251"/>
      <c r="X26" s="64">
        <f t="shared" ref="X26:X27" si="31">O26</f>
        <v>0.53</v>
      </c>
      <c r="Y26" s="64">
        <f t="shared" ref="Y26:Y27" si="32">P26</f>
        <v>0.53</v>
      </c>
      <c r="Z26" s="64">
        <f t="shared" ref="Z26:Z27" si="33">Q26</f>
        <v>0.53</v>
      </c>
      <c r="AA26" s="64">
        <f t="shared" ref="AA26:AA27" si="34">R26</f>
        <v>0.53</v>
      </c>
      <c r="AB26" s="64">
        <f t="shared" ref="AB26:AB27" si="35">S26</f>
        <v>0.53</v>
      </c>
      <c r="AC26" s="74">
        <f>IF(INDEX($BH$4:$BH$7,MATCH($D$3,$BB$4:$BB$7,0)),AA26*$B$26,AA26)</f>
        <v>0.50349999999999995</v>
      </c>
      <c r="AD26" s="74">
        <f>IF(INDEX($BH$4:$BH$7,MATCH($D$3,$BB$4:$BB$7,0)),AC26*$B$26,AC26)</f>
        <v>0.47832499999999994</v>
      </c>
      <c r="AE26" s="74">
        <f>IF(INDEX($BH$4:$BH$7,MATCH($D$3,$BB$4:$BB$7,0)),AD26*$B$26,AD26)</f>
        <v>0.45440874999999992</v>
      </c>
      <c r="AF26" s="251"/>
      <c r="AG26" s="251"/>
      <c r="AH26" s="251"/>
      <c r="AI26" s="251"/>
      <c r="AJ26" s="251"/>
      <c r="AK26" s="251"/>
      <c r="AL26" s="251"/>
      <c r="AM26" s="251"/>
      <c r="AN26" s="251"/>
      <c r="AO26" s="251"/>
      <c r="AP26" s="251"/>
      <c r="AQ26" s="251"/>
      <c r="AR26" s="251"/>
      <c r="AS26" s="251"/>
      <c r="AT26" s="251"/>
      <c r="AU26" s="251"/>
    </row>
    <row r="27" spans="1:57">
      <c r="A27" s="194" t="s">
        <v>16</v>
      </c>
      <c r="B27" s="202">
        <f>INDEX($BE$4:$BE$7,MATCH($D$3,$BB$4:$BB$7,0))</f>
        <v>0.97499999999999998</v>
      </c>
      <c r="C27" s="238" t="str">
        <f>C21</f>
        <v>High Income</v>
      </c>
      <c r="D27" s="194" t="s">
        <v>48</v>
      </c>
      <c r="E27" s="290">
        <f>[2]Calib_1011!$J$86*0.98</f>
        <v>0.76810810810810803</v>
      </c>
      <c r="F27" s="64">
        <f t="shared" si="21"/>
        <v>0.76810810810810803</v>
      </c>
      <c r="G27" s="64">
        <f t="shared" si="22"/>
        <v>0.76810810810810803</v>
      </c>
      <c r="H27" s="64">
        <f t="shared" si="23"/>
        <v>0.76810810810810803</v>
      </c>
      <c r="I27" s="64">
        <f t="shared" si="24"/>
        <v>0.76810810810810803</v>
      </c>
      <c r="J27" s="64">
        <f t="shared" si="25"/>
        <v>0.76810810810810803</v>
      </c>
      <c r="K27" s="64">
        <f t="shared" si="26"/>
        <v>0.76810810810810803</v>
      </c>
      <c r="L27" s="64">
        <f t="shared" si="27"/>
        <v>0.76810810810810803</v>
      </c>
      <c r="M27" s="64">
        <f t="shared" si="28"/>
        <v>0.76810810810810803</v>
      </c>
      <c r="N27" s="250"/>
      <c r="O27" s="64">
        <f>E27</f>
        <v>0.76810810810810803</v>
      </c>
      <c r="P27" s="64">
        <f t="shared" si="29"/>
        <v>0.76810810810810803</v>
      </c>
      <c r="Q27" s="64">
        <f t="shared" si="29"/>
        <v>0.76810810810810803</v>
      </c>
      <c r="R27" s="64">
        <f t="shared" ref="R27:V27" si="36">Q27</f>
        <v>0.76810810810810803</v>
      </c>
      <c r="S27" s="64">
        <f t="shared" si="36"/>
        <v>0.76810810810810803</v>
      </c>
      <c r="T27" s="35">
        <f t="shared" si="36"/>
        <v>0.76810810810810803</v>
      </c>
      <c r="U27" s="35">
        <f t="shared" si="36"/>
        <v>0.76810810810810803</v>
      </c>
      <c r="V27" s="35">
        <f t="shared" si="36"/>
        <v>0.76810810810810803</v>
      </c>
      <c r="W27" s="251"/>
      <c r="X27" s="64">
        <f t="shared" si="31"/>
        <v>0.76810810810810803</v>
      </c>
      <c r="Y27" s="64">
        <f t="shared" si="32"/>
        <v>0.76810810810810803</v>
      </c>
      <c r="Z27" s="64">
        <f t="shared" si="33"/>
        <v>0.76810810810810803</v>
      </c>
      <c r="AA27" s="64">
        <f t="shared" si="34"/>
        <v>0.76810810810810803</v>
      </c>
      <c r="AB27" s="64">
        <f t="shared" si="35"/>
        <v>0.76810810810810803</v>
      </c>
      <c r="AC27" s="74">
        <f>IF(INDEX($BH$4:$BH$7,MATCH($D$3,$BB$4:$BB$7,0)),AA27*$B$27,AA27)</f>
        <v>0.74890540540540529</v>
      </c>
      <c r="AD27" s="74">
        <f>IF(INDEX($BH$4:$BH$7,MATCH($D$3,$BB$4:$BB$7,0)),AC27*$B$27,AC27)</f>
        <v>0.73018277027027012</v>
      </c>
      <c r="AE27" s="74">
        <f>IF(INDEX($BH$4:$BH$7,MATCH($D$3,$BB$4:$BB$7,0)),AD27*$B$27,AD27)</f>
        <v>0.7119282010135134</v>
      </c>
      <c r="AF27" s="251"/>
      <c r="AG27" s="251"/>
      <c r="AH27" s="251"/>
      <c r="AI27" s="251"/>
      <c r="AJ27" s="251"/>
      <c r="AK27" s="251"/>
      <c r="AL27" s="251"/>
      <c r="AM27" s="251"/>
      <c r="AN27" s="251"/>
      <c r="AO27" s="251"/>
      <c r="AP27" s="251"/>
      <c r="AQ27" s="251"/>
      <c r="AR27" s="251"/>
      <c r="AS27" s="251"/>
      <c r="AT27" s="251"/>
      <c r="AU27" s="251"/>
    </row>
    <row r="28" spans="1:57">
      <c r="A28" s="194" t="s">
        <v>16</v>
      </c>
      <c r="B28" s="238"/>
      <c r="C28" s="238"/>
      <c r="L28" s="194"/>
      <c r="N28" s="41"/>
      <c r="X28" s="194" t="s">
        <v>200</v>
      </c>
      <c r="AA28" s="199"/>
      <c r="AC28" s="199"/>
      <c r="AD28" s="34"/>
    </row>
    <row r="29" spans="1:57" ht="15.75" thickBot="1">
      <c r="A29" s="194" t="s">
        <v>16</v>
      </c>
      <c r="B29" s="237" t="s">
        <v>188</v>
      </c>
      <c r="D29" s="237"/>
      <c r="E29" s="7">
        <v>2012</v>
      </c>
      <c r="F29" s="7">
        <f>F4</f>
        <v>2015</v>
      </c>
      <c r="G29" s="7">
        <f>G4</f>
        <v>2017</v>
      </c>
      <c r="H29" s="7">
        <f t="shared" ref="H29:J29" si="37">H4</f>
        <v>2019</v>
      </c>
      <c r="I29" s="7">
        <f t="shared" si="37"/>
        <v>2020</v>
      </c>
      <c r="J29" s="7">
        <f t="shared" si="37"/>
        <v>2021</v>
      </c>
      <c r="K29" s="7">
        <v>2030</v>
      </c>
      <c r="L29" s="7">
        <v>2040</v>
      </c>
      <c r="M29" s="7">
        <v>2050</v>
      </c>
      <c r="N29" s="41"/>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94" t="s">
        <v>16</v>
      </c>
      <c r="C30" s="238" t="str">
        <f>C25</f>
        <v>Low Income</v>
      </c>
      <c r="D30" s="194" t="s">
        <v>48</v>
      </c>
      <c r="E30" s="50">
        <f>[2]Calib_1011!$H$93</f>
        <v>0.25</v>
      </c>
      <c r="F30" s="63">
        <f>IF($D$4,X30,O30)</f>
        <v>0.25</v>
      </c>
      <c r="G30" s="63">
        <f t="shared" ref="G30:M32" si="40">IF($D$4,Y30,P30)</f>
        <v>0.25</v>
      </c>
      <c r="H30" s="63">
        <f t="shared" si="40"/>
        <v>0.25</v>
      </c>
      <c r="I30" s="63">
        <f t="shared" si="40"/>
        <v>0.25</v>
      </c>
      <c r="J30" s="63">
        <f t="shared" si="40"/>
        <v>0.25</v>
      </c>
      <c r="K30" s="63">
        <f t="shared" si="40"/>
        <v>0.25</v>
      </c>
      <c r="L30" s="63">
        <f t="shared" si="40"/>
        <v>0.25</v>
      </c>
      <c r="M30" s="63">
        <f t="shared" si="40"/>
        <v>0.25</v>
      </c>
      <c r="N30" s="43"/>
      <c r="O30" s="63">
        <f>E30</f>
        <v>0.25</v>
      </c>
      <c r="P30" s="63">
        <f>O30</f>
        <v>0.25</v>
      </c>
      <c r="Q30" s="63">
        <f>P30</f>
        <v>0.25</v>
      </c>
      <c r="R30" s="63">
        <f>Q30</f>
        <v>0.25</v>
      </c>
      <c r="S30" s="63">
        <f>R30</f>
        <v>0.25</v>
      </c>
      <c r="T30" s="47">
        <f t="shared" ref="T30:V30" si="41">S30</f>
        <v>0.25</v>
      </c>
      <c r="U30" s="47">
        <f t="shared" si="41"/>
        <v>0.25</v>
      </c>
      <c r="V30" s="47">
        <f t="shared" si="41"/>
        <v>0.25</v>
      </c>
      <c r="W30" s="239"/>
      <c r="X30" s="64">
        <f>O30</f>
        <v>0.25</v>
      </c>
      <c r="Y30" s="64">
        <f t="shared" ref="Y30:AB30" si="42">P30</f>
        <v>0.25</v>
      </c>
      <c r="Z30" s="64">
        <f t="shared" si="42"/>
        <v>0.25</v>
      </c>
      <c r="AA30" s="64">
        <f t="shared" si="42"/>
        <v>0.25</v>
      </c>
      <c r="AB30" s="64">
        <f t="shared" si="42"/>
        <v>0.25</v>
      </c>
      <c r="AC30" s="75">
        <f>AA30*$B25</f>
        <v>0.23749999999999999</v>
      </c>
      <c r="AD30" s="75">
        <f>AC30*0.95</f>
        <v>0.22562499999999999</v>
      </c>
      <c r="AE30" s="75">
        <f>AD30*0.95</f>
        <v>0.21434374999999997</v>
      </c>
      <c r="AF30" s="239"/>
      <c r="AG30" s="239"/>
      <c r="AH30" s="239"/>
      <c r="AI30" s="239"/>
      <c r="AJ30" s="239"/>
      <c r="AK30" s="239"/>
      <c r="AL30" s="239"/>
      <c r="AM30" s="239"/>
      <c r="AN30" s="239"/>
      <c r="AO30" s="239"/>
      <c r="AP30" s="239"/>
      <c r="AQ30" s="239"/>
      <c r="AR30" s="239"/>
      <c r="AS30" s="239"/>
      <c r="AT30" s="239"/>
      <c r="AU30" s="239"/>
    </row>
    <row r="31" spans="1:57">
      <c r="A31" s="194" t="s">
        <v>16</v>
      </c>
      <c r="C31" s="238" t="str">
        <f>C26</f>
        <v>Middle Income</v>
      </c>
      <c r="D31" s="194" t="s">
        <v>48</v>
      </c>
      <c r="E31" s="50">
        <f>[2]Calib_1011!$I$93</f>
        <v>0.31311637080867849</v>
      </c>
      <c r="F31" s="63">
        <f t="shared" ref="F31:F32" si="43">IF($D$4,X31,O31)</f>
        <v>0.31311637080867849</v>
      </c>
      <c r="G31" s="63">
        <f t="shared" si="40"/>
        <v>0.31311637080867849</v>
      </c>
      <c r="H31" s="63">
        <f t="shared" si="40"/>
        <v>0.31311637080867849</v>
      </c>
      <c r="I31" s="63">
        <f t="shared" si="40"/>
        <v>0.31311637080867849</v>
      </c>
      <c r="J31" s="63">
        <f t="shared" si="40"/>
        <v>0.31311637080867849</v>
      </c>
      <c r="K31" s="63">
        <f t="shared" si="40"/>
        <v>0.31311637080867849</v>
      </c>
      <c r="L31" s="63">
        <f t="shared" si="40"/>
        <v>0.31311637080867849</v>
      </c>
      <c r="M31" s="63">
        <f t="shared" si="40"/>
        <v>0.31311637080867849</v>
      </c>
      <c r="N31" s="43"/>
      <c r="O31" s="63">
        <f t="shared" ref="O31:O32" si="44">E31</f>
        <v>0.31311637080867849</v>
      </c>
      <c r="P31" s="63">
        <f t="shared" ref="P31:Q32" si="45">O31</f>
        <v>0.31311637080867849</v>
      </c>
      <c r="Q31" s="63">
        <f t="shared" si="45"/>
        <v>0.31311637080867849</v>
      </c>
      <c r="R31" s="63">
        <f>Q31</f>
        <v>0.31311637080867849</v>
      </c>
      <c r="S31" s="63">
        <f>R31</f>
        <v>0.31311637080867849</v>
      </c>
      <c r="T31" s="47">
        <f t="shared" ref="T31:V31" si="46">S31</f>
        <v>0.31311637080867849</v>
      </c>
      <c r="U31" s="47">
        <f t="shared" si="46"/>
        <v>0.31311637080867849</v>
      </c>
      <c r="V31" s="47">
        <f t="shared" si="46"/>
        <v>0.31311637080867849</v>
      </c>
      <c r="W31" s="239"/>
      <c r="X31" s="64">
        <f t="shared" ref="X31:X32" si="47">O31</f>
        <v>0.31311637080867849</v>
      </c>
      <c r="Y31" s="64">
        <f t="shared" ref="Y31:Y32" si="48">P31</f>
        <v>0.31311637080867849</v>
      </c>
      <c r="Z31" s="64">
        <f t="shared" ref="Z31:Z32" si="49">Q31</f>
        <v>0.31311637080867849</v>
      </c>
      <c r="AA31" s="64">
        <f t="shared" ref="AA31:AA32" si="50">R31</f>
        <v>0.31311637080867849</v>
      </c>
      <c r="AB31" s="64">
        <f t="shared" ref="AB31:AB32" si="51">S31</f>
        <v>0.31311637080867849</v>
      </c>
      <c r="AC31" s="74">
        <f>IF(INDEX($BH$4:$BH$7,MATCH($D$3,$BB$4:$BB$7,0)),AA31*$B$26,AA31)</f>
        <v>0.29746055226824453</v>
      </c>
      <c r="AD31" s="74">
        <f t="shared" ref="AD31" si="52">IF(INDEX($BH$4:$BH$7,MATCH($D$3,$BB$4:$BB$7,0)),AB31*$B$26,AB31)</f>
        <v>0.29746055226824453</v>
      </c>
      <c r="AE31" s="74">
        <f>IF(INDEX($BH$4:$BH$7,MATCH($D$3,$BB$4:$BB$7,0)),AC31*$B$26,AC31)</f>
        <v>0.28258752465483228</v>
      </c>
      <c r="AF31" s="239"/>
      <c r="AG31" s="239"/>
      <c r="AH31" s="239"/>
      <c r="AI31" s="239"/>
      <c r="AJ31" s="239"/>
      <c r="AK31" s="239"/>
      <c r="AL31" s="239"/>
      <c r="AM31" s="239"/>
      <c r="AN31" s="239"/>
      <c r="AO31" s="239"/>
      <c r="AP31" s="239"/>
      <c r="AQ31" s="239"/>
      <c r="AR31" s="239"/>
      <c r="AS31" s="239"/>
      <c r="AT31" s="239"/>
      <c r="AU31" s="239"/>
    </row>
    <row r="32" spans="1:57">
      <c r="A32" s="194" t="s">
        <v>16</v>
      </c>
      <c r="C32" s="238" t="str">
        <f>C27</f>
        <v>High Income</v>
      </c>
      <c r="D32" s="194" t="s">
        <v>48</v>
      </c>
      <c r="E32" s="50">
        <f>[2]Calib_1011!$J$93</f>
        <v>0.41283463855351005</v>
      </c>
      <c r="F32" s="63">
        <f t="shared" si="43"/>
        <v>0.41283463855351005</v>
      </c>
      <c r="G32" s="63">
        <f t="shared" si="40"/>
        <v>0.41283463855351005</v>
      </c>
      <c r="H32" s="63">
        <f t="shared" si="40"/>
        <v>0.41283463855351005</v>
      </c>
      <c r="I32" s="63">
        <f t="shared" si="40"/>
        <v>0.40790316676191524</v>
      </c>
      <c r="J32" s="63">
        <f t="shared" si="40"/>
        <v>0.41325154744498233</v>
      </c>
      <c r="K32" s="63">
        <f t="shared" si="40"/>
        <v>0.42080265545477441</v>
      </c>
      <c r="L32" s="63">
        <f t="shared" si="40"/>
        <v>0.4455787384984683</v>
      </c>
      <c r="M32" s="63">
        <f t="shared" si="40"/>
        <v>0.4757137128656545</v>
      </c>
      <c r="N32" s="43"/>
      <c r="O32" s="63">
        <f t="shared" si="44"/>
        <v>0.41283463855351005</v>
      </c>
      <c r="P32" s="63">
        <f t="shared" si="45"/>
        <v>0.41283463855351005</v>
      </c>
      <c r="Q32" s="63">
        <f t="shared" si="45"/>
        <v>0.41283463855351005</v>
      </c>
      <c r="R32" s="63">
        <f>Q32*(1+R21*(I21/F21-1))</f>
        <v>0.40790316676191524</v>
      </c>
      <c r="S32" s="63">
        <f>R32*(1+S21*(J21/G21-1))</f>
        <v>0.41325154744498233</v>
      </c>
      <c r="T32" s="47">
        <f>S32*(1+T21*(K21/J21-1))</f>
        <v>0.42080265545477441</v>
      </c>
      <c r="U32" s="47">
        <f t="shared" ref="U32:V32" si="53">T32*(1+U21*(L21/K21-1))</f>
        <v>0.4455787384984683</v>
      </c>
      <c r="V32" s="47">
        <f t="shared" si="53"/>
        <v>0.4757137128656545</v>
      </c>
      <c r="W32" s="239"/>
      <c r="X32" s="64">
        <f t="shared" si="47"/>
        <v>0.41283463855351005</v>
      </c>
      <c r="Y32" s="64">
        <f t="shared" si="48"/>
        <v>0.41283463855351005</v>
      </c>
      <c r="Z32" s="64">
        <f t="shared" si="49"/>
        <v>0.41283463855351005</v>
      </c>
      <c r="AA32" s="64">
        <f t="shared" si="50"/>
        <v>0.40790316676191524</v>
      </c>
      <c r="AB32" s="64">
        <f t="shared" si="51"/>
        <v>0.41325154744498233</v>
      </c>
      <c r="AC32" s="74">
        <f>IF(INDEX($BH$4:$BH$7,MATCH($D$3,$BB$4:$BB$7,0)),AA32*$B$27,AA32)</f>
        <v>0.39770558759286734</v>
      </c>
      <c r="AD32" s="74">
        <f>IF(INDEX($BH$4:$BH$7,MATCH($D$3,$BB$4:$BB$7,0)),AC32*$B$27,AC32)</f>
        <v>0.38776294790304566</v>
      </c>
      <c r="AE32" s="74">
        <f>IF(INDEX($BH$4:$BH$7,MATCH($D$3,$BB$4:$BB$7,0)),AD32*$B$27,AD32)</f>
        <v>0.37806887420546953</v>
      </c>
      <c r="AF32" s="239"/>
      <c r="AG32" s="239"/>
      <c r="AH32" s="239"/>
      <c r="AI32" s="239"/>
      <c r="AJ32" s="239"/>
      <c r="AK32" s="239"/>
      <c r="AL32" s="239"/>
      <c r="AM32" s="239"/>
      <c r="AN32" s="239"/>
      <c r="AO32" s="239"/>
      <c r="AP32" s="239"/>
      <c r="AQ32" s="239"/>
      <c r="AR32" s="239"/>
      <c r="AS32" s="239"/>
      <c r="AT32" s="239"/>
      <c r="AU32" s="239"/>
    </row>
    <row r="33" spans="1:47">
      <c r="A33" s="194" t="s">
        <v>16</v>
      </c>
      <c r="C33" s="238"/>
      <c r="L33" s="194"/>
      <c r="N33" s="43"/>
      <c r="O33" s="195"/>
      <c r="W33" s="239"/>
      <c r="X33" s="194" t="s">
        <v>201</v>
      </c>
      <c r="AF33" s="239"/>
      <c r="AG33" s="239"/>
      <c r="AH33" s="239"/>
      <c r="AI33" s="239"/>
      <c r="AJ33" s="239"/>
      <c r="AK33" s="239"/>
      <c r="AL33" s="239"/>
      <c r="AM33" s="239"/>
      <c r="AN33" s="239"/>
      <c r="AO33" s="239"/>
      <c r="AP33" s="239"/>
      <c r="AQ33" s="239"/>
      <c r="AR33" s="239"/>
      <c r="AS33" s="239"/>
      <c r="AT33" s="239"/>
      <c r="AU33" s="239"/>
    </row>
    <row r="34" spans="1:47" ht="15.75" thickBot="1">
      <c r="A34" s="194" t="s">
        <v>16</v>
      </c>
      <c r="B34" s="237" t="s">
        <v>189</v>
      </c>
      <c r="D34" s="26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1"/>
      <c r="O34" s="7">
        <f>O29</f>
        <v>2015</v>
      </c>
      <c r="P34" s="7">
        <f t="shared" ref="P34:T34" si="55">P29</f>
        <v>2017</v>
      </c>
      <c r="Q34" s="7">
        <f t="shared" si="55"/>
        <v>2019</v>
      </c>
      <c r="R34" s="7">
        <f t="shared" si="55"/>
        <v>2020</v>
      </c>
      <c r="S34" s="7">
        <f t="shared" si="55"/>
        <v>2021</v>
      </c>
      <c r="T34" s="7">
        <f t="shared" si="55"/>
        <v>2030</v>
      </c>
      <c r="U34" s="7">
        <f>L34</f>
        <v>2040</v>
      </c>
      <c r="V34" s="7">
        <f>M34</f>
        <v>2050</v>
      </c>
      <c r="W34" s="239"/>
      <c r="X34" s="7">
        <f>F34</f>
        <v>2015</v>
      </c>
      <c r="Y34" s="7">
        <f t="shared" ref="Y34:Z34" si="56">G34</f>
        <v>2017</v>
      </c>
      <c r="Z34" s="7">
        <f t="shared" si="56"/>
        <v>2019</v>
      </c>
      <c r="AA34" s="7">
        <f>I34</f>
        <v>2020</v>
      </c>
      <c r="AB34" s="7">
        <f>J34</f>
        <v>2021</v>
      </c>
      <c r="AC34" s="7">
        <f>K34</f>
        <v>2030</v>
      </c>
      <c r="AD34" s="7">
        <f>L34</f>
        <v>2040</v>
      </c>
      <c r="AE34" s="7">
        <f>M34</f>
        <v>2050</v>
      </c>
    </row>
    <row r="35" spans="1:47">
      <c r="A35" s="194" t="s">
        <v>16</v>
      </c>
      <c r="C35" s="238" t="str">
        <f>C30</f>
        <v>Low Income</v>
      </c>
      <c r="D35" s="194" t="s">
        <v>96</v>
      </c>
      <c r="E35" s="50">
        <f>[2]Calib_1011!$H$113</f>
        <v>1.4</v>
      </c>
      <c r="F35" s="63">
        <f>IF($D$4,X35,O35)</f>
        <v>1.4</v>
      </c>
      <c r="G35" s="63">
        <f t="shared" ref="G35:M38" si="57">IF($D$4,Y35,P35)</f>
        <v>1.4</v>
      </c>
      <c r="H35" s="63">
        <f t="shared" si="57"/>
        <v>1.4</v>
      </c>
      <c r="I35" s="63">
        <f t="shared" si="57"/>
        <v>1.4</v>
      </c>
      <c r="J35" s="63">
        <f t="shared" si="57"/>
        <v>1.4</v>
      </c>
      <c r="K35" s="63">
        <f t="shared" si="57"/>
        <v>1.4</v>
      </c>
      <c r="L35" s="63">
        <f t="shared" si="57"/>
        <v>1.4</v>
      </c>
      <c r="M35" s="63">
        <f t="shared" si="57"/>
        <v>1.4</v>
      </c>
      <c r="N35" s="43"/>
      <c r="O35" s="63">
        <f>E35</f>
        <v>1.4</v>
      </c>
      <c r="P35" s="63">
        <f>O35</f>
        <v>1.4</v>
      </c>
      <c r="Q35" s="63">
        <f t="shared" ref="Q35:V35" si="58">P35</f>
        <v>1.4</v>
      </c>
      <c r="R35" s="63">
        <f t="shared" si="58"/>
        <v>1.4</v>
      </c>
      <c r="S35" s="63">
        <f t="shared" ref="S35" si="59">R35</f>
        <v>1.4</v>
      </c>
      <c r="T35" s="47">
        <f t="shared" si="58"/>
        <v>1.4</v>
      </c>
      <c r="U35" s="47">
        <f t="shared" si="58"/>
        <v>1.4</v>
      </c>
      <c r="V35" s="47">
        <f t="shared" si="58"/>
        <v>1.4</v>
      </c>
      <c r="W35" s="239"/>
      <c r="X35" s="63">
        <f>O35</f>
        <v>1.4</v>
      </c>
      <c r="Y35" s="63">
        <f t="shared" ref="Y35:AB35" si="60">P35</f>
        <v>1.4</v>
      </c>
      <c r="Z35" s="63">
        <f t="shared" si="60"/>
        <v>1.4</v>
      </c>
      <c r="AA35" s="63">
        <f t="shared" si="60"/>
        <v>1.4</v>
      </c>
      <c r="AB35" s="63">
        <f t="shared" si="60"/>
        <v>1.4</v>
      </c>
      <c r="AC35" s="75">
        <f>AA35*(1+$D$34)</f>
        <v>1.4</v>
      </c>
      <c r="AD35" s="75">
        <f t="shared" ref="AD35:AE38" si="61">AC35*(1+$D$34)</f>
        <v>1.4</v>
      </c>
      <c r="AE35" s="75">
        <f t="shared" si="61"/>
        <v>1.4</v>
      </c>
      <c r="AF35" s="239"/>
      <c r="AG35" s="239"/>
      <c r="AH35" s="239"/>
      <c r="AI35" s="239"/>
      <c r="AJ35" s="239"/>
      <c r="AK35" s="239"/>
      <c r="AL35" s="239"/>
      <c r="AM35" s="239"/>
      <c r="AN35" s="239"/>
      <c r="AO35" s="239"/>
      <c r="AP35" s="239"/>
      <c r="AQ35" s="239"/>
      <c r="AR35" s="239"/>
      <c r="AS35" s="239"/>
      <c r="AT35" s="239"/>
      <c r="AU35" s="239"/>
    </row>
    <row r="36" spans="1:47">
      <c r="A36" s="194" t="s">
        <v>16</v>
      </c>
      <c r="C36" s="238" t="str">
        <f>C31</f>
        <v>Middle Income</v>
      </c>
      <c r="D36" s="194" t="s">
        <v>96</v>
      </c>
      <c r="E36" s="50">
        <f>[2]Calib_1011!$I$113</f>
        <v>1.4</v>
      </c>
      <c r="F36" s="63">
        <f t="shared" ref="F36:F38" si="62">IF($D$4,X36,O36)</f>
        <v>1.4</v>
      </c>
      <c r="G36" s="63">
        <f t="shared" si="57"/>
        <v>1.4</v>
      </c>
      <c r="H36" s="63">
        <f t="shared" si="57"/>
        <v>1.4</v>
      </c>
      <c r="I36" s="63">
        <f t="shared" si="57"/>
        <v>1.4</v>
      </c>
      <c r="J36" s="63">
        <f t="shared" si="57"/>
        <v>1.4</v>
      </c>
      <c r="K36" s="63">
        <f t="shared" si="57"/>
        <v>1.4</v>
      </c>
      <c r="L36" s="63">
        <f t="shared" si="57"/>
        <v>1.4</v>
      </c>
      <c r="M36" s="63">
        <f t="shared" si="57"/>
        <v>1.4</v>
      </c>
      <c r="N36" s="43"/>
      <c r="O36" s="63">
        <f>E36</f>
        <v>1.4</v>
      </c>
      <c r="P36" s="63">
        <f t="shared" ref="P36:V38" si="63">O36</f>
        <v>1.4</v>
      </c>
      <c r="Q36" s="63">
        <f t="shared" si="63"/>
        <v>1.4</v>
      </c>
      <c r="R36" s="63">
        <f t="shared" si="63"/>
        <v>1.4</v>
      </c>
      <c r="S36" s="63">
        <f t="shared" ref="S36" si="64">R36</f>
        <v>1.4</v>
      </c>
      <c r="T36" s="47">
        <f t="shared" si="63"/>
        <v>1.4</v>
      </c>
      <c r="U36" s="47">
        <f t="shared" si="63"/>
        <v>1.4</v>
      </c>
      <c r="V36" s="47">
        <f t="shared" si="63"/>
        <v>1.4</v>
      </c>
      <c r="W36" s="239"/>
      <c r="X36" s="63">
        <f t="shared" ref="X36:X38" si="65">O36</f>
        <v>1.4</v>
      </c>
      <c r="Y36" s="63">
        <f t="shared" ref="Y36:Y38" si="66">P36</f>
        <v>1.4</v>
      </c>
      <c r="Z36" s="63">
        <f t="shared" ref="Z36:Z38" si="67">Q36</f>
        <v>1.4</v>
      </c>
      <c r="AA36" s="63">
        <f t="shared" ref="AA36:AA38" si="68">R36</f>
        <v>1.4</v>
      </c>
      <c r="AB36" s="63">
        <f t="shared" ref="AB36:AB38" si="69">S36</f>
        <v>1.4</v>
      </c>
      <c r="AC36" s="75">
        <f>AA36*(1+$D$34)</f>
        <v>1.4</v>
      </c>
      <c r="AD36" s="75">
        <f t="shared" si="61"/>
        <v>1.4</v>
      </c>
      <c r="AE36" s="75">
        <f t="shared" si="61"/>
        <v>1.4</v>
      </c>
      <c r="AF36" s="239"/>
      <c r="AG36" s="239"/>
      <c r="AH36" s="239"/>
      <c r="AI36" s="239"/>
      <c r="AJ36" s="239"/>
      <c r="AK36" s="239"/>
      <c r="AL36" s="239"/>
      <c r="AM36" s="239"/>
      <c r="AN36" s="239"/>
      <c r="AO36" s="239"/>
      <c r="AP36" s="239"/>
      <c r="AQ36" s="239"/>
      <c r="AR36" s="239"/>
      <c r="AS36" s="239"/>
      <c r="AT36" s="239"/>
      <c r="AU36" s="239"/>
    </row>
    <row r="37" spans="1:47">
      <c r="A37" s="194" t="s">
        <v>16</v>
      </c>
      <c r="C37" s="238" t="str">
        <f>C32</f>
        <v>High Income</v>
      </c>
      <c r="D37" s="194" t="s">
        <v>96</v>
      </c>
      <c r="E37" s="50">
        <f>[2]Calib_1011!$J$113</f>
        <v>1.4</v>
      </c>
      <c r="F37" s="63">
        <f t="shared" si="62"/>
        <v>1.4</v>
      </c>
      <c r="G37" s="63">
        <f t="shared" si="57"/>
        <v>1.4</v>
      </c>
      <c r="H37" s="63">
        <f t="shared" si="57"/>
        <v>1.4</v>
      </c>
      <c r="I37" s="63">
        <f t="shared" si="57"/>
        <v>1.4</v>
      </c>
      <c r="J37" s="63">
        <f t="shared" si="57"/>
        <v>1.4</v>
      </c>
      <c r="K37" s="63">
        <f t="shared" si="57"/>
        <v>1.4</v>
      </c>
      <c r="L37" s="63">
        <f t="shared" si="57"/>
        <v>1.4</v>
      </c>
      <c r="M37" s="63">
        <f t="shared" si="57"/>
        <v>1.4</v>
      </c>
      <c r="N37" s="43"/>
      <c r="O37" s="63">
        <f>E37</f>
        <v>1.4</v>
      </c>
      <c r="P37" s="63">
        <f t="shared" si="63"/>
        <v>1.4</v>
      </c>
      <c r="Q37" s="63">
        <f t="shared" si="63"/>
        <v>1.4</v>
      </c>
      <c r="R37" s="63">
        <f t="shared" si="63"/>
        <v>1.4</v>
      </c>
      <c r="S37" s="63">
        <f t="shared" ref="S37" si="70">R37</f>
        <v>1.4</v>
      </c>
      <c r="T37" s="47">
        <f t="shared" si="63"/>
        <v>1.4</v>
      </c>
      <c r="U37" s="47">
        <f t="shared" si="63"/>
        <v>1.4</v>
      </c>
      <c r="V37" s="47">
        <f t="shared" si="63"/>
        <v>1.4</v>
      </c>
      <c r="W37" s="239"/>
      <c r="X37" s="63">
        <f t="shared" si="65"/>
        <v>1.4</v>
      </c>
      <c r="Y37" s="63">
        <f t="shared" si="66"/>
        <v>1.4</v>
      </c>
      <c r="Z37" s="63">
        <f t="shared" si="67"/>
        <v>1.4</v>
      </c>
      <c r="AA37" s="63">
        <f t="shared" si="68"/>
        <v>1.4</v>
      </c>
      <c r="AB37" s="63">
        <f t="shared" si="69"/>
        <v>1.4</v>
      </c>
      <c r="AC37" s="75">
        <f>AA37*(1+$D$34)</f>
        <v>1.4</v>
      </c>
      <c r="AD37" s="75">
        <f t="shared" si="61"/>
        <v>1.4</v>
      </c>
      <c r="AE37" s="75">
        <f t="shared" si="61"/>
        <v>1.4</v>
      </c>
      <c r="AF37" s="239"/>
      <c r="AG37" s="239"/>
      <c r="AH37" s="239"/>
      <c r="AI37" s="239"/>
      <c r="AJ37" s="239"/>
      <c r="AK37" s="239"/>
      <c r="AL37" s="239"/>
      <c r="AM37" s="239"/>
      <c r="AN37" s="239"/>
      <c r="AO37" s="239"/>
      <c r="AP37" s="239"/>
      <c r="AQ37" s="239"/>
      <c r="AR37" s="239"/>
      <c r="AS37" s="239"/>
      <c r="AT37" s="239"/>
      <c r="AU37" s="239"/>
    </row>
    <row r="38" spans="1:47">
      <c r="A38" s="194" t="s">
        <v>16</v>
      </c>
      <c r="C38" s="238" t="s">
        <v>195</v>
      </c>
      <c r="D38" s="194" t="s">
        <v>96</v>
      </c>
      <c r="E38" s="50">
        <f>[2]Calib_1011!K113</f>
        <v>1.4</v>
      </c>
      <c r="F38" s="63">
        <f t="shared" si="62"/>
        <v>1.4</v>
      </c>
      <c r="G38" s="63">
        <f t="shared" si="57"/>
        <v>1.4</v>
      </c>
      <c r="H38" s="63">
        <f t="shared" si="57"/>
        <v>1.4</v>
      </c>
      <c r="I38" s="63">
        <f t="shared" si="57"/>
        <v>1.4</v>
      </c>
      <c r="J38" s="63">
        <f t="shared" si="57"/>
        <v>1.4</v>
      </c>
      <c r="K38" s="63">
        <f t="shared" si="57"/>
        <v>1.4</v>
      </c>
      <c r="L38" s="63">
        <f t="shared" si="57"/>
        <v>1.4</v>
      </c>
      <c r="M38" s="63">
        <f t="shared" si="57"/>
        <v>1.4</v>
      </c>
      <c r="N38" s="41"/>
      <c r="O38" s="63">
        <f>E38</f>
        <v>1.4</v>
      </c>
      <c r="P38" s="63">
        <f t="shared" si="63"/>
        <v>1.4</v>
      </c>
      <c r="Q38" s="63">
        <f t="shared" si="63"/>
        <v>1.4</v>
      </c>
      <c r="R38" s="63">
        <f t="shared" si="63"/>
        <v>1.4</v>
      </c>
      <c r="S38" s="63">
        <f t="shared" ref="S38" si="71">R38</f>
        <v>1.4</v>
      </c>
      <c r="T38" s="47">
        <f t="shared" si="63"/>
        <v>1.4</v>
      </c>
      <c r="U38" s="47">
        <f t="shared" si="63"/>
        <v>1.4</v>
      </c>
      <c r="V38" s="47">
        <f t="shared" si="63"/>
        <v>1.4</v>
      </c>
      <c r="X38" s="63">
        <f t="shared" si="65"/>
        <v>1.4</v>
      </c>
      <c r="Y38" s="63">
        <f t="shared" si="66"/>
        <v>1.4</v>
      </c>
      <c r="Z38" s="63">
        <f t="shared" si="67"/>
        <v>1.4</v>
      </c>
      <c r="AA38" s="63">
        <f t="shared" si="68"/>
        <v>1.4</v>
      </c>
      <c r="AB38" s="63">
        <f t="shared" si="69"/>
        <v>1.4</v>
      </c>
      <c r="AC38" s="75">
        <f>AA38*(1+$D$34)</f>
        <v>1.4</v>
      </c>
      <c r="AD38" s="75">
        <f t="shared" si="61"/>
        <v>1.4</v>
      </c>
      <c r="AE38" s="75">
        <f t="shared" si="61"/>
        <v>1.4</v>
      </c>
    </row>
    <row r="39" spans="1:47">
      <c r="A39" s="194" t="s">
        <v>16</v>
      </c>
      <c r="C39" s="238"/>
      <c r="L39" s="194"/>
      <c r="N39" s="43"/>
      <c r="O39" s="195"/>
      <c r="P39" s="195"/>
      <c r="Q39" s="195"/>
      <c r="R39" s="195"/>
      <c r="S39" s="195"/>
      <c r="T39" s="195"/>
      <c r="W39" s="239"/>
      <c r="X39" s="194" t="s">
        <v>202</v>
      </c>
      <c r="AF39" s="239"/>
      <c r="AG39" s="239"/>
      <c r="AH39" s="239"/>
      <c r="AI39" s="239"/>
      <c r="AJ39" s="239"/>
      <c r="AK39" s="239"/>
      <c r="AL39" s="239"/>
      <c r="AM39" s="239"/>
      <c r="AN39" s="239"/>
      <c r="AO39" s="239"/>
      <c r="AP39" s="239"/>
      <c r="AQ39" s="239"/>
      <c r="AR39" s="239"/>
      <c r="AS39" s="239"/>
      <c r="AT39" s="239"/>
      <c r="AU39" s="239"/>
    </row>
    <row r="40" spans="1:47" ht="15.75" thickBot="1">
      <c r="A40" s="194" t="s">
        <v>16</v>
      </c>
      <c r="B40" s="237" t="s">
        <v>190</v>
      </c>
      <c r="D40" s="237"/>
      <c r="E40" s="7">
        <v>2012</v>
      </c>
      <c r="F40" s="7">
        <f>F4</f>
        <v>2015</v>
      </c>
      <c r="G40" s="7">
        <f>G4</f>
        <v>2017</v>
      </c>
      <c r="H40" s="7">
        <f t="shared" ref="H40:J40" si="72">H4</f>
        <v>2019</v>
      </c>
      <c r="I40" s="7">
        <f t="shared" si="72"/>
        <v>2020</v>
      </c>
      <c r="J40" s="7">
        <f t="shared" si="72"/>
        <v>2021</v>
      </c>
      <c r="K40" s="7">
        <v>2030</v>
      </c>
      <c r="L40" s="7">
        <v>2040</v>
      </c>
      <c r="M40" s="7">
        <v>2050</v>
      </c>
      <c r="N40" s="312" t="s">
        <v>656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94" t="s">
        <v>16</v>
      </c>
      <c r="B41" s="202">
        <f>INDEX($BG$4:$BG$7,MATCH($D$3,$BB$4:$BB$7,0))</f>
        <v>0.95</v>
      </c>
      <c r="C41" s="238" t="str">
        <f>C35</f>
        <v>Low Income</v>
      </c>
      <c r="D41" s="36" t="s">
        <v>171</v>
      </c>
      <c r="E41" s="50">
        <f>[2]Calib_1011!$H$118</f>
        <v>8.0274119837508469</v>
      </c>
      <c r="F41" s="63">
        <f>IF($D$4,X41,O41)</f>
        <v>8.0274119837508469</v>
      </c>
      <c r="G41" s="63">
        <f t="shared" ref="G41:M44" si="75">IF($D$4,Y41,P41)</f>
        <v>8.0274119837508469</v>
      </c>
      <c r="H41" s="63">
        <f t="shared" si="75"/>
        <v>8.0274119837508469</v>
      </c>
      <c r="I41" s="63">
        <f t="shared" si="75"/>
        <v>8.0274119837508469</v>
      </c>
      <c r="J41" s="63">
        <f t="shared" si="75"/>
        <v>8.0274119837508469</v>
      </c>
      <c r="K41" s="63">
        <f t="shared" si="75"/>
        <v>8.0274119837508469</v>
      </c>
      <c r="L41" s="63">
        <f t="shared" si="75"/>
        <v>8.0274119837508469</v>
      </c>
      <c r="M41" s="63">
        <f t="shared" si="75"/>
        <v>8.0274119837508469</v>
      </c>
      <c r="N41" s="313">
        <v>1</v>
      </c>
      <c r="O41" s="63">
        <f>E41</f>
        <v>8.0274119837508469</v>
      </c>
      <c r="P41" s="195">
        <f>O41</f>
        <v>8.0274119837508469</v>
      </c>
      <c r="Q41" s="194">
        <f t="shared" ref="Q41:V41" si="76">P41</f>
        <v>8.0274119837508469</v>
      </c>
      <c r="R41" s="63">
        <f>Q41*$N41</f>
        <v>8.0274119837508469</v>
      </c>
      <c r="S41" s="63">
        <f>Q41</f>
        <v>8.0274119837508469</v>
      </c>
      <c r="T41" s="47">
        <f t="shared" si="76"/>
        <v>8.0274119837508469</v>
      </c>
      <c r="U41" s="47">
        <f t="shared" si="76"/>
        <v>8.0274119837508469</v>
      </c>
      <c r="V41" s="47">
        <f t="shared" si="76"/>
        <v>8.0274119837508469</v>
      </c>
      <c r="X41" s="63">
        <f>O41</f>
        <v>8.0274119837508469</v>
      </c>
      <c r="Y41" s="63">
        <f t="shared" ref="Y41:AB41" si="77">P41</f>
        <v>8.0274119837508469</v>
      </c>
      <c r="Z41" s="63">
        <f t="shared" si="77"/>
        <v>8.0274119837508469</v>
      </c>
      <c r="AA41" s="63">
        <f t="shared" si="77"/>
        <v>8.0274119837508469</v>
      </c>
      <c r="AB41" s="63">
        <f t="shared" si="77"/>
        <v>8.0274119837508469</v>
      </c>
      <c r="AC41" s="75">
        <f t="shared" ref="AC41:AE43" si="78">AB41*$B41</f>
        <v>7.6260413845633037</v>
      </c>
      <c r="AD41" s="75">
        <f t="shared" si="78"/>
        <v>7.2447393153351385</v>
      </c>
      <c r="AE41" s="75">
        <f t="shared" si="78"/>
        <v>6.882502349568381</v>
      </c>
      <c r="AF41" s="239"/>
      <c r="AG41" s="239"/>
      <c r="AH41" s="239"/>
      <c r="AI41" s="239"/>
      <c r="AJ41" s="239"/>
      <c r="AK41" s="239"/>
      <c r="AL41" s="239"/>
      <c r="AM41" s="239"/>
      <c r="AN41" s="239"/>
      <c r="AO41" s="239"/>
      <c r="AP41" s="239"/>
      <c r="AQ41" s="239"/>
      <c r="AR41" s="239"/>
      <c r="AS41" s="239"/>
      <c r="AT41" s="239"/>
      <c r="AU41" s="239"/>
    </row>
    <row r="42" spans="1:47">
      <c r="A42" s="194" t="s">
        <v>16</v>
      </c>
      <c r="B42" s="202">
        <f>INDEX($BF$4:$BF$7,MATCH($D$3,$BB$4:$BB$7,0))</f>
        <v>0.95</v>
      </c>
      <c r="C42" s="238" t="str">
        <f>C36</f>
        <v>Middle Income</v>
      </c>
      <c r="D42" s="36" t="s">
        <v>171</v>
      </c>
      <c r="E42" s="50">
        <f>[2]Calib_1011!$I$118</f>
        <v>13.418073439870216</v>
      </c>
      <c r="F42" s="63">
        <f>IF($D$4,X42,O42)</f>
        <v>13.418073439870216</v>
      </c>
      <c r="G42" s="63">
        <f t="shared" si="75"/>
        <v>13.418073439870216</v>
      </c>
      <c r="H42" s="63">
        <f t="shared" si="75"/>
        <v>13.418073439870216</v>
      </c>
      <c r="I42" s="63">
        <f t="shared" si="75"/>
        <v>13.418073439870216</v>
      </c>
      <c r="J42" s="63">
        <f t="shared" si="75"/>
        <v>13.418073439870216</v>
      </c>
      <c r="K42" s="63">
        <f t="shared" si="75"/>
        <v>13.418073439870216</v>
      </c>
      <c r="L42" s="63">
        <f t="shared" si="75"/>
        <v>13.418073439870216</v>
      </c>
      <c r="M42" s="63">
        <f t="shared" si="75"/>
        <v>13.418073439870216</v>
      </c>
      <c r="N42" s="313">
        <v>1</v>
      </c>
      <c r="O42" s="63">
        <f t="shared" ref="O42:O44" si="79">E42</f>
        <v>13.418073439870216</v>
      </c>
      <c r="P42" s="195">
        <f t="shared" ref="P42:V44" si="80">O42</f>
        <v>13.418073439870216</v>
      </c>
      <c r="Q42" s="194">
        <f t="shared" si="80"/>
        <v>13.418073439870216</v>
      </c>
      <c r="R42" s="63">
        <f t="shared" ref="R42:R44" si="81">Q42*$N42</f>
        <v>13.418073439870216</v>
      </c>
      <c r="S42" s="63">
        <f t="shared" ref="S42:S44" si="82">Q42</f>
        <v>13.418073439870216</v>
      </c>
      <c r="T42" s="189">
        <f>S42</f>
        <v>13.418073439870216</v>
      </c>
      <c r="U42" s="189">
        <f t="shared" si="80"/>
        <v>13.418073439870216</v>
      </c>
      <c r="V42" s="189">
        <f t="shared" si="80"/>
        <v>13.418073439870216</v>
      </c>
      <c r="X42" s="63">
        <f t="shared" ref="X42:X44" si="83">O42</f>
        <v>13.418073439870216</v>
      </c>
      <c r="Y42" s="63">
        <f t="shared" ref="Y42:Y44" si="84">P42</f>
        <v>13.418073439870216</v>
      </c>
      <c r="Z42" s="63">
        <f t="shared" ref="Z42:Z44" si="85">Q42</f>
        <v>13.418073439870216</v>
      </c>
      <c r="AA42" s="63">
        <f t="shared" ref="AA42:AA44" si="86">R42</f>
        <v>13.418073439870216</v>
      </c>
      <c r="AB42" s="63">
        <f t="shared" ref="AB42:AB44" si="87">S42</f>
        <v>13.418073439870216</v>
      </c>
      <c r="AC42" s="75">
        <f t="shared" si="78"/>
        <v>12.747169767876706</v>
      </c>
      <c r="AD42" s="75">
        <f t="shared" si="78"/>
        <v>12.109811279482869</v>
      </c>
      <c r="AE42" s="75">
        <f t="shared" si="78"/>
        <v>11.504320715508726</v>
      </c>
      <c r="AF42" s="239"/>
      <c r="AG42" s="239"/>
      <c r="AH42" s="239"/>
      <c r="AI42" s="239"/>
      <c r="AJ42" s="239"/>
      <c r="AK42" s="239"/>
      <c r="AL42" s="239"/>
      <c r="AM42" s="239"/>
      <c r="AN42" s="239"/>
      <c r="AO42" s="239"/>
      <c r="AP42" s="239"/>
      <c r="AQ42" s="239"/>
      <c r="AR42" s="239"/>
      <c r="AS42" s="239"/>
      <c r="AT42" s="239"/>
      <c r="AU42" s="239"/>
    </row>
    <row r="43" spans="1:47">
      <c r="A43" s="194" t="s">
        <v>16</v>
      </c>
      <c r="B43" s="202">
        <f>INDEX($BE$4:$BE$7,MATCH($D$3,$BB$4:$BB$7,0))</f>
        <v>0.97499999999999998</v>
      </c>
      <c r="C43" s="238" t="str">
        <f>C37</f>
        <v>High Income</v>
      </c>
      <c r="D43" s="36" t="s">
        <v>171</v>
      </c>
      <c r="E43" s="50">
        <f>[2]Calib_1011!$J$118</f>
        <v>15.663966300310799</v>
      </c>
      <c r="F43" s="63">
        <f>IF($D$4,X43,O43)</f>
        <v>15.663966300310799</v>
      </c>
      <c r="G43" s="63">
        <f t="shared" si="75"/>
        <v>15.663966300310799</v>
      </c>
      <c r="H43" s="63">
        <f t="shared" si="75"/>
        <v>15.663966300310799</v>
      </c>
      <c r="I43" s="63">
        <f t="shared" si="75"/>
        <v>15.663966300310799</v>
      </c>
      <c r="J43" s="63">
        <f t="shared" si="75"/>
        <v>15.663966300310799</v>
      </c>
      <c r="K43" s="63">
        <f t="shared" si="75"/>
        <v>15.663966300310799</v>
      </c>
      <c r="L43" s="63">
        <f t="shared" si="75"/>
        <v>15.663966300310799</v>
      </c>
      <c r="M43" s="63">
        <f t="shared" si="75"/>
        <v>15.663966300310799</v>
      </c>
      <c r="N43" s="313">
        <v>1</v>
      </c>
      <c r="O43" s="63">
        <f t="shared" si="79"/>
        <v>15.663966300310799</v>
      </c>
      <c r="P43" s="195">
        <f t="shared" si="80"/>
        <v>15.663966300310799</v>
      </c>
      <c r="Q43" s="194">
        <f t="shared" si="80"/>
        <v>15.663966300310799</v>
      </c>
      <c r="R43" s="63">
        <f t="shared" si="81"/>
        <v>15.663966300310799</v>
      </c>
      <c r="S43" s="63">
        <f t="shared" si="82"/>
        <v>15.663966300310799</v>
      </c>
      <c r="T43" s="47">
        <f t="shared" si="80"/>
        <v>15.663966300310799</v>
      </c>
      <c r="U43" s="47">
        <f t="shared" si="80"/>
        <v>15.663966300310799</v>
      </c>
      <c r="V43" s="47">
        <f t="shared" si="80"/>
        <v>15.663966300310799</v>
      </c>
      <c r="X43" s="63">
        <f t="shared" si="83"/>
        <v>15.663966300310799</v>
      </c>
      <c r="Y43" s="63">
        <f t="shared" si="84"/>
        <v>15.663966300310799</v>
      </c>
      <c r="Z43" s="63">
        <f t="shared" si="85"/>
        <v>15.663966300310799</v>
      </c>
      <c r="AA43" s="63">
        <f t="shared" si="86"/>
        <v>15.663966300310799</v>
      </c>
      <c r="AB43" s="63">
        <f t="shared" si="87"/>
        <v>15.663966300310799</v>
      </c>
      <c r="AC43" s="75">
        <f t="shared" si="78"/>
        <v>15.272367142803029</v>
      </c>
      <c r="AD43" s="75">
        <f t="shared" si="78"/>
        <v>14.890557964232952</v>
      </c>
      <c r="AE43" s="75">
        <f t="shared" si="78"/>
        <v>14.518294015127129</v>
      </c>
      <c r="AF43" s="239"/>
      <c r="AG43" s="239"/>
      <c r="AH43" s="239"/>
      <c r="AI43" s="239"/>
      <c r="AJ43" s="239"/>
      <c r="AK43" s="239"/>
      <c r="AL43" s="239"/>
      <c r="AM43" s="239"/>
      <c r="AN43" s="239"/>
      <c r="AO43" s="239"/>
      <c r="AP43" s="239"/>
      <c r="AQ43" s="239"/>
      <c r="AR43" s="239"/>
      <c r="AS43" s="239"/>
      <c r="AT43" s="239"/>
      <c r="AU43" s="239"/>
    </row>
    <row r="44" spans="1:47">
      <c r="A44" s="194" t="s">
        <v>16</v>
      </c>
      <c r="B44" s="202">
        <v>0.95</v>
      </c>
      <c r="C44" s="238" t="s">
        <v>195</v>
      </c>
      <c r="D44" s="36" t="s">
        <v>171</v>
      </c>
      <c r="E44" s="50">
        <f>[2]Calib_1011!$K$118</f>
        <v>13.5</v>
      </c>
      <c r="F44" s="63">
        <f>IF($D$4,X44,O44)</f>
        <v>13.5</v>
      </c>
      <c r="G44" s="63">
        <f t="shared" si="75"/>
        <v>13.5</v>
      </c>
      <c r="H44" s="63">
        <f t="shared" si="75"/>
        <v>13.5</v>
      </c>
      <c r="I44" s="63">
        <f t="shared" si="75"/>
        <v>13.5</v>
      </c>
      <c r="J44" s="63">
        <f t="shared" si="75"/>
        <v>13.5</v>
      </c>
      <c r="K44" s="63">
        <f t="shared" si="75"/>
        <v>13.5</v>
      </c>
      <c r="L44" s="63">
        <f t="shared" si="75"/>
        <v>13.5</v>
      </c>
      <c r="M44" s="63">
        <f t="shared" si="75"/>
        <v>13.5</v>
      </c>
      <c r="N44" s="313">
        <v>1</v>
      </c>
      <c r="O44" s="63">
        <f t="shared" si="79"/>
        <v>13.5</v>
      </c>
      <c r="P44" s="195">
        <f t="shared" si="80"/>
        <v>13.5</v>
      </c>
      <c r="Q44" s="194">
        <f t="shared" si="80"/>
        <v>13.5</v>
      </c>
      <c r="R44" s="63">
        <f t="shared" si="81"/>
        <v>13.5</v>
      </c>
      <c r="S44" s="63">
        <f t="shared" si="82"/>
        <v>13.5</v>
      </c>
      <c r="T44" s="47">
        <f>S44</f>
        <v>13.5</v>
      </c>
      <c r="U44" s="47">
        <f t="shared" si="80"/>
        <v>13.5</v>
      </c>
      <c r="V44" s="47">
        <f t="shared" si="80"/>
        <v>13.5</v>
      </c>
      <c r="X44" s="63">
        <f t="shared" si="83"/>
        <v>13.5</v>
      </c>
      <c r="Y44" s="63">
        <f t="shared" si="84"/>
        <v>13.5</v>
      </c>
      <c r="Z44" s="63">
        <f t="shared" si="85"/>
        <v>13.5</v>
      </c>
      <c r="AA44" s="63">
        <f t="shared" si="86"/>
        <v>13.5</v>
      </c>
      <c r="AB44" s="63">
        <f t="shared" si="87"/>
        <v>13.5</v>
      </c>
      <c r="AC44" s="75">
        <f>AB44*$B44</f>
        <v>12.824999999999999</v>
      </c>
      <c r="AD44" s="75">
        <f t="shared" ref="AD44:AE44" si="88">AC44*$B44</f>
        <v>12.183749999999998</v>
      </c>
      <c r="AE44" s="75">
        <f t="shared" si="88"/>
        <v>11.574562499999997</v>
      </c>
      <c r="AF44" s="239"/>
      <c r="AG44" s="239"/>
      <c r="AH44" s="239"/>
      <c r="AI44" s="239"/>
      <c r="AJ44" s="239"/>
      <c r="AK44" s="239"/>
      <c r="AL44" s="239"/>
      <c r="AM44" s="239"/>
      <c r="AN44" s="239"/>
      <c r="AO44" s="239"/>
      <c r="AP44" s="239"/>
      <c r="AQ44" s="239"/>
      <c r="AR44" s="239"/>
      <c r="AS44" s="239"/>
      <c r="AT44" s="239"/>
      <c r="AU44" s="239"/>
    </row>
    <row r="45" spans="1:47">
      <c r="A45" s="194" t="s">
        <v>16</v>
      </c>
      <c r="C45" s="238" t="s">
        <v>6</v>
      </c>
      <c r="D45" s="36" t="s">
        <v>171</v>
      </c>
      <c r="E45" s="195">
        <f t="shared" ref="E45" si="89">SUMPRODUCT(E41:E44,E54:E57)/SUM(E54:E57)</f>
        <v>14.461189620628934</v>
      </c>
      <c r="F45" s="195">
        <f>SUMPRODUCT(F41:F44,F54:F57)/SUM(F54:F57)</f>
        <v>14.507855120080317</v>
      </c>
      <c r="G45" s="195">
        <f t="shared" ref="G45:L45" si="90">SUMPRODUCT(G41:G44,G54:G57)/SUM(G54:G57)</f>
        <v>14.531275264410324</v>
      </c>
      <c r="H45" s="195">
        <f t="shared" si="90"/>
        <v>14.534324943113589</v>
      </c>
      <c r="I45" s="195">
        <f t="shared" si="90"/>
        <v>14.442235325134297</v>
      </c>
      <c r="J45" s="195">
        <f t="shared" si="90"/>
        <v>14.478518067464513</v>
      </c>
      <c r="K45" s="195">
        <f t="shared" si="90"/>
        <v>14.607400165328494</v>
      </c>
      <c r="L45" s="195">
        <f t="shared" si="90"/>
        <v>14.759060917232441</v>
      </c>
      <c r="M45" s="195">
        <f>SUMPRODUCT(M41:M44,M54:M57)/SUM(M54:M57)</f>
        <v>14.875787467337071</v>
      </c>
      <c r="N45" s="43"/>
      <c r="O45" s="195"/>
      <c r="W45" s="239"/>
      <c r="X45" s="239"/>
      <c r="AA45" s="239"/>
      <c r="AC45" s="239"/>
      <c r="AD45" s="239"/>
      <c r="AE45" s="239"/>
      <c r="AF45" s="239"/>
      <c r="AG45" s="239"/>
      <c r="AH45" s="239"/>
      <c r="AI45" s="239"/>
      <c r="AJ45" s="239"/>
      <c r="AK45" s="239"/>
      <c r="AL45" s="239"/>
      <c r="AM45" s="239"/>
      <c r="AN45" s="239"/>
      <c r="AO45" s="239"/>
      <c r="AP45" s="239"/>
      <c r="AQ45" s="239"/>
      <c r="AR45" s="239"/>
      <c r="AS45" s="239"/>
      <c r="AT45" s="239"/>
      <c r="AU45" s="239"/>
    </row>
    <row r="46" spans="1:47" ht="15.75" thickBot="1">
      <c r="A46" s="194" t="s">
        <v>16</v>
      </c>
      <c r="C46" s="237" t="s">
        <v>161</v>
      </c>
      <c r="D46" s="237"/>
      <c r="E46" s="7"/>
      <c r="F46" s="7"/>
      <c r="G46" s="7"/>
      <c r="H46" s="7"/>
      <c r="I46" s="7"/>
      <c r="J46" s="7"/>
      <c r="K46" s="7"/>
      <c r="L46" s="7"/>
      <c r="M46" s="7"/>
      <c r="N46" s="43"/>
      <c r="O46" s="7"/>
      <c r="P46" s="7"/>
      <c r="Q46" s="7"/>
      <c r="R46" s="7"/>
      <c r="S46" s="7"/>
      <c r="T46" s="7"/>
      <c r="U46" s="7"/>
      <c r="V46" s="7"/>
      <c r="X46" s="7"/>
      <c r="AA46" s="7"/>
      <c r="AC46" s="7"/>
      <c r="AD46" s="7"/>
      <c r="AE46" s="7"/>
      <c r="AF46" s="239"/>
      <c r="AG46" s="239"/>
      <c r="AH46" s="239"/>
      <c r="AI46" s="239"/>
      <c r="AJ46" s="239"/>
      <c r="AK46" s="239"/>
      <c r="AL46" s="239"/>
      <c r="AM46" s="239"/>
      <c r="AN46" s="239"/>
      <c r="AO46" s="239"/>
      <c r="AP46" s="239"/>
      <c r="AQ46" s="239"/>
      <c r="AR46" s="239"/>
      <c r="AS46" s="239"/>
      <c r="AT46" s="239"/>
      <c r="AU46" s="239"/>
    </row>
    <row r="47" spans="1:47">
      <c r="A47" s="194" t="s">
        <v>16</v>
      </c>
      <c r="C47" s="194" t="s">
        <v>13</v>
      </c>
      <c r="E47" s="50">
        <f>FTRA!F7</f>
        <v>135.96</v>
      </c>
      <c r="F47" s="77">
        <f>IF($D$4,X47,O47)</f>
        <v>144.16</v>
      </c>
      <c r="G47" s="77">
        <f t="shared" ref="G47:M51" si="91">IF($D$4,Y47,P47)</f>
        <v>147.16</v>
      </c>
      <c r="H47" s="77">
        <f t="shared" si="91"/>
        <v>149.16999999999999</v>
      </c>
      <c r="I47" s="77">
        <f t="shared" si="91"/>
        <v>138.22</v>
      </c>
      <c r="J47" s="77">
        <f t="shared" si="91"/>
        <v>141.11000000000001</v>
      </c>
      <c r="K47" s="77">
        <f t="shared" si="91"/>
        <v>169.63</v>
      </c>
      <c r="L47" s="77">
        <f t="shared" si="91"/>
        <v>224.36</v>
      </c>
      <c r="M47" s="77">
        <f t="shared" si="91"/>
        <v>309.06</v>
      </c>
      <c r="N47" s="43"/>
      <c r="O47" s="317">
        <f>FTRA!G7</f>
        <v>144.16</v>
      </c>
      <c r="P47" s="317">
        <f>FTRA!H7</f>
        <v>147.16</v>
      </c>
      <c r="Q47" s="317">
        <f>FTRA!I7</f>
        <v>149.16999999999999</v>
      </c>
      <c r="R47" s="317">
        <f>FTRA!J7</f>
        <v>138.22</v>
      </c>
      <c r="S47" s="317">
        <f>FTRA!K7</f>
        <v>141.11000000000001</v>
      </c>
      <c r="T47" s="299">
        <f>FTRA!L7</f>
        <v>169.63</v>
      </c>
      <c r="U47" s="299">
        <f>FTRA!M7</f>
        <v>224.36</v>
      </c>
      <c r="V47" s="299">
        <f>FTRA!N7</f>
        <v>309.06</v>
      </c>
      <c r="W47" s="239"/>
      <c r="X47" s="195">
        <f>FTRA!G7</f>
        <v>144.16</v>
      </c>
      <c r="Y47" s="195">
        <f>FTRA!H7</f>
        <v>147.16</v>
      </c>
      <c r="Z47" s="195">
        <f>FTRA!I7</f>
        <v>149.16999999999999</v>
      </c>
      <c r="AA47" s="195">
        <f>FTRA!J7</f>
        <v>138.22</v>
      </c>
      <c r="AB47" s="195">
        <f>FTRA!K7</f>
        <v>141.11000000000001</v>
      </c>
      <c r="AC47" s="195">
        <f>FTRA!L7</f>
        <v>169.63</v>
      </c>
      <c r="AD47" s="195">
        <f>FTRA!M7</f>
        <v>224.36</v>
      </c>
      <c r="AE47" s="195">
        <f>FTRA!N7</f>
        <v>309.06</v>
      </c>
      <c r="AF47" s="239"/>
      <c r="AG47" s="239"/>
      <c r="AH47" s="239"/>
      <c r="AI47" s="239"/>
      <c r="AJ47" s="239"/>
      <c r="AK47" s="239"/>
      <c r="AL47" s="239"/>
      <c r="AM47" s="239"/>
      <c r="AN47" s="239"/>
      <c r="AO47" s="239"/>
      <c r="AP47" s="239"/>
      <c r="AQ47" s="239"/>
      <c r="AR47" s="239"/>
      <c r="AS47" s="239"/>
      <c r="AT47" s="239"/>
      <c r="AU47" s="239"/>
    </row>
    <row r="48" spans="1:47">
      <c r="A48" s="194" t="s">
        <v>16</v>
      </c>
      <c r="C48" s="194" t="s">
        <v>163</v>
      </c>
      <c r="E48" s="50">
        <v>0.5</v>
      </c>
      <c r="F48" s="77">
        <f>IF($D$4,X48,O48)</f>
        <v>0.5</v>
      </c>
      <c r="G48" s="77">
        <f t="shared" si="91"/>
        <v>0.5</v>
      </c>
      <c r="H48" s="77">
        <f t="shared" si="91"/>
        <v>0.5</v>
      </c>
      <c r="I48" s="77">
        <f t="shared" si="91"/>
        <v>0.5</v>
      </c>
      <c r="J48" s="77">
        <f t="shared" si="91"/>
        <v>0.5</v>
      </c>
      <c r="K48" s="77">
        <f t="shared" si="91"/>
        <v>0.5</v>
      </c>
      <c r="L48" s="77">
        <f t="shared" si="91"/>
        <v>0.5</v>
      </c>
      <c r="M48" s="77">
        <f t="shared" si="91"/>
        <v>0.5</v>
      </c>
      <c r="N48" s="43"/>
      <c r="O48" s="77">
        <f>E48</f>
        <v>0.5</v>
      </c>
      <c r="P48" s="77">
        <f t="shared" ref="P48:V48" si="92">F48</f>
        <v>0.5</v>
      </c>
      <c r="Q48" s="77">
        <f t="shared" si="92"/>
        <v>0.5</v>
      </c>
      <c r="R48" s="77">
        <f t="shared" si="92"/>
        <v>0.5</v>
      </c>
      <c r="S48" s="77">
        <f t="shared" si="92"/>
        <v>0.5</v>
      </c>
      <c r="T48" s="47">
        <f t="shared" si="92"/>
        <v>0.5</v>
      </c>
      <c r="U48" s="47">
        <f t="shared" si="92"/>
        <v>0.5</v>
      </c>
      <c r="V48" s="47">
        <f t="shared" si="92"/>
        <v>0.5</v>
      </c>
      <c r="W48" s="239"/>
      <c r="X48" s="77">
        <f>O48</f>
        <v>0.5</v>
      </c>
      <c r="Y48" s="77">
        <f t="shared" ref="Y48:AB48" si="93">P48</f>
        <v>0.5</v>
      </c>
      <c r="Z48" s="77">
        <f t="shared" si="93"/>
        <v>0.5</v>
      </c>
      <c r="AA48" s="77">
        <f t="shared" si="93"/>
        <v>0.5</v>
      </c>
      <c r="AB48" s="77">
        <f t="shared" si="93"/>
        <v>0.5</v>
      </c>
      <c r="AC48" s="47">
        <f>AB48</f>
        <v>0.5</v>
      </c>
      <c r="AD48" s="47">
        <v>0.4</v>
      </c>
      <c r="AE48" s="47">
        <v>0.3</v>
      </c>
      <c r="AF48" s="239"/>
      <c r="AG48" s="239"/>
      <c r="AH48" s="239"/>
      <c r="AI48" s="239"/>
      <c r="AJ48" s="239"/>
      <c r="AK48" s="239"/>
      <c r="AL48" s="239"/>
      <c r="AM48" s="239"/>
      <c r="AN48" s="239"/>
      <c r="AO48" s="239"/>
      <c r="AP48" s="239"/>
      <c r="AQ48" s="239"/>
      <c r="AR48" s="239"/>
      <c r="AS48" s="239"/>
      <c r="AT48" s="239"/>
      <c r="AU48" s="239"/>
    </row>
    <row r="49" spans="1:47">
      <c r="A49" s="194" t="s">
        <v>16</v>
      </c>
      <c r="C49" s="238" t="s">
        <v>162</v>
      </c>
      <c r="D49" s="194" t="s">
        <v>164</v>
      </c>
      <c r="E49" s="50">
        <f>[2]Calib_1011!$K$116</f>
        <v>0.44857633535499813</v>
      </c>
      <c r="F49" s="77">
        <f t="shared" ref="F49:F51" si="94">IF($D$4,X49,O49)</f>
        <v>0.46210357112254363</v>
      </c>
      <c r="G49" s="77">
        <f t="shared" si="91"/>
        <v>0.46691180750353573</v>
      </c>
      <c r="H49" s="77">
        <f t="shared" si="91"/>
        <v>0.47010048898315682</v>
      </c>
      <c r="I49" s="77">
        <f t="shared" si="91"/>
        <v>0.45284634822306574</v>
      </c>
      <c r="J49" s="77">
        <f t="shared" si="91"/>
        <v>0.45758056160160959</v>
      </c>
      <c r="K49" s="77">
        <f t="shared" si="91"/>
        <v>0.50382178340331718</v>
      </c>
      <c r="L49" s="77">
        <f t="shared" si="91"/>
        <v>0.5850991700851057</v>
      </c>
      <c r="M49" s="77">
        <f t="shared" si="91"/>
        <v>0.69554198454893268</v>
      </c>
      <c r="N49" s="43"/>
      <c r="O49" s="24">
        <f>E49*(1+(O48*(O47/E47-1)))</f>
        <v>0.46210357112254363</v>
      </c>
      <c r="P49" s="24">
        <f t="shared" ref="P49:V49" si="95">F49*(1+(P48*(P47/F47-1)))</f>
        <v>0.46691180750353573</v>
      </c>
      <c r="Q49" s="24">
        <f t="shared" si="95"/>
        <v>0.47010048898315682</v>
      </c>
      <c r="R49" s="77">
        <f t="shared" si="95"/>
        <v>0.45284634822306574</v>
      </c>
      <c r="S49" s="77">
        <f t="shared" si="95"/>
        <v>0.45758056160160959</v>
      </c>
      <c r="T49" s="47">
        <f t="shared" si="95"/>
        <v>0.50382178340331718</v>
      </c>
      <c r="U49" s="47">
        <f t="shared" si="95"/>
        <v>0.5850991700851057</v>
      </c>
      <c r="V49" s="47">
        <f t="shared" si="95"/>
        <v>0.69554198454893268</v>
      </c>
      <c r="W49" s="239"/>
      <c r="X49" s="77">
        <f t="shared" ref="X49:X51" si="96">O49</f>
        <v>0.46210357112254363</v>
      </c>
      <c r="Y49" s="77">
        <f t="shared" ref="Y49:Y51" si="97">P49</f>
        <v>0.46691180750353573</v>
      </c>
      <c r="Z49" s="77">
        <f t="shared" ref="Z49:Z51" si="98">Q49</f>
        <v>0.47010048898315682</v>
      </c>
      <c r="AA49" s="77">
        <f t="shared" ref="AA49:AA51" si="99">R49</f>
        <v>0.45284634822306574</v>
      </c>
      <c r="AB49" s="77">
        <f t="shared" ref="AB49:AB51" si="100">S49</f>
        <v>0.45758056160160959</v>
      </c>
      <c r="AC49" s="47">
        <f>AA49*(1+(AC48*(AC47/AA47-1)))</f>
        <v>0.50430020366253359</v>
      </c>
      <c r="AD49" s="47">
        <f>AC49*(1+(AD48*(AD47/AC47-1)))</f>
        <v>0.56938385666365487</v>
      </c>
      <c r="AE49" s="47">
        <f>AD49*(1+(AE48*(AE47/AD47-1)))</f>
        <v>0.63386969994152731</v>
      </c>
      <c r="AF49" s="239"/>
      <c r="AG49" s="239"/>
      <c r="AH49" s="239"/>
      <c r="AI49" s="239"/>
      <c r="AJ49" s="239"/>
      <c r="AK49" s="239"/>
      <c r="AL49" s="239"/>
      <c r="AM49" s="239"/>
      <c r="AN49" s="239"/>
      <c r="AO49" s="239"/>
      <c r="AP49" s="239"/>
      <c r="AQ49" s="239"/>
      <c r="AR49" s="239"/>
      <c r="AS49" s="239"/>
      <c r="AT49" s="239"/>
      <c r="AU49" s="239"/>
    </row>
    <row r="50" spans="1:47">
      <c r="A50" s="194" t="s">
        <v>16</v>
      </c>
      <c r="C50" s="238" t="s">
        <v>172</v>
      </c>
      <c r="D50" s="194" t="s">
        <v>173</v>
      </c>
      <c r="E50" s="50">
        <f t="shared" ref="E50" si="101">E49*E44</f>
        <v>6.055780527292475</v>
      </c>
      <c r="F50" s="77">
        <f t="shared" si="94"/>
        <v>6.2383982101543394</v>
      </c>
      <c r="G50" s="77">
        <f t="shared" si="91"/>
        <v>6.3033094012977324</v>
      </c>
      <c r="H50" s="77">
        <f t="shared" si="91"/>
        <v>6.3463566012726167</v>
      </c>
      <c r="I50" s="77">
        <f t="shared" si="91"/>
        <v>6.1134257010113879</v>
      </c>
      <c r="J50" s="77">
        <f t="shared" si="91"/>
        <v>6.1773375816217291</v>
      </c>
      <c r="K50" s="77">
        <f t="shared" si="91"/>
        <v>6.8015940759447817</v>
      </c>
      <c r="L50" s="77">
        <f t="shared" si="91"/>
        <v>7.8988387961489268</v>
      </c>
      <c r="M50" s="77">
        <f t="shared" si="91"/>
        <v>9.3898167914105919</v>
      </c>
      <c r="N50" s="43"/>
      <c r="O50" s="195">
        <f>O49*O44</f>
        <v>6.2383982101543394</v>
      </c>
      <c r="P50" s="195">
        <f t="shared" ref="P50:V50" si="102">P49*P44</f>
        <v>6.3033094012977324</v>
      </c>
      <c r="Q50" s="195">
        <f t="shared" si="102"/>
        <v>6.3463566012726167</v>
      </c>
      <c r="R50" s="77">
        <f t="shared" si="102"/>
        <v>6.1134257010113879</v>
      </c>
      <c r="S50" s="77">
        <f t="shared" si="102"/>
        <v>6.1773375816217291</v>
      </c>
      <c r="T50" s="47">
        <f t="shared" si="102"/>
        <v>6.8015940759447817</v>
      </c>
      <c r="U50" s="47">
        <f t="shared" si="102"/>
        <v>7.8988387961489268</v>
      </c>
      <c r="V50" s="47">
        <f t="shared" si="102"/>
        <v>9.3898167914105919</v>
      </c>
      <c r="W50" s="239"/>
      <c r="X50" s="77">
        <f t="shared" si="96"/>
        <v>6.2383982101543394</v>
      </c>
      <c r="Y50" s="77">
        <f t="shared" si="97"/>
        <v>6.3033094012977324</v>
      </c>
      <c r="Z50" s="77">
        <f t="shared" si="98"/>
        <v>6.3463566012726167</v>
      </c>
      <c r="AA50" s="77">
        <f t="shared" si="99"/>
        <v>6.1134257010113879</v>
      </c>
      <c r="AB50" s="77">
        <f t="shared" si="100"/>
        <v>6.1773375816217291</v>
      </c>
      <c r="AC50" s="47">
        <f>AC49*AC44</f>
        <v>6.4676501119719925</v>
      </c>
      <c r="AD50" s="47">
        <f>AD49*AD44</f>
        <v>6.9372305636258043</v>
      </c>
      <c r="AE50" s="47">
        <f>AE49*AE44</f>
        <v>7.3367644588294523</v>
      </c>
      <c r="AF50" s="239"/>
      <c r="AG50" s="239"/>
      <c r="AH50" s="239"/>
      <c r="AI50" s="239"/>
      <c r="AJ50" s="239"/>
      <c r="AK50" s="239"/>
      <c r="AL50" s="239"/>
      <c r="AM50" s="239"/>
      <c r="AN50" s="239"/>
      <c r="AO50" s="239"/>
      <c r="AP50" s="239"/>
      <c r="AQ50" s="239"/>
      <c r="AR50" s="239"/>
      <c r="AS50" s="239"/>
      <c r="AT50" s="239"/>
      <c r="AU50" s="239"/>
    </row>
    <row r="51" spans="1:47">
      <c r="A51" s="194" t="s">
        <v>16</v>
      </c>
      <c r="C51" s="238" t="s">
        <v>174</v>
      </c>
      <c r="D51" s="194" t="s">
        <v>136</v>
      </c>
      <c r="E51" s="50">
        <f t="shared" ref="E51" si="103">E50*E38</f>
        <v>8.4780927382094635</v>
      </c>
      <c r="F51" s="77">
        <f t="shared" si="94"/>
        <v>8.7337574942160749</v>
      </c>
      <c r="G51" s="77">
        <f t="shared" si="91"/>
        <v>8.8246331618168252</v>
      </c>
      <c r="H51" s="77">
        <f t="shared" si="91"/>
        <v>8.8848992417816621</v>
      </c>
      <c r="I51" s="77">
        <f t="shared" si="91"/>
        <v>8.5587959814159422</v>
      </c>
      <c r="J51" s="77">
        <f t="shared" si="91"/>
        <v>8.6482726142704198</v>
      </c>
      <c r="K51" s="77">
        <f t="shared" si="91"/>
        <v>9.5222317063226942</v>
      </c>
      <c r="L51" s="77">
        <f t="shared" si="91"/>
        <v>11.058374314608496</v>
      </c>
      <c r="M51" s="77">
        <f t="shared" si="91"/>
        <v>13.145743507974828</v>
      </c>
      <c r="N51" s="43"/>
      <c r="O51" s="195">
        <f>O50*O38</f>
        <v>8.7337574942160749</v>
      </c>
      <c r="P51" s="195">
        <f t="shared" ref="P51:V51" si="104">P50*P38</f>
        <v>8.8246331618168252</v>
      </c>
      <c r="Q51" s="195">
        <f t="shared" si="104"/>
        <v>8.8848992417816621</v>
      </c>
      <c r="R51" s="77">
        <f>R50*R38</f>
        <v>8.5587959814159422</v>
      </c>
      <c r="S51" s="77">
        <f t="shared" si="104"/>
        <v>8.6482726142704198</v>
      </c>
      <c r="T51" s="47">
        <f t="shared" si="104"/>
        <v>9.5222317063226942</v>
      </c>
      <c r="U51" s="47">
        <f t="shared" si="104"/>
        <v>11.058374314608496</v>
      </c>
      <c r="V51" s="47">
        <f t="shared" si="104"/>
        <v>13.145743507974828</v>
      </c>
      <c r="W51" s="239"/>
      <c r="X51" s="77">
        <f t="shared" si="96"/>
        <v>8.7337574942160749</v>
      </c>
      <c r="Y51" s="77">
        <f t="shared" si="97"/>
        <v>8.8246331618168252</v>
      </c>
      <c r="Z51" s="77">
        <f t="shared" si="98"/>
        <v>8.8848992417816621</v>
      </c>
      <c r="AA51" s="77">
        <f t="shared" si="99"/>
        <v>8.5587959814159422</v>
      </c>
      <c r="AB51" s="77">
        <f t="shared" si="100"/>
        <v>8.6482726142704198</v>
      </c>
      <c r="AC51" s="47">
        <f>AC50*AC38</f>
        <v>9.0547101567607893</v>
      </c>
      <c r="AD51" s="47">
        <f>AD50*AD38</f>
        <v>9.7121227890761261</v>
      </c>
      <c r="AE51" s="47">
        <f>AE50*AE38</f>
        <v>10.271470242361232</v>
      </c>
      <c r="AF51" s="239"/>
      <c r="AG51" s="239"/>
      <c r="AH51" s="239"/>
      <c r="AI51" s="239"/>
      <c r="AJ51" s="239"/>
      <c r="AK51" s="239"/>
      <c r="AL51" s="239"/>
      <c r="AM51" s="239"/>
      <c r="AN51" s="239"/>
      <c r="AO51" s="239"/>
      <c r="AP51" s="239"/>
      <c r="AQ51" s="239"/>
      <c r="AR51" s="239"/>
      <c r="AS51" s="239"/>
      <c r="AT51" s="239"/>
      <c r="AU51" s="239"/>
    </row>
    <row r="52" spans="1:47">
      <c r="A52" s="194" t="s">
        <v>16</v>
      </c>
      <c r="C52" s="238"/>
      <c r="E52" s="30"/>
      <c r="L52" s="194"/>
      <c r="N52" s="41"/>
    </row>
    <row r="53" spans="1:47" ht="15.75" thickBot="1">
      <c r="A53" s="194" t="s">
        <v>16</v>
      </c>
      <c r="B53" s="237" t="s">
        <v>84</v>
      </c>
      <c r="D53" s="237"/>
      <c r="E53" s="7">
        <f>E40</f>
        <v>2012</v>
      </c>
      <c r="F53" s="7">
        <f t="shared" ref="F53:M53" si="105">F40</f>
        <v>2015</v>
      </c>
      <c r="G53" s="7">
        <f t="shared" si="105"/>
        <v>2017</v>
      </c>
      <c r="H53" s="7">
        <f t="shared" si="105"/>
        <v>2019</v>
      </c>
      <c r="I53" s="7">
        <f t="shared" si="105"/>
        <v>2020</v>
      </c>
      <c r="J53" s="7">
        <f t="shared" si="105"/>
        <v>2021</v>
      </c>
      <c r="K53" s="7">
        <f t="shared" si="105"/>
        <v>2030</v>
      </c>
      <c r="L53" s="7">
        <f t="shared" si="105"/>
        <v>2040</v>
      </c>
      <c r="M53" s="7">
        <f t="shared" si="105"/>
        <v>2050</v>
      </c>
      <c r="N53" s="41"/>
      <c r="O53" s="7">
        <f>O40</f>
        <v>2015</v>
      </c>
      <c r="P53" s="7">
        <f t="shared" ref="P53:V53" si="106">P40</f>
        <v>2017</v>
      </c>
      <c r="Q53" s="7">
        <f t="shared" si="106"/>
        <v>2019</v>
      </c>
      <c r="R53" s="7">
        <f t="shared" si="106"/>
        <v>2020</v>
      </c>
      <c r="S53" s="7">
        <f t="shared" si="106"/>
        <v>2021</v>
      </c>
      <c r="T53" s="7">
        <f t="shared" si="106"/>
        <v>2030</v>
      </c>
      <c r="U53" s="7">
        <f t="shared" si="106"/>
        <v>2040</v>
      </c>
      <c r="V53" s="7">
        <f t="shared" si="106"/>
        <v>2050</v>
      </c>
      <c r="X53" s="314">
        <f>X$12</f>
        <v>2015</v>
      </c>
      <c r="Y53" s="314">
        <f t="shared" ref="Y53:AE53" si="107">Y$12</f>
        <v>2017</v>
      </c>
      <c r="Z53" s="314">
        <f t="shared" si="107"/>
        <v>2019</v>
      </c>
      <c r="AA53" s="314">
        <f t="shared" si="107"/>
        <v>2020</v>
      </c>
      <c r="AB53" s="314">
        <f t="shared" si="107"/>
        <v>2021</v>
      </c>
      <c r="AC53" s="314">
        <f t="shared" si="107"/>
        <v>2030</v>
      </c>
      <c r="AD53" s="314">
        <f t="shared" si="107"/>
        <v>2040</v>
      </c>
      <c r="AE53" s="314">
        <f t="shared" si="107"/>
        <v>2050</v>
      </c>
    </row>
    <row r="54" spans="1:47">
      <c r="A54" s="194" t="s">
        <v>16</v>
      </c>
      <c r="C54" s="238" t="str">
        <f>C30</f>
        <v>Low Income</v>
      </c>
      <c r="D54" s="194" t="s">
        <v>67</v>
      </c>
      <c r="E54" s="195">
        <f>E30*E25*E13</f>
        <v>0.13082195391724327</v>
      </c>
      <c r="F54" s="63">
        <f t="shared" ref="F54:F61" si="108">IF($D$4,X54,O54)</f>
        <v>0.13180496609092004</v>
      </c>
      <c r="G54" s="63">
        <f t="shared" ref="G54:G59" si="109">IF($D$4,Y54,P54)</f>
        <v>0.13289382363899763</v>
      </c>
      <c r="H54" s="63">
        <f t="shared" ref="H54:H59" si="110">IF($D$4,Z54,Q54)</f>
        <v>0.13455653512922189</v>
      </c>
      <c r="I54" s="63">
        <f t="shared" ref="I54:I59" si="111">IF($D$4,AA54,R54)</f>
        <v>0.1405579466861536</v>
      </c>
      <c r="J54" s="63">
        <f t="shared" ref="J54:J59" si="112">IF($D$4,AB54,S54)</f>
        <v>0.14638634000992462</v>
      </c>
      <c r="K54" s="63">
        <f t="shared" ref="K54:K59" si="113">IF($D$4,AC54,T54)</f>
        <v>0.13922289430770129</v>
      </c>
      <c r="L54" s="63">
        <f t="shared" ref="L54:L59" si="114">IF($D$4,AD54,U54)</f>
        <v>0.11993097936424922</v>
      </c>
      <c r="M54" s="63">
        <f t="shared" ref="M54:M58" si="115">IF($D$4,AE54,V54)</f>
        <v>9.7966580310109935E-2</v>
      </c>
      <c r="N54" s="43"/>
      <c r="O54" s="195">
        <f t="shared" ref="O54:R56" si="116">O30*O25*O13</f>
        <v>0.13180496609092004</v>
      </c>
      <c r="P54" s="195">
        <f t="shared" si="116"/>
        <v>0.13289382363899763</v>
      </c>
      <c r="Q54" s="195">
        <f t="shared" si="116"/>
        <v>0.13455653512922189</v>
      </c>
      <c r="R54" s="195">
        <f t="shared" si="116"/>
        <v>0.1405579466861536</v>
      </c>
      <c r="S54" s="195">
        <f t="shared" ref="S54:V54" si="117">S30*S25*S13</f>
        <v>0.14638634000992462</v>
      </c>
      <c r="T54" s="47">
        <f t="shared" si="117"/>
        <v>0.13922289430770129</v>
      </c>
      <c r="U54" s="47">
        <f t="shared" si="117"/>
        <v>0.11993097936424922</v>
      </c>
      <c r="V54" s="47">
        <f t="shared" si="117"/>
        <v>9.7966580310109935E-2</v>
      </c>
      <c r="W54" s="239"/>
      <c r="X54" s="195">
        <f t="shared" ref="X54:AB56" si="118">X30*X25*X13</f>
        <v>0.13180496609092004</v>
      </c>
      <c r="Y54" s="195">
        <f t="shared" si="118"/>
        <v>0.13289382363899763</v>
      </c>
      <c r="Z54" s="195">
        <f t="shared" si="118"/>
        <v>0.13455653512922189</v>
      </c>
      <c r="AA54" s="195">
        <f t="shared" si="118"/>
        <v>0.1405579466861536</v>
      </c>
      <c r="AB54" s="195">
        <f t="shared" si="118"/>
        <v>0.14638634000992462</v>
      </c>
      <c r="AC54" s="47">
        <f t="shared" ref="AC54" si="119">AC30*AC25*AC13</f>
        <v>0.33065437398079062</v>
      </c>
      <c r="AD54" s="47">
        <f t="shared" ref="AD54:AE56" si="120">AD30*AD25*AD13</f>
        <v>0.21647541775246984</v>
      </c>
      <c r="AE54" s="47">
        <f t="shared" si="120"/>
        <v>0.16798819358676101</v>
      </c>
      <c r="AF54" s="239"/>
      <c r="AG54" s="239"/>
      <c r="AH54" s="239"/>
      <c r="AI54" s="239"/>
      <c r="AJ54" s="239"/>
      <c r="AK54" s="239"/>
      <c r="AL54" s="239"/>
      <c r="AM54" s="239"/>
      <c r="AN54" s="239"/>
      <c r="AO54" s="239"/>
      <c r="AP54" s="239"/>
      <c r="AQ54" s="239"/>
      <c r="AR54" s="239"/>
      <c r="AS54" s="239"/>
      <c r="AT54" s="239"/>
      <c r="AU54" s="239"/>
    </row>
    <row r="55" spans="1:47">
      <c r="A55" s="194" t="s">
        <v>16</v>
      </c>
      <c r="C55" s="238" t="str">
        <f>C31</f>
        <v>Middle Income</v>
      </c>
      <c r="D55" s="194" t="s">
        <v>67</v>
      </c>
      <c r="E55" s="195">
        <f>E31*E26*E14</f>
        <v>2.605214709517647</v>
      </c>
      <c r="F55" s="63">
        <f t="shared" si="108"/>
        <v>2.7548189679355337</v>
      </c>
      <c r="G55" s="63">
        <f t="shared" si="109"/>
        <v>2.8707673067476867</v>
      </c>
      <c r="H55" s="63">
        <f t="shared" si="110"/>
        <v>3.0246992599559843</v>
      </c>
      <c r="I55" s="63">
        <f t="shared" si="111"/>
        <v>3.1864854986218929</v>
      </c>
      <c r="J55" s="63">
        <f t="shared" si="112"/>
        <v>3.0545728330280069</v>
      </c>
      <c r="K55" s="63">
        <f t="shared" si="113"/>
        <v>3.5542356645509767</v>
      </c>
      <c r="L55" s="63">
        <f t="shared" si="114"/>
        <v>4.0947143532828152</v>
      </c>
      <c r="M55" s="63">
        <f t="shared" si="115"/>
        <v>4.5342116234060548</v>
      </c>
      <c r="N55" s="43"/>
      <c r="O55" s="195">
        <f t="shared" si="116"/>
        <v>2.7548189679355337</v>
      </c>
      <c r="P55" s="195">
        <f t="shared" si="116"/>
        <v>2.8707673067476867</v>
      </c>
      <c r="Q55" s="195">
        <f t="shared" si="116"/>
        <v>3.0246992599559843</v>
      </c>
      <c r="R55" s="195">
        <f>R31*R26*R14</f>
        <v>3.1864854986218929</v>
      </c>
      <c r="S55" s="195">
        <f t="shared" ref="S55:V55" si="121">S31*S26*S14</f>
        <v>3.0545728330280069</v>
      </c>
      <c r="T55" s="47">
        <f t="shared" si="121"/>
        <v>3.5542356645509767</v>
      </c>
      <c r="U55" s="47">
        <f t="shared" si="121"/>
        <v>4.0947143532828152</v>
      </c>
      <c r="V55" s="47">
        <f t="shared" si="121"/>
        <v>4.5342116234060548</v>
      </c>
      <c r="W55" s="239"/>
      <c r="X55" s="195">
        <f t="shared" si="118"/>
        <v>2.7548189679355337</v>
      </c>
      <c r="Y55" s="195">
        <f t="shared" si="118"/>
        <v>2.8707673067476867</v>
      </c>
      <c r="Z55" s="195">
        <f t="shared" si="118"/>
        <v>3.0246992599559843</v>
      </c>
      <c r="AA55" s="195">
        <f t="shared" si="118"/>
        <v>3.1864854986218929</v>
      </c>
      <c r="AB55" s="195">
        <f t="shared" si="118"/>
        <v>3.0545728330280069</v>
      </c>
      <c r="AC55" s="47">
        <f t="shared" ref="AC55" si="122">AC31*AC26*AC14</f>
        <v>3.207697687257256</v>
      </c>
      <c r="AD55" s="47">
        <f t="shared" si="120"/>
        <v>3.5107057186458523</v>
      </c>
      <c r="AE55" s="47">
        <f t="shared" si="120"/>
        <v>3.5084865207825326</v>
      </c>
      <c r="AF55" s="239"/>
      <c r="AG55" s="239"/>
      <c r="AH55" s="239"/>
      <c r="AI55" s="239"/>
      <c r="AJ55" s="239"/>
      <c r="AK55" s="239"/>
      <c r="AL55" s="239"/>
      <c r="AM55" s="239"/>
      <c r="AN55" s="239"/>
      <c r="AO55" s="239"/>
      <c r="AP55" s="239"/>
      <c r="AQ55" s="239"/>
      <c r="AR55" s="239"/>
      <c r="AS55" s="239"/>
      <c r="AT55" s="239"/>
      <c r="AU55" s="239"/>
    </row>
    <row r="56" spans="1:47">
      <c r="A56" s="194" t="s">
        <v>16</v>
      </c>
      <c r="C56" s="238" t="str">
        <f>C32</f>
        <v>High Income</v>
      </c>
      <c r="D56" s="194" t="s">
        <v>67</v>
      </c>
      <c r="E56" s="195">
        <f>E32*E27*E15</f>
        <v>3.3176465460174991</v>
      </c>
      <c r="F56" s="63">
        <f t="shared" si="108"/>
        <v>3.7384287562127883</v>
      </c>
      <c r="G56" s="63">
        <f t="shared" si="109"/>
        <v>4.0095499278165798</v>
      </c>
      <c r="H56" s="63">
        <f t="shared" si="110"/>
        <v>4.194348400332407</v>
      </c>
      <c r="I56" s="63">
        <f t="shared" si="111"/>
        <v>3.7584536303869847</v>
      </c>
      <c r="J56" s="63">
        <f t="shared" si="112"/>
        <v>3.9068007168212775</v>
      </c>
      <c r="K56" s="63">
        <f t="shared" si="113"/>
        <v>5.3959374629299264</v>
      </c>
      <c r="L56" s="63">
        <f t="shared" si="114"/>
        <v>7.7742596626883973</v>
      </c>
      <c r="M56" s="63">
        <f t="shared" si="115"/>
        <v>10.451198908779302</v>
      </c>
      <c r="N56" s="43"/>
      <c r="O56" s="195">
        <f t="shared" si="116"/>
        <v>3.7384287562127883</v>
      </c>
      <c r="P56" s="195">
        <f t="shared" si="116"/>
        <v>4.0095499278165798</v>
      </c>
      <c r="Q56" s="195">
        <f t="shared" si="116"/>
        <v>4.194348400332407</v>
      </c>
      <c r="R56" s="195">
        <f t="shared" si="116"/>
        <v>3.7584536303869847</v>
      </c>
      <c r="S56" s="195">
        <f t="shared" ref="S56:V56" si="123">S32*S27*S15</f>
        <v>3.9068007168212775</v>
      </c>
      <c r="T56" s="47">
        <f t="shared" si="123"/>
        <v>5.3959374629299264</v>
      </c>
      <c r="U56" s="47">
        <f t="shared" si="123"/>
        <v>7.7742596626883973</v>
      </c>
      <c r="V56" s="47">
        <f t="shared" si="123"/>
        <v>10.451198908779302</v>
      </c>
      <c r="W56" s="239"/>
      <c r="X56" s="195">
        <f t="shared" si="118"/>
        <v>3.7384287562127883</v>
      </c>
      <c r="Y56" s="195">
        <f t="shared" si="118"/>
        <v>4.0095499278165798</v>
      </c>
      <c r="Z56" s="195">
        <f t="shared" si="118"/>
        <v>4.194348400332407</v>
      </c>
      <c r="AA56" s="195">
        <f t="shared" si="118"/>
        <v>3.7584536303869847</v>
      </c>
      <c r="AB56" s="195">
        <f t="shared" si="118"/>
        <v>3.9068007168212775</v>
      </c>
      <c r="AC56" s="47">
        <f t="shared" ref="AC56" si="124">AC32*AC27*AC15</f>
        <v>4.9722704697880955</v>
      </c>
      <c r="AD56" s="47">
        <f t="shared" si="120"/>
        <v>6.4314681354620031</v>
      </c>
      <c r="AE56" s="47">
        <f t="shared" si="120"/>
        <v>7.6984840447579925</v>
      </c>
      <c r="AF56" s="239"/>
      <c r="AG56" s="239"/>
      <c r="AH56" s="239"/>
      <c r="AI56" s="239"/>
      <c r="AJ56" s="239"/>
      <c r="AK56" s="239"/>
      <c r="AL56" s="239"/>
      <c r="AM56" s="239"/>
      <c r="AN56" s="239"/>
      <c r="AO56" s="239"/>
      <c r="AP56" s="239"/>
      <c r="AQ56" s="239"/>
      <c r="AR56" s="239"/>
      <c r="AS56" s="239"/>
      <c r="AT56" s="239"/>
      <c r="AU56" s="239"/>
    </row>
    <row r="57" spans="1:47">
      <c r="A57" s="194" t="s">
        <v>16</v>
      </c>
      <c r="C57" s="238" t="s">
        <v>165</v>
      </c>
      <c r="D57" s="194" t="s">
        <v>67</v>
      </c>
      <c r="E57" s="195">
        <f>E49</f>
        <v>0.44857633535499813</v>
      </c>
      <c r="F57" s="63">
        <f t="shared" si="108"/>
        <v>0.46210357112254363</v>
      </c>
      <c r="G57" s="63">
        <f t="shared" si="109"/>
        <v>0.46691180750353573</v>
      </c>
      <c r="H57" s="63">
        <f t="shared" si="110"/>
        <v>0.47010048898315682</v>
      </c>
      <c r="I57" s="63">
        <f t="shared" si="111"/>
        <v>0.45284634822306574</v>
      </c>
      <c r="J57" s="63">
        <f t="shared" si="112"/>
        <v>0.45758056160160959</v>
      </c>
      <c r="K57" s="63">
        <f t="shared" si="113"/>
        <v>0.50382178340331718</v>
      </c>
      <c r="L57" s="63">
        <f t="shared" si="114"/>
        <v>0.5850991700851057</v>
      </c>
      <c r="M57" s="63">
        <f t="shared" si="115"/>
        <v>0.69554198454893268</v>
      </c>
      <c r="N57" s="43"/>
      <c r="O57" s="195">
        <f>O49</f>
        <v>0.46210357112254363</v>
      </c>
      <c r="P57" s="195">
        <f t="shared" ref="P57:R57" si="125">P49</f>
        <v>0.46691180750353573</v>
      </c>
      <c r="Q57" s="195">
        <f t="shared" si="125"/>
        <v>0.47010048898315682</v>
      </c>
      <c r="R57" s="195">
        <f t="shared" si="125"/>
        <v>0.45284634822306574</v>
      </c>
      <c r="S57" s="195">
        <f>S49</f>
        <v>0.45758056160160959</v>
      </c>
      <c r="T57" s="47">
        <f t="shared" ref="T57:V57" si="126">T49</f>
        <v>0.50382178340331718</v>
      </c>
      <c r="U57" s="47">
        <f t="shared" si="126"/>
        <v>0.5850991700851057</v>
      </c>
      <c r="V57" s="47">
        <f t="shared" si="126"/>
        <v>0.69554198454893268</v>
      </c>
      <c r="W57" s="239"/>
      <c r="X57" s="195">
        <f>X49</f>
        <v>0.46210357112254363</v>
      </c>
      <c r="Y57" s="195">
        <f t="shared" ref="Y57:AB57" si="127">Y49</f>
        <v>0.46691180750353573</v>
      </c>
      <c r="Z57" s="195">
        <f t="shared" si="127"/>
        <v>0.47010048898315682</v>
      </c>
      <c r="AA57" s="195">
        <f t="shared" si="127"/>
        <v>0.45284634822306574</v>
      </c>
      <c r="AB57" s="195">
        <f t="shared" si="127"/>
        <v>0.45758056160160959</v>
      </c>
      <c r="AC57" s="47">
        <f t="shared" ref="AC57" si="128">AC49</f>
        <v>0.50430020366253359</v>
      </c>
      <c r="AD57" s="47">
        <f>AD49</f>
        <v>0.56938385666365487</v>
      </c>
      <c r="AE57" s="47">
        <f>AE49</f>
        <v>0.63386969994152731</v>
      </c>
      <c r="AF57" s="239"/>
      <c r="AG57" s="239"/>
      <c r="AH57" s="239"/>
      <c r="AI57" s="239"/>
      <c r="AJ57" s="239"/>
      <c r="AK57" s="239"/>
      <c r="AL57" s="239"/>
      <c r="AM57" s="239"/>
      <c r="AN57" s="239"/>
      <c r="AO57" s="239"/>
      <c r="AP57" s="239"/>
      <c r="AQ57" s="239"/>
      <c r="AR57" s="239"/>
      <c r="AS57" s="239"/>
      <c r="AT57" s="239"/>
      <c r="AU57" s="239"/>
    </row>
    <row r="58" spans="1:47">
      <c r="A58" s="194" t="s">
        <v>16</v>
      </c>
      <c r="C58" s="238" t="s">
        <v>64</v>
      </c>
      <c r="D58" s="194" t="s">
        <v>67</v>
      </c>
      <c r="E58" s="195">
        <f>SUM(E54:E57)</f>
        <v>6.5022595448073872</v>
      </c>
      <c r="F58" s="63">
        <f t="shared" si="108"/>
        <v>7.0871562613617858</v>
      </c>
      <c r="G58" s="63">
        <f t="shared" si="109"/>
        <v>7.4801228657068002</v>
      </c>
      <c r="H58" s="63">
        <f t="shared" si="110"/>
        <v>7.82370468440077</v>
      </c>
      <c r="I58" s="63">
        <f t="shared" si="111"/>
        <v>7.5383434239180964</v>
      </c>
      <c r="J58" s="63">
        <f t="shared" si="112"/>
        <v>7.5653404514608189</v>
      </c>
      <c r="K58" s="63">
        <f t="shared" si="113"/>
        <v>9.593217805191923</v>
      </c>
      <c r="L58" s="63">
        <f t="shared" si="114"/>
        <v>12.574004165420568</v>
      </c>
      <c r="M58" s="63">
        <f t="shared" si="115"/>
        <v>15.778919097044399</v>
      </c>
      <c r="N58" s="43"/>
      <c r="O58" s="195">
        <f>SUM(O54:O57)</f>
        <v>7.0871562613617858</v>
      </c>
      <c r="P58" s="195">
        <f t="shared" ref="P58:R58" si="129">SUM(P54:P57)</f>
        <v>7.4801228657068002</v>
      </c>
      <c r="Q58" s="195">
        <f t="shared" si="129"/>
        <v>7.82370468440077</v>
      </c>
      <c r="R58" s="195">
        <f t="shared" si="129"/>
        <v>7.5383434239180964</v>
      </c>
      <c r="S58" s="195">
        <f>SUM(S54:S57)</f>
        <v>7.5653404514608189</v>
      </c>
      <c r="T58" s="47">
        <f t="shared" ref="T58" si="130">SUM(T54:T57)</f>
        <v>9.593217805191923</v>
      </c>
      <c r="U58" s="47">
        <f t="shared" ref="U58" si="131">SUM(U54:U57)</f>
        <v>12.574004165420568</v>
      </c>
      <c r="V58" s="47">
        <f>SUM(V54:V57)</f>
        <v>15.778919097044399</v>
      </c>
      <c r="W58" s="239"/>
      <c r="X58" s="195">
        <f>SUM(X54:X57)</f>
        <v>7.0871562613617858</v>
      </c>
      <c r="Y58" s="195">
        <f t="shared" ref="Y58:AC58" si="132">SUM(Y54:Y57)</f>
        <v>7.4801228657068002</v>
      </c>
      <c r="Z58" s="195">
        <f t="shared" si="132"/>
        <v>7.82370468440077</v>
      </c>
      <c r="AA58" s="195">
        <f t="shared" si="132"/>
        <v>7.5383434239180964</v>
      </c>
      <c r="AB58" s="195">
        <f t="shared" si="132"/>
        <v>7.5653404514608189</v>
      </c>
      <c r="AC58" s="47">
        <f t="shared" si="132"/>
        <v>9.0149227346886747</v>
      </c>
      <c r="AD58" s="47">
        <f>SUM(AD54:AD57)</f>
        <v>10.728033128523979</v>
      </c>
      <c r="AE58" s="47">
        <f>SUM(AE54:AE57)</f>
        <v>12.008828459068814</v>
      </c>
      <c r="AF58" s="239"/>
      <c r="AG58" s="239"/>
      <c r="AH58" s="239"/>
      <c r="AI58" s="239"/>
      <c r="AJ58" s="239"/>
      <c r="AK58" s="239"/>
      <c r="AL58" s="239"/>
      <c r="AM58" s="239"/>
      <c r="AN58" s="239"/>
      <c r="AO58" s="239"/>
      <c r="AP58" s="239"/>
      <c r="AQ58" s="239"/>
      <c r="AR58" s="239"/>
      <c r="AS58" s="239"/>
      <c r="AT58" s="239"/>
      <c r="AU58" s="239"/>
    </row>
    <row r="59" spans="1:47">
      <c r="A59" s="194" t="s">
        <v>16</v>
      </c>
      <c r="C59" s="238" t="s">
        <v>65</v>
      </c>
      <c r="D59" s="194" t="s">
        <v>66</v>
      </c>
      <c r="E59" s="48">
        <f>E16/E58</f>
        <v>8.0472691871945408</v>
      </c>
      <c r="F59" s="63">
        <f t="shared" si="108"/>
        <v>7.7253117383362024</v>
      </c>
      <c r="G59" s="63">
        <f t="shared" si="109"/>
        <v>7.5562860472222084</v>
      </c>
      <c r="H59" s="63">
        <f t="shared" si="110"/>
        <v>7.4599997413232755</v>
      </c>
      <c r="I59" s="63">
        <f t="shared" si="111"/>
        <v>7.8676025573233943</v>
      </c>
      <c r="J59" s="63">
        <f t="shared" si="112"/>
        <v>7.929792563085547</v>
      </c>
      <c r="K59" s="63">
        <f t="shared" si="113"/>
        <v>6.8752832823522532</v>
      </c>
      <c r="L59" s="63">
        <f t="shared" si="114"/>
        <v>5.6764181927255368</v>
      </c>
      <c r="M59" s="63">
        <f>IF($D$4,AE59,V59)</f>
        <v>4.7860001395244804</v>
      </c>
      <c r="N59" s="43"/>
      <c r="O59" s="48">
        <f>F16/O58</f>
        <v>7.7253117383362024</v>
      </c>
      <c r="P59" s="48">
        <f t="shared" ref="P59:R59" si="133">G16/P58</f>
        <v>7.5562860472222084</v>
      </c>
      <c r="Q59" s="48">
        <f t="shared" si="133"/>
        <v>7.4599997413232755</v>
      </c>
      <c r="R59" s="195">
        <f t="shared" si="133"/>
        <v>7.8676025573233943</v>
      </c>
      <c r="S59" s="195">
        <f>J16/S58</f>
        <v>7.929792563085547</v>
      </c>
      <c r="T59" s="47">
        <f t="shared" ref="T59" si="134">K16/T58</f>
        <v>6.8752832823522532</v>
      </c>
      <c r="U59" s="47">
        <f t="shared" ref="U59" si="135">L16/U58</f>
        <v>5.6764181927255368</v>
      </c>
      <c r="V59" s="47">
        <f t="shared" ref="V59" si="136">M16/V58</f>
        <v>4.7860001395244804</v>
      </c>
      <c r="W59" s="239"/>
      <c r="X59" s="48">
        <f>X16/X58</f>
        <v>7.7253117383362024</v>
      </c>
      <c r="Y59" s="48">
        <f t="shared" ref="Y59:AC59" si="137">Y16/Y58</f>
        <v>7.5562860472222084</v>
      </c>
      <c r="Z59" s="48">
        <f t="shared" si="137"/>
        <v>7.4599997413232755</v>
      </c>
      <c r="AA59" s="48">
        <f t="shared" si="137"/>
        <v>7.8676025573233943</v>
      </c>
      <c r="AB59" s="48">
        <f t="shared" si="137"/>
        <v>7.929792563085547</v>
      </c>
      <c r="AC59" s="47">
        <f t="shared" si="137"/>
        <v>7.316323383028724</v>
      </c>
      <c r="AD59" s="47">
        <f>AD16/AD58</f>
        <v>6.6531586121062061</v>
      </c>
      <c r="AE59" s="47">
        <f>AE16/AE58</f>
        <v>6.2885325789603108</v>
      </c>
      <c r="AF59" s="239"/>
      <c r="AG59" s="239"/>
      <c r="AH59" s="239"/>
      <c r="AI59" s="239"/>
      <c r="AJ59" s="239"/>
      <c r="AK59" s="239"/>
      <c r="AL59" s="239"/>
      <c r="AM59" s="239"/>
      <c r="AN59" s="239"/>
      <c r="AO59" s="239"/>
      <c r="AP59" s="239"/>
      <c r="AQ59" s="239"/>
      <c r="AR59" s="239"/>
      <c r="AS59" s="239"/>
      <c r="AT59" s="239"/>
      <c r="AU59" s="239"/>
    </row>
    <row r="60" spans="1:47">
      <c r="A60" s="194" t="s">
        <v>16</v>
      </c>
      <c r="C60" s="238" t="s">
        <v>166</v>
      </c>
      <c r="D60" s="194" t="s">
        <v>144</v>
      </c>
      <c r="E60" s="195">
        <f>1000/E59</f>
        <v>124.26575733185116</v>
      </c>
      <c r="F60" s="195">
        <f t="shared" ref="F60:M60" si="138">1000/F59</f>
        <v>129.44461451795985</v>
      </c>
      <c r="G60" s="195">
        <f t="shared" si="138"/>
        <v>132.34014617109597</v>
      </c>
      <c r="H60" s="195">
        <f t="shared" si="138"/>
        <v>134.04826202079965</v>
      </c>
      <c r="I60" s="195">
        <f t="shared" si="138"/>
        <v>127.10352266958004</v>
      </c>
      <c r="J60" s="195">
        <f t="shared" si="138"/>
        <v>126.10670355428464</v>
      </c>
      <c r="K60" s="195">
        <f t="shared" si="138"/>
        <v>145.44855228974188</v>
      </c>
      <c r="L60" s="195">
        <f t="shared" si="138"/>
        <v>176.16742918651121</v>
      </c>
      <c r="M60" s="195">
        <f t="shared" si="138"/>
        <v>208.94274359535567</v>
      </c>
      <c r="N60" s="41"/>
      <c r="O60" s="195">
        <f>1000/O59</f>
        <v>129.44461451795985</v>
      </c>
      <c r="P60" s="195">
        <f t="shared" ref="P60:R60" si="139">1000/P59</f>
        <v>132.34014617109597</v>
      </c>
      <c r="Q60" s="195">
        <f t="shared" si="139"/>
        <v>134.04826202079965</v>
      </c>
      <c r="R60" s="195">
        <f t="shared" si="139"/>
        <v>127.10352266958004</v>
      </c>
      <c r="S60" s="195">
        <f>1000/S59</f>
        <v>126.10670355428464</v>
      </c>
      <c r="T60" s="195">
        <f t="shared" ref="T60" si="140">1000/T59</f>
        <v>145.44855228974188</v>
      </c>
      <c r="U60" s="195">
        <f t="shared" ref="U60" si="141">1000/U59</f>
        <v>176.16742918651121</v>
      </c>
      <c r="V60" s="195">
        <f t="shared" ref="V60" si="142">1000/V59</f>
        <v>208.94274359535567</v>
      </c>
      <c r="X60" s="195">
        <f>1000/X59</f>
        <v>129.44461451795985</v>
      </c>
      <c r="Y60" s="195">
        <f t="shared" ref="Y60:AC60" si="143">1000/Y59</f>
        <v>132.34014617109597</v>
      </c>
      <c r="Z60" s="195">
        <f t="shared" si="143"/>
        <v>134.04826202079965</v>
      </c>
      <c r="AA60" s="195">
        <f t="shared" si="143"/>
        <v>127.10352266958004</v>
      </c>
      <c r="AB60" s="195">
        <f t="shared" si="143"/>
        <v>126.10670355428464</v>
      </c>
      <c r="AC60" s="195">
        <f t="shared" si="143"/>
        <v>136.68067246995199</v>
      </c>
      <c r="AD60" s="195">
        <f>1000/AD59</f>
        <v>150.30454830588019</v>
      </c>
      <c r="AE60" s="195">
        <f>1000/AE59</f>
        <v>159.01961028964422</v>
      </c>
    </row>
    <row r="61" spans="1:47">
      <c r="A61" s="194" t="s">
        <v>16</v>
      </c>
      <c r="C61" s="238" t="s">
        <v>167</v>
      </c>
      <c r="E61" s="242">
        <f>E57/E58</f>
        <v>6.8987762217708595E-2</v>
      </c>
      <c r="F61" s="242">
        <f t="shared" si="108"/>
        <v>6.5202960691281717E-2</v>
      </c>
      <c r="G61" s="242">
        <f t="shared" ref="G61" si="144">IF($D$4,AA61,R61)</f>
        <v>6.007239558577928E-2</v>
      </c>
      <c r="H61" s="242">
        <f t="shared" ref="H61:J61" si="145">IF($D$4,AC61,T61)</f>
        <v>5.2518538996440274E-2</v>
      </c>
      <c r="I61" s="242">
        <f t="shared" si="145"/>
        <v>4.6532446020192297E-2</v>
      </c>
      <c r="J61" s="242">
        <f t="shared" si="145"/>
        <v>4.4080458253900098E-2</v>
      </c>
      <c r="K61" s="242">
        <f t="shared" ref="K61:M61" si="146">IF($D$4,AC61,T61)</f>
        <v>5.2518538996440274E-2</v>
      </c>
      <c r="L61" s="242">
        <f t="shared" si="146"/>
        <v>4.6532446020192297E-2</v>
      </c>
      <c r="M61" s="242">
        <f t="shared" si="146"/>
        <v>4.4080458253900098E-2</v>
      </c>
      <c r="N61" s="41"/>
      <c r="O61" s="242">
        <f>O57/O58</f>
        <v>6.5202960691281717E-2</v>
      </c>
      <c r="P61" s="242">
        <f t="shared" ref="P61:R61" si="147">P57/P58</f>
        <v>6.2420339329468624E-2</v>
      </c>
      <c r="Q61" s="242">
        <f>Q57/Q58</f>
        <v>6.0086686288206001E-2</v>
      </c>
      <c r="R61" s="242">
        <f t="shared" si="147"/>
        <v>6.007239558577928E-2</v>
      </c>
      <c r="S61" s="242">
        <f>S57/S58</f>
        <v>6.0483803014212495E-2</v>
      </c>
      <c r="T61" s="242">
        <f t="shared" ref="T61:V61" si="148">T57/T58</f>
        <v>5.2518538996440274E-2</v>
      </c>
      <c r="U61" s="242">
        <f t="shared" si="148"/>
        <v>4.6532446020192297E-2</v>
      </c>
      <c r="V61" s="242">
        <f t="shared" si="148"/>
        <v>4.4080458253900098E-2</v>
      </c>
      <c r="W61" s="293"/>
      <c r="X61" s="242">
        <f>X57/X58</f>
        <v>6.5202960691281717E-2</v>
      </c>
      <c r="Y61" s="242">
        <f t="shared" ref="Y61:AB61" si="149">Y57/Y58</f>
        <v>6.2420339329468624E-2</v>
      </c>
      <c r="Z61" s="242">
        <f t="shared" si="149"/>
        <v>6.0086686288206001E-2</v>
      </c>
      <c r="AA61" s="242">
        <f t="shared" si="149"/>
        <v>6.007239558577928E-2</v>
      </c>
      <c r="AB61" s="242">
        <f t="shared" si="149"/>
        <v>6.0483803014212495E-2</v>
      </c>
      <c r="AC61" s="242">
        <f t="shared" ref="AC61" si="150">AC57/AC58</f>
        <v>5.5940601878042534E-2</v>
      </c>
      <c r="AD61" s="242">
        <f>AD57/AD58</f>
        <v>5.3074393958549772E-2</v>
      </c>
      <c r="AE61" s="242">
        <f>AE57/AE58</f>
        <v>5.2783641810025379E-2</v>
      </c>
    </row>
    <row r="62" spans="1:47">
      <c r="A62" s="194" t="s">
        <v>16</v>
      </c>
      <c r="C62" s="238"/>
      <c r="E62" s="242"/>
      <c r="F62" s="242"/>
      <c r="G62" s="242"/>
      <c r="I62" s="242"/>
      <c r="K62" s="242"/>
      <c r="L62" s="242"/>
      <c r="M62" s="242"/>
      <c r="N62" s="41"/>
      <c r="W62" s="293"/>
    </row>
    <row r="63" spans="1:47" ht="15.75" thickBot="1">
      <c r="A63" s="194" t="s">
        <v>16</v>
      </c>
      <c r="C63" s="237" t="s">
        <v>80</v>
      </c>
      <c r="E63" s="7">
        <f t="shared" ref="E63:M63" si="151">E53</f>
        <v>2012</v>
      </c>
      <c r="F63" s="7">
        <f t="shared" si="151"/>
        <v>2015</v>
      </c>
      <c r="G63" s="7">
        <f t="shared" si="151"/>
        <v>2017</v>
      </c>
      <c r="H63" s="7">
        <f t="shared" si="151"/>
        <v>2019</v>
      </c>
      <c r="I63" s="7">
        <f t="shared" si="151"/>
        <v>2020</v>
      </c>
      <c r="J63" s="7">
        <f t="shared" si="151"/>
        <v>2021</v>
      </c>
      <c r="K63" s="7">
        <f t="shared" si="151"/>
        <v>2030</v>
      </c>
      <c r="L63" s="7">
        <f t="shared" si="151"/>
        <v>2040</v>
      </c>
      <c r="M63" s="7">
        <f t="shared" si="151"/>
        <v>2050</v>
      </c>
      <c r="N63" s="41"/>
      <c r="O63" s="300">
        <f>O53</f>
        <v>2015</v>
      </c>
      <c r="P63" s="300">
        <f t="shared" ref="P63:V63" si="152">P53</f>
        <v>2017</v>
      </c>
      <c r="Q63" s="300">
        <f t="shared" si="152"/>
        <v>2019</v>
      </c>
      <c r="R63" s="300">
        <f t="shared" si="152"/>
        <v>2020</v>
      </c>
      <c r="S63" s="300">
        <f t="shared" si="152"/>
        <v>2021</v>
      </c>
      <c r="T63" s="300">
        <f t="shared" si="152"/>
        <v>2030</v>
      </c>
      <c r="U63" s="300">
        <f t="shared" si="152"/>
        <v>2040</v>
      </c>
      <c r="V63" s="300">
        <f t="shared" si="152"/>
        <v>2050</v>
      </c>
      <c r="W63" s="293"/>
      <c r="X63" s="314">
        <f>X$12</f>
        <v>2015</v>
      </c>
      <c r="Y63" s="314">
        <f t="shared" ref="Y63:AE63" si="153">Y$12</f>
        <v>2017</v>
      </c>
      <c r="Z63" s="314">
        <f t="shared" si="153"/>
        <v>2019</v>
      </c>
      <c r="AA63" s="314">
        <f t="shared" si="153"/>
        <v>2020</v>
      </c>
      <c r="AB63" s="314">
        <f t="shared" si="153"/>
        <v>2021</v>
      </c>
      <c r="AC63" s="314">
        <f t="shared" si="153"/>
        <v>2030</v>
      </c>
      <c r="AD63" s="314">
        <f t="shared" si="153"/>
        <v>2040</v>
      </c>
      <c r="AE63" s="314">
        <f t="shared" si="153"/>
        <v>2050</v>
      </c>
    </row>
    <row r="64" spans="1:47">
      <c r="A64" s="194" t="s">
        <v>16</v>
      </c>
      <c r="C64" s="238" t="s">
        <v>168</v>
      </c>
      <c r="D64" s="194" t="s">
        <v>169</v>
      </c>
      <c r="E64" s="70">
        <f>[2]Calib_1011!$H$96*[2]Calib_1011!$H$97</f>
        <v>330</v>
      </c>
      <c r="F64" s="63">
        <f>IF($D$4,X64,O64)</f>
        <v>330</v>
      </c>
      <c r="G64" s="63">
        <f t="shared" ref="G64:M64" si="154">IF($D$4,Y64,P64)</f>
        <v>330</v>
      </c>
      <c r="H64" s="63">
        <f t="shared" si="154"/>
        <v>330</v>
      </c>
      <c r="I64" s="63">
        <f t="shared" si="154"/>
        <v>330</v>
      </c>
      <c r="J64" s="63">
        <f t="shared" si="154"/>
        <v>330</v>
      </c>
      <c r="K64" s="63">
        <f t="shared" si="154"/>
        <v>330</v>
      </c>
      <c r="L64" s="63">
        <f t="shared" si="154"/>
        <v>330</v>
      </c>
      <c r="M64" s="63">
        <f t="shared" si="154"/>
        <v>330</v>
      </c>
      <c r="N64" s="41"/>
      <c r="O64" s="78">
        <f>E64</f>
        <v>330</v>
      </c>
      <c r="P64" s="78">
        <f>O64</f>
        <v>330</v>
      </c>
      <c r="Q64" s="78">
        <f>P64</f>
        <v>330</v>
      </c>
      <c r="R64" s="195">
        <f t="shared" ref="R64:V64" si="155">Q64</f>
        <v>330</v>
      </c>
      <c r="S64" s="195">
        <f t="shared" si="155"/>
        <v>330</v>
      </c>
      <c r="T64" s="62">
        <f t="shared" si="155"/>
        <v>330</v>
      </c>
      <c r="U64" s="62">
        <f t="shared" si="155"/>
        <v>330</v>
      </c>
      <c r="V64" s="62">
        <f t="shared" si="155"/>
        <v>330</v>
      </c>
      <c r="W64" s="293"/>
      <c r="X64" s="78">
        <f>O64</f>
        <v>330</v>
      </c>
      <c r="Y64" s="78">
        <f t="shared" ref="Y64:AB64" si="156">P64</f>
        <v>330</v>
      </c>
      <c r="Z64" s="78">
        <f t="shared" si="156"/>
        <v>330</v>
      </c>
      <c r="AA64" s="78">
        <f t="shared" si="156"/>
        <v>330</v>
      </c>
      <c r="AB64" s="78">
        <f t="shared" si="156"/>
        <v>330</v>
      </c>
      <c r="AC64" s="62">
        <f>AA64</f>
        <v>330</v>
      </c>
      <c r="AD64" s="62">
        <f>AC64</f>
        <v>330</v>
      </c>
      <c r="AE64" s="62">
        <f>AD64</f>
        <v>330</v>
      </c>
    </row>
    <row r="65" spans="1:47">
      <c r="A65" s="194" t="s">
        <v>16</v>
      </c>
      <c r="C65" s="238"/>
      <c r="L65" s="194"/>
      <c r="N65" s="41"/>
      <c r="O65" s="8"/>
      <c r="P65" s="8"/>
      <c r="Q65" s="8"/>
      <c r="S65" s="293"/>
    </row>
    <row r="66" spans="1:47" ht="15.75" thickBot="1">
      <c r="A66" s="194" t="s">
        <v>16</v>
      </c>
      <c r="C66" s="237" t="s">
        <v>178</v>
      </c>
      <c r="L66" s="194"/>
      <c r="N66" s="41"/>
      <c r="O66" s="194">
        <f t="shared" ref="O66:V66" si="157">O53</f>
        <v>2015</v>
      </c>
      <c r="P66" s="293">
        <f t="shared" si="157"/>
        <v>2017</v>
      </c>
      <c r="Q66" s="293">
        <f t="shared" si="157"/>
        <v>2019</v>
      </c>
      <c r="R66" s="293">
        <f t="shared" si="157"/>
        <v>2020</v>
      </c>
      <c r="S66" s="293">
        <f t="shared" si="157"/>
        <v>2021</v>
      </c>
      <c r="T66" s="293">
        <f t="shared" si="157"/>
        <v>2030</v>
      </c>
      <c r="U66" s="293">
        <f t="shared" si="157"/>
        <v>2040</v>
      </c>
      <c r="V66" s="293">
        <f t="shared" si="157"/>
        <v>2050</v>
      </c>
    </row>
    <row r="67" spans="1:47">
      <c r="A67" s="194" t="s">
        <v>16</v>
      </c>
      <c r="C67" s="238" t="s">
        <v>179</v>
      </c>
      <c r="D67" s="194" t="s">
        <v>170</v>
      </c>
      <c r="E67" s="209">
        <f>[2]Calib_1011!$H$102</f>
        <v>33.5</v>
      </c>
      <c r="F67" s="78">
        <f t="shared" ref="F67:F70" si="158">IF($D$4,X67,O67)</f>
        <v>33.5</v>
      </c>
      <c r="G67" s="78">
        <f t="shared" ref="G67:G70" si="159">IF($D$4,Y67,P67)</f>
        <v>33.5</v>
      </c>
      <c r="H67" s="78">
        <f t="shared" ref="H67:H70" si="160">IF($D$4,Z67,Q67)</f>
        <v>33.5</v>
      </c>
      <c r="I67" s="78">
        <f t="shared" ref="I67:I70" si="161">IF($D$4,AA67,R67)</f>
        <v>33.5</v>
      </c>
      <c r="J67" s="78">
        <f t="shared" ref="J67:J70" si="162">IF($D$4,AB67,S67)</f>
        <v>33.5</v>
      </c>
      <c r="K67" s="78">
        <f t="shared" ref="K67:K70" si="163">IF($D$4,AC67,T67)</f>
        <v>33.5</v>
      </c>
      <c r="L67" s="78">
        <f t="shared" ref="L67:L70" si="164">IF($D$4,AD67,U67)</f>
        <v>33.5</v>
      </c>
      <c r="M67" s="78">
        <f t="shared" ref="M67:M70" si="165">IF($D$4,AE67,V67)</f>
        <v>33.5</v>
      </c>
      <c r="N67" s="41"/>
      <c r="O67" s="78">
        <f>E67</f>
        <v>33.5</v>
      </c>
      <c r="P67" s="78">
        <f>O67</f>
        <v>33.5</v>
      </c>
      <c r="Q67" s="78">
        <f t="shared" ref="Q67:V67" si="166">P67</f>
        <v>33.5</v>
      </c>
      <c r="R67" s="195">
        <f t="shared" si="166"/>
        <v>33.5</v>
      </c>
      <c r="S67" s="195">
        <f t="shared" si="166"/>
        <v>33.5</v>
      </c>
      <c r="T67" s="62">
        <f t="shared" si="166"/>
        <v>33.5</v>
      </c>
      <c r="U67" s="62">
        <f t="shared" si="166"/>
        <v>33.5</v>
      </c>
      <c r="V67" s="62">
        <f t="shared" si="166"/>
        <v>33.5</v>
      </c>
      <c r="X67" s="78">
        <f>O67</f>
        <v>33.5</v>
      </c>
      <c r="Y67" s="78">
        <f t="shared" ref="Y67:AB67" si="167">P67</f>
        <v>33.5</v>
      </c>
      <c r="Z67" s="78">
        <f t="shared" si="167"/>
        <v>33.5</v>
      </c>
      <c r="AA67" s="78">
        <f t="shared" si="167"/>
        <v>33.5</v>
      </c>
      <c r="AB67" s="78">
        <f t="shared" si="167"/>
        <v>33.5</v>
      </c>
      <c r="AC67" s="62">
        <f>AA67</f>
        <v>33.5</v>
      </c>
      <c r="AD67" s="62">
        <f>AC67</f>
        <v>33.5</v>
      </c>
      <c r="AE67" s="62">
        <f>AD67</f>
        <v>33.5</v>
      </c>
    </row>
    <row r="68" spans="1:47">
      <c r="A68" s="194" t="s">
        <v>16</v>
      </c>
      <c r="C68" s="238" t="s">
        <v>63</v>
      </c>
      <c r="D68" s="194" t="s">
        <v>170</v>
      </c>
      <c r="E68" s="62">
        <f>E70*1.5</f>
        <v>32.25</v>
      </c>
      <c r="F68" s="78">
        <f t="shared" si="158"/>
        <v>32.25</v>
      </c>
      <c r="G68" s="78">
        <f t="shared" si="159"/>
        <v>32.25</v>
      </c>
      <c r="H68" s="78">
        <f t="shared" si="160"/>
        <v>32.25</v>
      </c>
      <c r="I68" s="78">
        <f t="shared" si="161"/>
        <v>32.25</v>
      </c>
      <c r="J68" s="78">
        <f t="shared" si="162"/>
        <v>32.25</v>
      </c>
      <c r="K68" s="78">
        <f t="shared" si="163"/>
        <v>32.25</v>
      </c>
      <c r="L68" s="78">
        <f t="shared" si="164"/>
        <v>32.25</v>
      </c>
      <c r="M68" s="78">
        <f t="shared" si="165"/>
        <v>32.25</v>
      </c>
      <c r="N68" s="41"/>
      <c r="O68" s="78">
        <f t="shared" ref="O68:O70" si="168">E68</f>
        <v>32.25</v>
      </c>
      <c r="P68" s="78">
        <f t="shared" ref="P68:V68" si="169">O68</f>
        <v>32.25</v>
      </c>
      <c r="Q68" s="78">
        <f t="shared" si="169"/>
        <v>32.25</v>
      </c>
      <c r="R68" s="195">
        <f t="shared" si="169"/>
        <v>32.25</v>
      </c>
      <c r="S68" s="195">
        <f t="shared" si="169"/>
        <v>32.25</v>
      </c>
      <c r="T68" s="62">
        <f t="shared" si="169"/>
        <v>32.25</v>
      </c>
      <c r="U68" s="62">
        <f t="shared" si="169"/>
        <v>32.25</v>
      </c>
      <c r="V68" s="62">
        <f t="shared" si="169"/>
        <v>32.25</v>
      </c>
      <c r="X68" s="78">
        <f t="shared" ref="X68:X70" si="170">O68</f>
        <v>32.25</v>
      </c>
      <c r="Y68" s="78">
        <f t="shared" ref="Y68:Y70" si="171">P68</f>
        <v>32.25</v>
      </c>
      <c r="Z68" s="78">
        <f t="shared" ref="Z68:Z70" si="172">Q68</f>
        <v>32.25</v>
      </c>
      <c r="AA68" s="78">
        <f t="shared" ref="AA68:AA70" si="173">R68</f>
        <v>32.25</v>
      </c>
      <c r="AB68" s="78">
        <f t="shared" ref="AB68:AB70" si="174">S68</f>
        <v>32.25</v>
      </c>
      <c r="AC68" s="62">
        <f>AC70*1.5</f>
        <v>32.25</v>
      </c>
      <c r="AD68" s="62">
        <f>AD70*1.5</f>
        <v>32.25</v>
      </c>
      <c r="AE68" s="62">
        <f>AE70*1.5</f>
        <v>32.25</v>
      </c>
    </row>
    <row r="69" spans="1:47">
      <c r="A69" s="194" t="s">
        <v>16</v>
      </c>
      <c r="C69" s="238" t="s">
        <v>82</v>
      </c>
      <c r="D69" s="194" t="s">
        <v>170</v>
      </c>
      <c r="E69" s="62">
        <f>E70*2</f>
        <v>43</v>
      </c>
      <c r="F69" s="78">
        <f t="shared" si="158"/>
        <v>43</v>
      </c>
      <c r="G69" s="78">
        <f t="shared" si="159"/>
        <v>43</v>
      </c>
      <c r="H69" s="78">
        <f t="shared" si="160"/>
        <v>43</v>
      </c>
      <c r="I69" s="78">
        <f t="shared" si="161"/>
        <v>43</v>
      </c>
      <c r="J69" s="78">
        <f t="shared" si="162"/>
        <v>43</v>
      </c>
      <c r="K69" s="78">
        <f t="shared" si="163"/>
        <v>43</v>
      </c>
      <c r="L69" s="78">
        <f t="shared" si="164"/>
        <v>43</v>
      </c>
      <c r="M69" s="78">
        <f t="shared" si="165"/>
        <v>43</v>
      </c>
      <c r="N69" s="41"/>
      <c r="O69" s="78">
        <f t="shared" si="168"/>
        <v>43</v>
      </c>
      <c r="P69" s="78">
        <f t="shared" ref="P69:V69" si="175">O69</f>
        <v>43</v>
      </c>
      <c r="Q69" s="78">
        <f t="shared" si="175"/>
        <v>43</v>
      </c>
      <c r="R69" s="195">
        <f t="shared" si="175"/>
        <v>43</v>
      </c>
      <c r="S69" s="195">
        <f t="shared" si="175"/>
        <v>43</v>
      </c>
      <c r="T69" s="62">
        <f t="shared" si="175"/>
        <v>43</v>
      </c>
      <c r="U69" s="62">
        <f t="shared" si="175"/>
        <v>43</v>
      </c>
      <c r="V69" s="62">
        <f t="shared" si="175"/>
        <v>43</v>
      </c>
      <c r="X69" s="78">
        <f t="shared" si="170"/>
        <v>43</v>
      </c>
      <c r="Y69" s="78">
        <f t="shared" si="171"/>
        <v>43</v>
      </c>
      <c r="Z69" s="78">
        <f t="shared" si="172"/>
        <v>43</v>
      </c>
      <c r="AA69" s="78">
        <f t="shared" si="173"/>
        <v>43</v>
      </c>
      <c r="AB69" s="78">
        <f t="shared" si="174"/>
        <v>43</v>
      </c>
      <c r="AC69" s="62">
        <f>AC70*2</f>
        <v>43</v>
      </c>
      <c r="AD69" s="62">
        <f>AD70*2</f>
        <v>43</v>
      </c>
      <c r="AE69" s="62">
        <f>AE70*2</f>
        <v>43</v>
      </c>
    </row>
    <row r="70" spans="1:47">
      <c r="A70" s="194" t="s">
        <v>16</v>
      </c>
      <c r="C70" s="238" t="s">
        <v>180</v>
      </c>
      <c r="D70" s="194" t="s">
        <v>170</v>
      </c>
      <c r="E70" s="70">
        <f>[2]Calib_1011!$H$101</f>
        <v>21.5</v>
      </c>
      <c r="F70" s="78">
        <f t="shared" si="158"/>
        <v>21.5</v>
      </c>
      <c r="G70" s="78">
        <f t="shared" si="159"/>
        <v>21.5</v>
      </c>
      <c r="H70" s="78">
        <f t="shared" si="160"/>
        <v>21.5</v>
      </c>
      <c r="I70" s="78">
        <f t="shared" si="161"/>
        <v>21.5</v>
      </c>
      <c r="J70" s="78">
        <f t="shared" si="162"/>
        <v>21.5</v>
      </c>
      <c r="K70" s="78">
        <f t="shared" si="163"/>
        <v>21.5</v>
      </c>
      <c r="L70" s="78">
        <f t="shared" si="164"/>
        <v>21.5</v>
      </c>
      <c r="M70" s="78">
        <f t="shared" si="165"/>
        <v>21.5</v>
      </c>
      <c r="N70" s="41"/>
      <c r="O70" s="78">
        <f t="shared" si="168"/>
        <v>21.5</v>
      </c>
      <c r="P70" s="78">
        <f t="shared" ref="P70:V70" si="176">O70</f>
        <v>21.5</v>
      </c>
      <c r="Q70" s="78">
        <f t="shared" si="176"/>
        <v>21.5</v>
      </c>
      <c r="R70" s="195">
        <f t="shared" si="176"/>
        <v>21.5</v>
      </c>
      <c r="S70" s="195">
        <f t="shared" si="176"/>
        <v>21.5</v>
      </c>
      <c r="T70" s="62">
        <f t="shared" si="176"/>
        <v>21.5</v>
      </c>
      <c r="U70" s="62">
        <f t="shared" si="176"/>
        <v>21.5</v>
      </c>
      <c r="V70" s="62">
        <f t="shared" si="176"/>
        <v>21.5</v>
      </c>
      <c r="X70" s="78">
        <f t="shared" si="170"/>
        <v>21.5</v>
      </c>
      <c r="Y70" s="78">
        <f t="shared" si="171"/>
        <v>21.5</v>
      </c>
      <c r="Z70" s="78">
        <f t="shared" si="172"/>
        <v>21.5</v>
      </c>
      <c r="AA70" s="78">
        <f t="shared" si="173"/>
        <v>21.5</v>
      </c>
      <c r="AB70" s="78">
        <f t="shared" si="174"/>
        <v>21.5</v>
      </c>
      <c r="AC70" s="62">
        <f>AA70</f>
        <v>21.5</v>
      </c>
      <c r="AD70" s="62">
        <f>AC70</f>
        <v>21.5</v>
      </c>
      <c r="AE70" s="62">
        <f>AD70</f>
        <v>21.5</v>
      </c>
    </row>
    <row r="71" spans="1:47">
      <c r="A71" s="194" t="s">
        <v>16</v>
      </c>
      <c r="C71" s="273" t="s">
        <v>634</v>
      </c>
      <c r="L71" s="194"/>
      <c r="N71" s="41"/>
    </row>
    <row r="72" spans="1:47" ht="15.75" thickBot="1">
      <c r="A72" s="194" t="s">
        <v>16</v>
      </c>
      <c r="C72" s="237" t="s">
        <v>177</v>
      </c>
      <c r="K72" s="297"/>
      <c r="L72" s="297"/>
      <c r="N72" s="41"/>
      <c r="O72" s="308">
        <f>O$12</f>
        <v>2015</v>
      </c>
      <c r="P72" s="308">
        <f t="shared" ref="P72:V113" si="177">P$12</f>
        <v>2017</v>
      </c>
      <c r="Q72" s="308">
        <f t="shared" si="177"/>
        <v>2019</v>
      </c>
      <c r="R72" s="308">
        <f t="shared" si="177"/>
        <v>2020</v>
      </c>
      <c r="S72" s="308">
        <f t="shared" si="177"/>
        <v>2021</v>
      </c>
      <c r="T72" s="308">
        <f t="shared" si="177"/>
        <v>2030</v>
      </c>
      <c r="U72" s="308">
        <f t="shared" si="177"/>
        <v>2040</v>
      </c>
      <c r="V72" s="308">
        <f t="shared" si="177"/>
        <v>2050</v>
      </c>
    </row>
    <row r="73" spans="1:47">
      <c r="A73" s="194" t="s">
        <v>16</v>
      </c>
      <c r="C73" s="238" t="s">
        <v>181</v>
      </c>
      <c r="E73" s="240">
        <f>[2]Calib_1011!$H$100</f>
        <v>0.55000000000000004</v>
      </c>
      <c r="F73" s="63">
        <f>IF($D$4,X73,O73)</f>
        <v>0.55000000000000004</v>
      </c>
      <c r="G73" s="63">
        <f t="shared" ref="G73:M73" si="178">IF($D$4,Y73,P73)</f>
        <v>0.55000000000000004</v>
      </c>
      <c r="H73" s="63">
        <f t="shared" si="178"/>
        <v>0.55000000000000004</v>
      </c>
      <c r="I73" s="63">
        <f t="shared" si="178"/>
        <v>0.55000000000000004</v>
      </c>
      <c r="J73" s="63">
        <f t="shared" si="178"/>
        <v>0.55000000000000004</v>
      </c>
      <c r="K73" s="63">
        <f t="shared" si="178"/>
        <v>0.55000000000000004</v>
      </c>
      <c r="L73" s="63">
        <f t="shared" si="178"/>
        <v>0.55000000000000004</v>
      </c>
      <c r="M73" s="63">
        <f t="shared" si="178"/>
        <v>0.55000000000000004</v>
      </c>
      <c r="N73" s="41"/>
      <c r="O73" s="241">
        <f>E73</f>
        <v>0.55000000000000004</v>
      </c>
      <c r="P73" s="241">
        <f t="shared" ref="P73:R73" si="179">F73</f>
        <v>0.55000000000000004</v>
      </c>
      <c r="Q73" s="241">
        <f t="shared" si="179"/>
        <v>0.55000000000000004</v>
      </c>
      <c r="R73" s="195">
        <f t="shared" si="179"/>
        <v>0.55000000000000004</v>
      </c>
      <c r="S73" s="195">
        <f t="shared" ref="S73" si="180">I73</f>
        <v>0.55000000000000004</v>
      </c>
      <c r="T73" s="35">
        <f t="shared" ref="T73:U73" si="181">J73</f>
        <v>0.55000000000000004</v>
      </c>
      <c r="U73" s="35">
        <f t="shared" si="181"/>
        <v>0.55000000000000004</v>
      </c>
      <c r="V73" s="35">
        <f t="shared" ref="V73" si="182">L73</f>
        <v>0.55000000000000004</v>
      </c>
      <c r="X73" s="241">
        <f>O73</f>
        <v>0.55000000000000004</v>
      </c>
      <c r="Y73" s="241">
        <f t="shared" ref="Y73:AB73" si="183">P73</f>
        <v>0.55000000000000004</v>
      </c>
      <c r="Z73" s="241">
        <f t="shared" si="183"/>
        <v>0.55000000000000004</v>
      </c>
      <c r="AA73" s="241">
        <f t="shared" si="183"/>
        <v>0.55000000000000004</v>
      </c>
      <c r="AB73" s="241">
        <f t="shared" si="183"/>
        <v>0.55000000000000004</v>
      </c>
      <c r="AC73" s="35">
        <f>AA73</f>
        <v>0.55000000000000004</v>
      </c>
      <c r="AD73" s="35">
        <f>AC73</f>
        <v>0.55000000000000004</v>
      </c>
      <c r="AE73" s="35">
        <f>AD73</f>
        <v>0.55000000000000004</v>
      </c>
    </row>
    <row r="74" spans="1:47">
      <c r="A74" s="194" t="s">
        <v>16</v>
      </c>
      <c r="C74" s="73" t="s">
        <v>192</v>
      </c>
      <c r="E74" s="7"/>
      <c r="F74" s="7"/>
      <c r="G74" s="7"/>
      <c r="I74" s="7"/>
      <c r="K74" s="7"/>
      <c r="L74" s="7"/>
      <c r="M74" s="7"/>
      <c r="N74" s="41"/>
      <c r="X74" s="194" t="s">
        <v>203</v>
      </c>
    </row>
    <row r="75" spans="1:47">
      <c r="A75" s="194" t="s">
        <v>16</v>
      </c>
      <c r="C75" s="39" t="str">
        <f>C54</f>
        <v>Low Income</v>
      </c>
      <c r="D75" s="194" t="s">
        <v>191</v>
      </c>
      <c r="E75" s="195">
        <f>E$25*E$13</f>
        <v>0.52328781566897309</v>
      </c>
      <c r="F75" s="63">
        <f>IF($D$4,X75,O75)</f>
        <v>0.52721986436368018</v>
      </c>
      <c r="G75" s="63">
        <f t="shared" ref="G75:M75" si="184">IF($D$4,Y75,P75)</f>
        <v>0.53157529455599051</v>
      </c>
      <c r="H75" s="63">
        <f t="shared" si="184"/>
        <v>0.53822614051688755</v>
      </c>
      <c r="I75" s="63">
        <f t="shared" si="184"/>
        <v>0.56223178674461438</v>
      </c>
      <c r="J75" s="63">
        <f t="shared" si="184"/>
        <v>0.58554536003969848</v>
      </c>
      <c r="K75" s="63">
        <f t="shared" si="184"/>
        <v>0.55689157723080518</v>
      </c>
      <c r="L75" s="63">
        <f t="shared" si="184"/>
        <v>0.47972391745699688</v>
      </c>
      <c r="M75" s="63">
        <f t="shared" si="184"/>
        <v>0.39186632124043974</v>
      </c>
      <c r="N75" s="41"/>
      <c r="O75" s="195">
        <f t="shared" ref="O75:V75" si="185">O25*O13</f>
        <v>0.52721986436368018</v>
      </c>
      <c r="P75" s="195">
        <f t="shared" si="185"/>
        <v>0.53157529455599051</v>
      </c>
      <c r="Q75" s="195">
        <f>Q25*Q13</f>
        <v>0.53822614051688755</v>
      </c>
      <c r="R75" s="195">
        <f t="shared" si="185"/>
        <v>0.56223178674461438</v>
      </c>
      <c r="S75" s="195">
        <f t="shared" si="185"/>
        <v>0.58554536003969848</v>
      </c>
      <c r="T75" s="195">
        <f t="shared" si="185"/>
        <v>0.55689157723080518</v>
      </c>
      <c r="U75" s="195">
        <f t="shared" si="185"/>
        <v>0.47972391745699688</v>
      </c>
      <c r="V75" s="195">
        <f t="shared" si="185"/>
        <v>0.39186632124043974</v>
      </c>
      <c r="X75" s="195">
        <f>O75</f>
        <v>0.52721986436368018</v>
      </c>
      <c r="Y75" s="195">
        <f t="shared" ref="Y75:AB75" si="186">P75</f>
        <v>0.53157529455599051</v>
      </c>
      <c r="Z75" s="195">
        <f t="shared" si="186"/>
        <v>0.53822614051688755</v>
      </c>
      <c r="AA75" s="195">
        <f t="shared" si="186"/>
        <v>0.56223178674461438</v>
      </c>
      <c r="AB75" s="195">
        <f t="shared" si="186"/>
        <v>0.58554536003969848</v>
      </c>
      <c r="AC75" s="195">
        <f>AC25*AC13</f>
        <v>1.3922289430770132</v>
      </c>
      <c r="AD75" s="195">
        <f>AD25*AD13</f>
        <v>0.95944783491399377</v>
      </c>
      <c r="AE75" s="195">
        <f>AE25*AE13</f>
        <v>0.78373264248087948</v>
      </c>
    </row>
    <row r="76" spans="1:47">
      <c r="A76" s="194" t="s">
        <v>16</v>
      </c>
      <c r="C76" s="39"/>
      <c r="E76" s="195"/>
      <c r="F76" s="195"/>
      <c r="G76" s="195"/>
      <c r="I76" s="195"/>
      <c r="K76" s="195"/>
      <c r="L76" s="195"/>
      <c r="M76" s="195"/>
      <c r="N76" s="41"/>
      <c r="O76" s="314">
        <f>O$12</f>
        <v>2015</v>
      </c>
      <c r="P76" s="314">
        <f t="shared" ref="P76:V76" si="187">P$12</f>
        <v>2017</v>
      </c>
      <c r="Q76" s="314">
        <f t="shared" si="187"/>
        <v>2019</v>
      </c>
      <c r="R76" s="314">
        <f t="shared" si="187"/>
        <v>2020</v>
      </c>
      <c r="S76" s="314">
        <f t="shared" si="187"/>
        <v>2021</v>
      </c>
      <c r="T76" s="314">
        <f t="shared" si="187"/>
        <v>2030</v>
      </c>
      <c r="U76" s="314">
        <f t="shared" si="187"/>
        <v>2040</v>
      </c>
      <c r="V76" s="314">
        <f t="shared" si="187"/>
        <v>2050</v>
      </c>
      <c r="X76" s="314">
        <f>X$12</f>
        <v>2015</v>
      </c>
      <c r="Y76" s="314">
        <f t="shared" ref="Y76:AE76" si="188">Y$12</f>
        <v>2017</v>
      </c>
      <c r="Z76" s="314">
        <f t="shared" si="188"/>
        <v>2019</v>
      </c>
      <c r="AA76" s="314">
        <f t="shared" si="188"/>
        <v>2020</v>
      </c>
      <c r="AB76" s="314">
        <f t="shared" si="188"/>
        <v>2021</v>
      </c>
      <c r="AC76" s="314">
        <f t="shared" si="188"/>
        <v>2030</v>
      </c>
      <c r="AD76" s="314">
        <f t="shared" si="188"/>
        <v>2040</v>
      </c>
      <c r="AE76" s="314">
        <f t="shared" si="188"/>
        <v>2050</v>
      </c>
    </row>
    <row r="77" spans="1:47">
      <c r="A77" s="194" t="s">
        <v>16</v>
      </c>
      <c r="C77" s="194" t="s">
        <v>83</v>
      </c>
      <c r="D77" s="194" t="s">
        <v>48</v>
      </c>
      <c r="E77" s="240">
        <f>[2]Calib_1011!$H$92</f>
        <v>2.035E-2</v>
      </c>
      <c r="F77" s="64">
        <f t="shared" ref="F77:F89" si="189">IF($D$4,X77,O77)</f>
        <v>0.25414691943127965</v>
      </c>
      <c r="G77" s="64">
        <f t="shared" ref="G77:G79" si="190">IF($D$4,Y77,P77)</f>
        <v>0.25414691943127965</v>
      </c>
      <c r="H77" s="64">
        <f t="shared" ref="H77:H79" si="191">IF($D$4,Z77,Q77)</f>
        <v>0.25414691943127965</v>
      </c>
      <c r="I77" s="64">
        <f t="shared" ref="I77:I79" si="192">IF($D$4,AA77,R77)</f>
        <v>0.25414691943127965</v>
      </c>
      <c r="J77" s="64">
        <f t="shared" ref="J77:J79" si="193">IF($D$4,AB77,S77)</f>
        <v>0.25414691943127965</v>
      </c>
      <c r="K77" s="64">
        <f t="shared" ref="K77:K79" si="194">IF($D$4,AC77,T77)</f>
        <v>0.25414691943127965</v>
      </c>
      <c r="L77" s="64">
        <f t="shared" ref="L77:L79" si="195">IF($D$4,AD77,U77)</f>
        <v>0.25414691943127965</v>
      </c>
      <c r="M77" s="64">
        <f t="shared" ref="M77:M79" si="196">IF($D$4,AE77,V77)</f>
        <v>0.25414691943127965</v>
      </c>
      <c r="N77" s="252"/>
      <c r="O77" s="64">
        <f>O$41*1000*O$35*O$30/O$67/O$64</f>
        <v>0.25414691943127965</v>
      </c>
      <c r="P77" s="64">
        <f t="shared" ref="P77:V77" si="197">P$41*1000*P$35*P$30/P$67/P$64</f>
        <v>0.25414691943127965</v>
      </c>
      <c r="Q77" s="64">
        <f t="shared" si="197"/>
        <v>0.25414691943127965</v>
      </c>
      <c r="R77" s="195">
        <f t="shared" si="197"/>
        <v>0.25414691943127965</v>
      </c>
      <c r="S77" s="195">
        <f t="shared" si="197"/>
        <v>0.25414691943127965</v>
      </c>
      <c r="T77" s="301">
        <f t="shared" si="197"/>
        <v>0.25414691943127965</v>
      </c>
      <c r="U77" s="301">
        <f t="shared" si="197"/>
        <v>0.25414691943127965</v>
      </c>
      <c r="V77" s="301">
        <f t="shared" si="197"/>
        <v>0.25414691943127965</v>
      </c>
      <c r="W77" s="251"/>
      <c r="X77" s="64">
        <f>O77</f>
        <v>0.25414691943127965</v>
      </c>
      <c r="Y77" s="64">
        <f t="shared" ref="Y77:AB77" si="198">P77</f>
        <v>0.25414691943127965</v>
      </c>
      <c r="Z77" s="64">
        <f t="shared" si="198"/>
        <v>0.25414691943127965</v>
      </c>
      <c r="AA77" s="64">
        <f t="shared" si="198"/>
        <v>0.25414691943127965</v>
      </c>
      <c r="AB77" s="64">
        <f t="shared" si="198"/>
        <v>0.25414691943127965</v>
      </c>
      <c r="AC77" s="64">
        <f>AC$41*1000*AC$35*AC$30/AC$67/AC$64</f>
        <v>0.22936759478672983</v>
      </c>
      <c r="AD77" s="64">
        <f>AD$41*1000*AD$35*AD$30/AD$67/AD$64</f>
        <v>0.20700425429502367</v>
      </c>
      <c r="AE77" s="64">
        <f>AE$41*1000*AE$35*AE$30/AE$67/AE$64</f>
        <v>0.18682133950125882</v>
      </c>
      <c r="AF77" s="251"/>
      <c r="AG77" s="251"/>
      <c r="AH77" s="251"/>
      <c r="AI77" s="251"/>
      <c r="AJ77" s="251"/>
      <c r="AK77" s="251"/>
      <c r="AL77" s="251"/>
      <c r="AM77" s="251"/>
      <c r="AN77" s="251"/>
      <c r="AO77" s="251"/>
      <c r="AP77" s="251"/>
      <c r="AQ77" s="251"/>
      <c r="AR77" s="251"/>
      <c r="AS77" s="251"/>
      <c r="AT77" s="251"/>
      <c r="AU77" s="251"/>
    </row>
    <row r="78" spans="1:47">
      <c r="A78" s="194" t="s">
        <v>16</v>
      </c>
      <c r="C78" s="194" t="s">
        <v>63</v>
      </c>
      <c r="D78" s="194" t="s">
        <v>48</v>
      </c>
      <c r="E78" s="304">
        <v>5.0000000000000001E-3</v>
      </c>
      <c r="F78" s="64">
        <f t="shared" si="189"/>
        <v>5.0000000000000001E-3</v>
      </c>
      <c r="G78" s="64">
        <f t="shared" si="190"/>
        <v>5.0000000000000001E-3</v>
      </c>
      <c r="H78" s="64">
        <f t="shared" si="191"/>
        <v>5.0000000000000001E-3</v>
      </c>
      <c r="I78" s="64">
        <f t="shared" si="192"/>
        <v>5.0000000000000001E-3</v>
      </c>
      <c r="J78" s="64">
        <f t="shared" si="193"/>
        <v>2.75E-2</v>
      </c>
      <c r="K78" s="64">
        <f t="shared" si="194"/>
        <v>0.05</v>
      </c>
      <c r="L78" s="64">
        <f t="shared" si="195"/>
        <v>0.1</v>
      </c>
      <c r="M78" s="64">
        <f t="shared" si="196"/>
        <v>0.15</v>
      </c>
      <c r="N78" s="252"/>
      <c r="O78" s="241">
        <f>E78</f>
        <v>5.0000000000000001E-3</v>
      </c>
      <c r="P78" s="241">
        <f>O78</f>
        <v>5.0000000000000001E-3</v>
      </c>
      <c r="Q78" s="241">
        <f>P78</f>
        <v>5.0000000000000001E-3</v>
      </c>
      <c r="R78" s="195">
        <f>Q78</f>
        <v>5.0000000000000001E-3</v>
      </c>
      <c r="S78" s="24">
        <f>AVERAGE(R78,T78)</f>
        <v>2.75E-2</v>
      </c>
      <c r="T78" s="302">
        <v>0.05</v>
      </c>
      <c r="U78" s="35">
        <v>0.1</v>
      </c>
      <c r="V78" s="35">
        <v>0.15</v>
      </c>
      <c r="W78" s="251"/>
      <c r="X78" s="64">
        <f t="shared" ref="X78:X90" si="199">O78</f>
        <v>5.0000000000000001E-3</v>
      </c>
      <c r="Y78" s="64">
        <f t="shared" ref="Y78:Y90" si="200">P78</f>
        <v>5.0000000000000001E-3</v>
      </c>
      <c r="Z78" s="64">
        <f t="shared" ref="Z78:Z90" si="201">Q78</f>
        <v>5.0000000000000001E-3</v>
      </c>
      <c r="AA78" s="64">
        <f t="shared" ref="AA78:AA90" si="202">R78</f>
        <v>5.0000000000000001E-3</v>
      </c>
      <c r="AB78" s="143">
        <f t="shared" ref="AB78:AB90" si="203">S78</f>
        <v>2.75E-2</v>
      </c>
      <c r="AC78" s="74">
        <v>7.0000000000000007E-2</v>
      </c>
      <c r="AD78" s="74">
        <v>0.15</v>
      </c>
      <c r="AE78" s="74">
        <v>0.25</v>
      </c>
      <c r="AF78" s="251"/>
      <c r="AG78" s="251"/>
      <c r="AH78" s="251"/>
      <c r="AI78" s="251"/>
      <c r="AJ78" s="251"/>
      <c r="AK78" s="251"/>
      <c r="AL78" s="251"/>
      <c r="AM78" s="251"/>
      <c r="AN78" s="251"/>
      <c r="AO78" s="251"/>
      <c r="AP78" s="251"/>
      <c r="AQ78" s="251"/>
      <c r="AR78" s="251"/>
      <c r="AS78" s="251"/>
      <c r="AT78" s="251"/>
      <c r="AU78" s="251"/>
    </row>
    <row r="79" spans="1:47">
      <c r="A79" s="194" t="s">
        <v>16</v>
      </c>
      <c r="C79" s="194" t="s">
        <v>82</v>
      </c>
      <c r="D79" s="194" t="s">
        <v>48</v>
      </c>
      <c r="E79" s="304">
        <v>0</v>
      </c>
      <c r="F79" s="64">
        <f t="shared" si="189"/>
        <v>0</v>
      </c>
      <c r="G79" s="64">
        <f t="shared" si="190"/>
        <v>0</v>
      </c>
      <c r="H79" s="64">
        <f t="shared" si="191"/>
        <v>5.0000000000000001E-3</v>
      </c>
      <c r="I79" s="64">
        <f t="shared" si="192"/>
        <v>5.0000000000000001E-3</v>
      </c>
      <c r="J79" s="64">
        <f t="shared" si="193"/>
        <v>5.0000000000000001E-3</v>
      </c>
      <c r="K79" s="64">
        <f t="shared" si="194"/>
        <v>5.0000000000000001E-3</v>
      </c>
      <c r="L79" s="64">
        <f t="shared" si="195"/>
        <v>5.0000000000000001E-3</v>
      </c>
      <c r="M79" s="64">
        <f t="shared" si="196"/>
        <v>5.0000000000000001E-3</v>
      </c>
      <c r="N79" s="252"/>
      <c r="O79" s="241">
        <f>E79</f>
        <v>0</v>
      </c>
      <c r="P79" s="241">
        <f>O79</f>
        <v>0</v>
      </c>
      <c r="Q79" s="241">
        <v>5.0000000000000001E-3</v>
      </c>
      <c r="R79" s="195">
        <v>5.0000000000000001E-3</v>
      </c>
      <c r="S79" s="195">
        <v>5.0000000000000001E-3</v>
      </c>
      <c r="T79" s="302">
        <v>5.0000000000000001E-3</v>
      </c>
      <c r="U79" s="302">
        <v>5.0000000000000001E-3</v>
      </c>
      <c r="V79" s="302">
        <v>5.0000000000000001E-3</v>
      </c>
      <c r="W79" s="251"/>
      <c r="X79" s="64">
        <f t="shared" si="199"/>
        <v>0</v>
      </c>
      <c r="Y79" s="64">
        <f t="shared" si="200"/>
        <v>0</v>
      </c>
      <c r="Z79" s="64">
        <f t="shared" si="201"/>
        <v>5.0000000000000001E-3</v>
      </c>
      <c r="AA79" s="64">
        <f t="shared" si="202"/>
        <v>5.0000000000000001E-3</v>
      </c>
      <c r="AB79" s="64">
        <f t="shared" si="203"/>
        <v>5.0000000000000001E-3</v>
      </c>
      <c r="AC79" s="35">
        <v>0</v>
      </c>
      <c r="AD79" s="35">
        <v>0</v>
      </c>
      <c r="AE79" s="35">
        <v>0</v>
      </c>
      <c r="AF79" s="251"/>
      <c r="AG79" s="251"/>
      <c r="AH79" s="251"/>
      <c r="AI79" s="251"/>
      <c r="AJ79" s="251"/>
      <c r="AK79" s="251"/>
      <c r="AL79" s="251"/>
      <c r="AM79" s="251"/>
      <c r="AN79" s="251"/>
      <c r="AO79" s="251"/>
      <c r="AP79" s="251"/>
      <c r="AQ79" s="251"/>
      <c r="AR79" s="251"/>
      <c r="AS79" s="251"/>
      <c r="AT79" s="251"/>
      <c r="AU79" s="251"/>
    </row>
    <row r="80" spans="1:47">
      <c r="A80" s="194" t="s">
        <v>16</v>
      </c>
      <c r="C80" s="194" t="s">
        <v>81</v>
      </c>
      <c r="D80" s="194" t="s">
        <v>48</v>
      </c>
      <c r="E80" s="34">
        <f>1-SUM(E77:E79)</f>
        <v>0.97465000000000002</v>
      </c>
      <c r="F80" s="34">
        <f t="shared" ref="F80:M80" si="204">1-SUM(F77:F79)</f>
        <v>0.74085308056872035</v>
      </c>
      <c r="G80" s="34">
        <f t="shared" si="204"/>
        <v>0.74085308056872035</v>
      </c>
      <c r="H80" s="34">
        <f t="shared" si="204"/>
        <v>0.73585308056872034</v>
      </c>
      <c r="I80" s="34">
        <f t="shared" si="204"/>
        <v>0.73585308056872034</v>
      </c>
      <c r="J80" s="34">
        <f t="shared" si="204"/>
        <v>0.71335308056872027</v>
      </c>
      <c r="K80" s="34">
        <f t="shared" si="204"/>
        <v>0.6908530805687203</v>
      </c>
      <c r="L80" s="34">
        <f t="shared" si="204"/>
        <v>0.64085308056872037</v>
      </c>
      <c r="M80" s="34">
        <f t="shared" si="204"/>
        <v>0.59085308056872032</v>
      </c>
      <c r="N80" s="252"/>
      <c r="O80" s="34">
        <f>1-SUM(O77:O79)</f>
        <v>0.74085308056872035</v>
      </c>
      <c r="P80" s="34">
        <f t="shared" ref="P80:R80" si="205">1-SUM(P77:P79)</f>
        <v>0.74085308056872035</v>
      </c>
      <c r="Q80" s="34">
        <f t="shared" si="205"/>
        <v>0.73585308056872034</v>
      </c>
      <c r="R80" s="34">
        <f t="shared" si="205"/>
        <v>0.73585308056872034</v>
      </c>
      <c r="S80" s="34">
        <f t="shared" ref="S80" si="206">1-SUM(S77:S79)</f>
        <v>0.71335308056872027</v>
      </c>
      <c r="T80" s="34">
        <f t="shared" ref="T80:U80" si="207">1-SUM(T77:T79)</f>
        <v>0.6908530805687203</v>
      </c>
      <c r="U80" s="34">
        <f t="shared" si="207"/>
        <v>0.64085308056872037</v>
      </c>
      <c r="V80" s="34">
        <f t="shared" ref="V80" si="208">1-SUM(V77:V79)</f>
        <v>0.59085308056872032</v>
      </c>
      <c r="W80" s="251"/>
      <c r="X80" s="64">
        <f t="shared" si="199"/>
        <v>0.74085308056872035</v>
      </c>
      <c r="Y80" s="64">
        <f t="shared" si="200"/>
        <v>0.74085308056872035</v>
      </c>
      <c r="Z80" s="64">
        <f t="shared" si="201"/>
        <v>0.73585308056872034</v>
      </c>
      <c r="AA80" s="64">
        <f t="shared" si="202"/>
        <v>0.73585308056872034</v>
      </c>
      <c r="AB80" s="64">
        <f t="shared" si="203"/>
        <v>0.71335308056872027</v>
      </c>
      <c r="AC80" s="34">
        <f>1-SUM(AC77:AC79)</f>
        <v>0.70063240521327019</v>
      </c>
      <c r="AD80" s="34">
        <f>1-SUM(AD77:AD79)</f>
        <v>0.64299574570497631</v>
      </c>
      <c r="AE80" s="34">
        <f>1-SUM(AE77:AE79)</f>
        <v>0.56317866049874121</v>
      </c>
      <c r="AF80" s="251"/>
      <c r="AG80" s="251"/>
      <c r="AH80" s="251"/>
      <c r="AI80" s="251"/>
      <c r="AJ80" s="251"/>
      <c r="AK80" s="251"/>
      <c r="AL80" s="251"/>
      <c r="AM80" s="251"/>
      <c r="AN80" s="251"/>
      <c r="AO80" s="251"/>
      <c r="AP80" s="251"/>
      <c r="AQ80" s="251"/>
      <c r="AR80" s="251"/>
      <c r="AS80" s="251"/>
      <c r="AT80" s="251"/>
      <c r="AU80" s="251"/>
    </row>
    <row r="81" spans="1:47">
      <c r="A81" s="194" t="s">
        <v>16</v>
      </c>
      <c r="C81" s="39" t="str">
        <f>C55</f>
        <v>Middle Income</v>
      </c>
      <c r="D81" s="194" t="s">
        <v>191</v>
      </c>
      <c r="E81" s="195">
        <f t="shared" ref="E81" si="209">E$26*E$14</f>
        <v>8.3202762691366736</v>
      </c>
      <c r="F81" s="195">
        <f t="shared" si="189"/>
        <v>8.7980675070445074</v>
      </c>
      <c r="G81" s="195">
        <f t="shared" ref="G81:G84" si="210">IF($D$4,Y81,P81)</f>
        <v>9.1683718080067855</v>
      </c>
      <c r="H81" s="195">
        <f t="shared" ref="H81:H84" si="211">IF($D$4,Z81,Q81)</f>
        <v>9.6599844081743882</v>
      </c>
      <c r="I81" s="195">
        <f t="shared" ref="I81:I84" si="212">IF($D$4,AA81,R81)</f>
        <v>10.176681245992439</v>
      </c>
      <c r="J81" s="195">
        <f t="shared" ref="J81:J84" si="213">IF($D$4,AB81,S81)</f>
        <v>9.7553916620170043</v>
      </c>
      <c r="K81" s="195">
        <f t="shared" ref="K81:K84" si="214">IF($D$4,AC81,T81)</f>
        <v>11.351165240487216</v>
      </c>
      <c r="L81" s="195">
        <f t="shared" ref="L81:L84" si="215">IF($D$4,AD81,U81)</f>
        <v>13.077292454263857</v>
      </c>
      <c r="M81" s="195">
        <f t="shared" ref="M81:M84" si="216">IF($D$4,AE81,V81)</f>
        <v>14.480915231917292</v>
      </c>
      <c r="N81" s="41"/>
      <c r="O81" s="195">
        <f>O$26*O$14</f>
        <v>8.7980675070445074</v>
      </c>
      <c r="P81" s="195">
        <f t="shared" ref="P81:V81" si="217">P$26*P$14</f>
        <v>9.1683718080067855</v>
      </c>
      <c r="Q81" s="195">
        <f t="shared" si="217"/>
        <v>9.6599844081743882</v>
      </c>
      <c r="R81" s="195">
        <f t="shared" si="217"/>
        <v>10.176681245992439</v>
      </c>
      <c r="S81" s="195">
        <f t="shared" si="217"/>
        <v>9.7553916620170043</v>
      </c>
      <c r="T81" s="303">
        <f t="shared" si="217"/>
        <v>11.351165240487216</v>
      </c>
      <c r="U81" s="303">
        <f t="shared" si="217"/>
        <v>13.077292454263857</v>
      </c>
      <c r="V81" s="303">
        <f t="shared" si="217"/>
        <v>14.480915231917292</v>
      </c>
      <c r="X81" s="64">
        <f t="shared" si="199"/>
        <v>8.7980675070445074</v>
      </c>
      <c r="Y81" s="64">
        <f t="shared" si="200"/>
        <v>9.1683718080067855</v>
      </c>
      <c r="Z81" s="64">
        <f t="shared" si="201"/>
        <v>9.6599844081743882</v>
      </c>
      <c r="AA81" s="64">
        <f t="shared" si="202"/>
        <v>10.176681245992439</v>
      </c>
      <c r="AB81" s="64">
        <f t="shared" si="203"/>
        <v>9.7553916620170043</v>
      </c>
      <c r="AC81" s="195">
        <f>AC$26*AC$14</f>
        <v>10.783606978462853</v>
      </c>
      <c r="AD81" s="195">
        <f>AD$26*AD$14</f>
        <v>11.802256439973128</v>
      </c>
      <c r="AE81" s="195">
        <f>AE$26*AE$14</f>
        <v>12.415574696965086</v>
      </c>
    </row>
    <row r="82" spans="1:47">
      <c r="A82" s="194" t="s">
        <v>16</v>
      </c>
      <c r="C82" s="194" t="str">
        <f>C77</f>
        <v>Priv.veh.</v>
      </c>
      <c r="D82" s="194" t="s">
        <v>48</v>
      </c>
      <c r="E82" s="64">
        <f t="shared" ref="E82" si="218">E$42*1000*E$36*E$31/E$67/E$64</f>
        <v>0.53206565737051803</v>
      </c>
      <c r="F82" s="64">
        <f t="shared" si="189"/>
        <v>0.53206565737051803</v>
      </c>
      <c r="G82" s="64">
        <f t="shared" si="210"/>
        <v>0.53206565737051803</v>
      </c>
      <c r="H82" s="64">
        <f t="shared" si="211"/>
        <v>0.53206565737051803</v>
      </c>
      <c r="I82" s="64">
        <f t="shared" si="212"/>
        <v>0.53206565737051803</v>
      </c>
      <c r="J82" s="64">
        <f t="shared" si="213"/>
        <v>0.53206565737051803</v>
      </c>
      <c r="K82" s="64">
        <f t="shared" si="214"/>
        <v>0.53206565737051803</v>
      </c>
      <c r="L82" s="64">
        <f t="shared" si="215"/>
        <v>0.53206565737051803</v>
      </c>
      <c r="M82" s="64">
        <f t="shared" si="216"/>
        <v>0.53206565737051803</v>
      </c>
      <c r="N82" s="252"/>
      <c r="O82" s="64">
        <f>O$42*1000*O$36*O$31/O$67/O$64</f>
        <v>0.53206565737051803</v>
      </c>
      <c r="P82" s="64">
        <f t="shared" ref="P82:V82" si="219">P$42*1000*P$36*P$31/P$67/P$64</f>
        <v>0.53206565737051803</v>
      </c>
      <c r="Q82" s="64">
        <f t="shared" si="219"/>
        <v>0.53206565737051803</v>
      </c>
      <c r="R82" s="195">
        <f t="shared" si="219"/>
        <v>0.53206565737051803</v>
      </c>
      <c r="S82" s="195">
        <f t="shared" si="219"/>
        <v>0.53206565737051803</v>
      </c>
      <c r="T82" s="301">
        <f t="shared" si="219"/>
        <v>0.53206565737051803</v>
      </c>
      <c r="U82" s="301">
        <f t="shared" si="219"/>
        <v>0.53206565737051803</v>
      </c>
      <c r="V82" s="301">
        <f t="shared" si="219"/>
        <v>0.53206565737051803</v>
      </c>
      <c r="W82" s="251"/>
      <c r="X82" s="64">
        <f t="shared" si="199"/>
        <v>0.53206565737051803</v>
      </c>
      <c r="Y82" s="64">
        <f t="shared" si="200"/>
        <v>0.53206565737051803</v>
      </c>
      <c r="Z82" s="64">
        <f t="shared" si="201"/>
        <v>0.53206565737051803</v>
      </c>
      <c r="AA82" s="64">
        <f t="shared" si="202"/>
        <v>0.53206565737051803</v>
      </c>
      <c r="AB82" s="64">
        <f t="shared" si="203"/>
        <v>0.53206565737051803</v>
      </c>
      <c r="AC82" s="64">
        <f>AC$42*1000*AC$36*AC$31/AC$67/AC$64</f>
        <v>0.48018925577689242</v>
      </c>
      <c r="AD82" s="64">
        <f>AD$42*1000*AD$36*AD$31/AD$67/AD$64</f>
        <v>0.45617979298804778</v>
      </c>
      <c r="AE82" s="64">
        <f>AE$42*1000*AE$36*AE$31/AE$67/AE$64</f>
        <v>0.41170226317171299</v>
      </c>
      <c r="AF82" s="251"/>
      <c r="AG82" s="251"/>
      <c r="AH82" s="251"/>
      <c r="AI82" s="251"/>
      <c r="AJ82" s="251"/>
      <c r="AK82" s="251"/>
      <c r="AL82" s="251"/>
      <c r="AM82" s="251"/>
      <c r="AN82" s="251"/>
      <c r="AO82" s="251"/>
      <c r="AP82" s="251"/>
      <c r="AQ82" s="251"/>
      <c r="AR82" s="251"/>
      <c r="AS82" s="251"/>
      <c r="AT82" s="251"/>
      <c r="AU82" s="251"/>
    </row>
    <row r="83" spans="1:47">
      <c r="A83" s="194" t="s">
        <v>16</v>
      </c>
      <c r="C83" s="194" t="str">
        <f>C78</f>
        <v>BRT</v>
      </c>
      <c r="D83" s="194" t="s">
        <v>48</v>
      </c>
      <c r="E83" s="304">
        <v>0.01</v>
      </c>
      <c r="F83" s="64">
        <f t="shared" si="189"/>
        <v>0.01</v>
      </c>
      <c r="G83" s="64">
        <f t="shared" si="210"/>
        <v>0.01</v>
      </c>
      <c r="H83" s="64">
        <f t="shared" si="211"/>
        <v>0.01</v>
      </c>
      <c r="I83" s="64">
        <f t="shared" si="212"/>
        <v>0.01</v>
      </c>
      <c r="J83" s="64">
        <f t="shared" si="213"/>
        <v>3.0000000000000002E-2</v>
      </c>
      <c r="K83" s="64">
        <f t="shared" si="214"/>
        <v>0.05</v>
      </c>
      <c r="L83" s="64">
        <f t="shared" si="215"/>
        <v>0.1</v>
      </c>
      <c r="M83" s="64">
        <f t="shared" si="216"/>
        <v>0.15</v>
      </c>
      <c r="N83" s="252"/>
      <c r="O83" s="253">
        <f>E83</f>
        <v>0.01</v>
      </c>
      <c r="P83" s="253">
        <f>O83</f>
        <v>0.01</v>
      </c>
      <c r="Q83" s="253">
        <f t="shared" ref="Q83:U84" si="220">P83</f>
        <v>0.01</v>
      </c>
      <c r="R83" s="195">
        <f>Q83</f>
        <v>0.01</v>
      </c>
      <c r="S83" s="195">
        <f>AVERAGE(R83,T83)</f>
        <v>3.0000000000000002E-2</v>
      </c>
      <c r="T83" s="302">
        <v>0.05</v>
      </c>
      <c r="U83" s="35">
        <v>0.1</v>
      </c>
      <c r="V83" s="35">
        <v>0.15</v>
      </c>
      <c r="W83" s="251"/>
      <c r="X83" s="64">
        <f t="shared" si="199"/>
        <v>0.01</v>
      </c>
      <c r="Y83" s="64">
        <f t="shared" si="200"/>
        <v>0.01</v>
      </c>
      <c r="Z83" s="64">
        <f t="shared" si="201"/>
        <v>0.01</v>
      </c>
      <c r="AA83" s="64">
        <f t="shared" si="202"/>
        <v>0.01</v>
      </c>
      <c r="AB83" s="64">
        <f t="shared" si="203"/>
        <v>3.0000000000000002E-2</v>
      </c>
      <c r="AC83" s="74">
        <v>7.0000000000000007E-2</v>
      </c>
      <c r="AD83" s="74">
        <v>0.15</v>
      </c>
      <c r="AE83" s="74">
        <v>0.25</v>
      </c>
      <c r="AF83" s="251"/>
      <c r="AG83" s="251"/>
      <c r="AH83" s="251"/>
      <c r="AI83" s="251"/>
      <c r="AJ83" s="251"/>
      <c r="AK83" s="251"/>
      <c r="AL83" s="251"/>
      <c r="AM83" s="251"/>
      <c r="AN83" s="251"/>
      <c r="AO83" s="251"/>
      <c r="AP83" s="251"/>
      <c r="AQ83" s="251"/>
      <c r="AR83" s="251"/>
      <c r="AS83" s="251"/>
      <c r="AT83" s="251"/>
      <c r="AU83" s="251"/>
    </row>
    <row r="84" spans="1:47">
      <c r="A84" s="194" t="s">
        <v>16</v>
      </c>
      <c r="C84" s="194" t="str">
        <f>C79</f>
        <v>Gautrain</v>
      </c>
      <c r="D84" s="194" t="s">
        <v>48</v>
      </c>
      <c r="E84" s="304">
        <v>2E-3</v>
      </c>
      <c r="F84" s="144">
        <f t="shared" si="189"/>
        <v>2E-3</v>
      </c>
      <c r="G84" s="144">
        <f t="shared" si="210"/>
        <v>2E-3</v>
      </c>
      <c r="H84" s="144">
        <f t="shared" si="211"/>
        <v>2E-3</v>
      </c>
      <c r="I84" s="144">
        <f t="shared" si="212"/>
        <v>2E-3</v>
      </c>
      <c r="J84" s="144">
        <f t="shared" si="213"/>
        <v>2E-3</v>
      </c>
      <c r="K84" s="144">
        <f t="shared" si="214"/>
        <v>2E-3</v>
      </c>
      <c r="L84" s="144">
        <f t="shared" si="215"/>
        <v>2E-3</v>
      </c>
      <c r="M84" s="144">
        <f t="shared" si="216"/>
        <v>2E-3</v>
      </c>
      <c r="N84" s="252"/>
      <c r="O84" s="305">
        <f>E84</f>
        <v>2E-3</v>
      </c>
      <c r="P84" s="305">
        <f>O84</f>
        <v>2E-3</v>
      </c>
      <c r="Q84" s="305">
        <f t="shared" si="220"/>
        <v>2E-3</v>
      </c>
      <c r="R84" s="195">
        <f t="shared" si="220"/>
        <v>2E-3</v>
      </c>
      <c r="S84" s="195">
        <f t="shared" si="220"/>
        <v>2E-3</v>
      </c>
      <c r="T84" s="306">
        <f t="shared" si="220"/>
        <v>2E-3</v>
      </c>
      <c r="U84" s="306">
        <f t="shared" si="220"/>
        <v>2E-3</v>
      </c>
      <c r="V84" s="306">
        <f>U84</f>
        <v>2E-3</v>
      </c>
      <c r="W84" s="251"/>
      <c r="X84" s="64">
        <f t="shared" si="199"/>
        <v>2E-3</v>
      </c>
      <c r="Y84" s="64">
        <f t="shared" si="200"/>
        <v>2E-3</v>
      </c>
      <c r="Z84" s="64">
        <f t="shared" si="201"/>
        <v>2E-3</v>
      </c>
      <c r="AA84" s="64">
        <f t="shared" si="202"/>
        <v>2E-3</v>
      </c>
      <c r="AB84" s="64">
        <f t="shared" si="203"/>
        <v>2E-3</v>
      </c>
      <c r="AC84" s="76">
        <v>0.01</v>
      </c>
      <c r="AD84" s="76">
        <v>0.02</v>
      </c>
      <c r="AE84" s="76">
        <v>0.03</v>
      </c>
      <c r="AF84" s="251"/>
      <c r="AG84" s="251"/>
      <c r="AH84" s="251"/>
      <c r="AI84" s="251"/>
      <c r="AJ84" s="251"/>
      <c r="AK84" s="251"/>
      <c r="AL84" s="251"/>
      <c r="AM84" s="251"/>
      <c r="AN84" s="251"/>
      <c r="AO84" s="251"/>
      <c r="AP84" s="251"/>
      <c r="AQ84" s="251"/>
      <c r="AR84" s="251"/>
      <c r="AS84" s="251"/>
      <c r="AT84" s="251"/>
      <c r="AU84" s="251"/>
    </row>
    <row r="85" spans="1:47">
      <c r="A85" s="194" t="s">
        <v>16</v>
      </c>
      <c r="C85" s="194" t="str">
        <f>C80</f>
        <v>Bus, minibus, metro rail</v>
      </c>
      <c r="D85" s="194" t="s">
        <v>48</v>
      </c>
      <c r="E85" s="34">
        <f t="shared" ref="E85" si="221">1-SUM(E82:E84)</f>
        <v>0.45593434262948196</v>
      </c>
      <c r="F85" s="34">
        <f>1-SUM(F82:F84)</f>
        <v>0.45593434262948196</v>
      </c>
      <c r="G85" s="34">
        <f t="shared" ref="G85:M85" si="222">1-SUM(G82:G84)</f>
        <v>0.45593434262948196</v>
      </c>
      <c r="H85" s="34">
        <f t="shared" si="222"/>
        <v>0.45593434262948196</v>
      </c>
      <c r="I85" s="34">
        <f t="shared" si="222"/>
        <v>0.45593434262948196</v>
      </c>
      <c r="J85" s="34">
        <f t="shared" si="222"/>
        <v>0.43593434262948194</v>
      </c>
      <c r="K85" s="34">
        <f t="shared" si="222"/>
        <v>0.41593434262948192</v>
      </c>
      <c r="L85" s="34">
        <f t="shared" si="222"/>
        <v>0.36593434262948199</v>
      </c>
      <c r="M85" s="34">
        <f t="shared" si="222"/>
        <v>0.31593434262948195</v>
      </c>
      <c r="N85" s="252"/>
      <c r="O85" s="34">
        <f>1-SUM(O82:O84)</f>
        <v>0.45593434262948196</v>
      </c>
      <c r="P85" s="34">
        <f t="shared" ref="P85:R85" si="223">1-SUM(P82:P84)</f>
        <v>0.45593434262948196</v>
      </c>
      <c r="Q85" s="34">
        <f t="shared" si="223"/>
        <v>0.45593434262948196</v>
      </c>
      <c r="R85" s="34">
        <f t="shared" si="223"/>
        <v>0.45593434262948196</v>
      </c>
      <c r="S85" s="34">
        <f t="shared" ref="S85" si="224">1-SUM(S82:S84)</f>
        <v>0.43593434262948194</v>
      </c>
      <c r="T85" s="34">
        <f t="shared" ref="T85:U85" si="225">1-SUM(T82:T84)</f>
        <v>0.41593434262948192</v>
      </c>
      <c r="U85" s="34">
        <f t="shared" si="225"/>
        <v>0.36593434262948199</v>
      </c>
      <c r="V85" s="34">
        <f t="shared" ref="V85" si="226">1-SUM(V82:V84)</f>
        <v>0.31593434262948195</v>
      </c>
      <c r="W85" s="251"/>
      <c r="X85" s="64">
        <f t="shared" si="199"/>
        <v>0.45593434262948196</v>
      </c>
      <c r="Y85" s="64">
        <f t="shared" si="200"/>
        <v>0.45593434262948196</v>
      </c>
      <c r="Z85" s="64">
        <f t="shared" si="201"/>
        <v>0.45593434262948196</v>
      </c>
      <c r="AA85" s="64">
        <f t="shared" si="202"/>
        <v>0.45593434262948196</v>
      </c>
      <c r="AB85" s="64">
        <f t="shared" si="203"/>
        <v>0.43593434262948194</v>
      </c>
      <c r="AC85" s="34">
        <f>1-SUM(AC82:AC84)</f>
        <v>0.43981074422310762</v>
      </c>
      <c r="AD85" s="34">
        <f>1-SUM(AD82:AD84)</f>
        <v>0.37382020701195218</v>
      </c>
      <c r="AE85" s="34">
        <f>1-SUM(AE82:AE84)</f>
        <v>0.30829773682828698</v>
      </c>
      <c r="AF85" s="251"/>
      <c r="AG85" s="251"/>
      <c r="AH85" s="251"/>
      <c r="AI85" s="251"/>
      <c r="AJ85" s="251"/>
      <c r="AK85" s="251"/>
      <c r="AL85" s="251"/>
      <c r="AM85" s="251"/>
      <c r="AN85" s="251"/>
      <c r="AO85" s="251"/>
      <c r="AP85" s="251"/>
      <c r="AQ85" s="251"/>
      <c r="AR85" s="251"/>
      <c r="AS85" s="251"/>
      <c r="AT85" s="251"/>
      <c r="AU85" s="251"/>
    </row>
    <row r="86" spans="1:47">
      <c r="A86" s="194" t="s">
        <v>16</v>
      </c>
      <c r="C86" s="39" t="str">
        <f>C56</f>
        <v>High Income</v>
      </c>
      <c r="D86" s="194" t="s">
        <v>191</v>
      </c>
      <c r="E86" s="195">
        <f t="shared" ref="E86" si="227">E$27*E$15</f>
        <v>8.0362601298230896</v>
      </c>
      <c r="F86" s="195">
        <f t="shared" si="189"/>
        <v>9.0555113527089066</v>
      </c>
      <c r="G86" s="195">
        <f t="shared" ref="G86:G89" si="228">IF($D$4,Y86,P86)</f>
        <v>9.7122420295575029</v>
      </c>
      <c r="H86" s="195">
        <f t="shared" ref="H86:H89" si="229">IF($D$4,Z86,Q86)</f>
        <v>10.159875186414988</v>
      </c>
      <c r="I86" s="195">
        <f t="shared" ref="I86:I89" si="230">IF($D$4,AA86,R86)</f>
        <v>9.2140829898992127</v>
      </c>
      <c r="J86" s="195">
        <f t="shared" ref="J86:J89" si="231">IF($D$4,AB86,S86)</f>
        <v>9.4538078344193117</v>
      </c>
      <c r="K86" s="195">
        <f t="shared" ref="K86:K89" si="232">IF($D$4,AC86,T86)</f>
        <v>12.822964382433305</v>
      </c>
      <c r="L86" s="195">
        <f t="shared" ref="L86:L89" si="233">IF($D$4,AD86,U86)</f>
        <v>17.447555260124069</v>
      </c>
      <c r="M86" s="195">
        <f t="shared" ref="M86:M89" si="234">IF($D$4,AE86,V86)</f>
        <v>21.969513651019785</v>
      </c>
      <c r="N86" s="41"/>
      <c r="O86" s="195">
        <f>O$27*O$15</f>
        <v>9.0555113527089066</v>
      </c>
      <c r="P86" s="195">
        <f t="shared" ref="P86:V86" si="235">P$27*P$15</f>
        <v>9.7122420295575029</v>
      </c>
      <c r="Q86" s="195">
        <f t="shared" si="235"/>
        <v>10.159875186414988</v>
      </c>
      <c r="R86" s="195">
        <f t="shared" si="235"/>
        <v>9.2140829898992127</v>
      </c>
      <c r="S86" s="195">
        <f t="shared" si="235"/>
        <v>9.4538078344193117</v>
      </c>
      <c r="T86" s="303">
        <f t="shared" si="235"/>
        <v>12.822964382433305</v>
      </c>
      <c r="U86" s="303">
        <f t="shared" si="235"/>
        <v>17.447555260124069</v>
      </c>
      <c r="V86" s="303">
        <f t="shared" si="235"/>
        <v>21.969513651019785</v>
      </c>
      <c r="X86" s="64">
        <f t="shared" si="199"/>
        <v>9.0555113527089066</v>
      </c>
      <c r="Y86" s="64">
        <f t="shared" si="200"/>
        <v>9.7122420295575029</v>
      </c>
      <c r="Z86" s="64">
        <f t="shared" si="201"/>
        <v>10.159875186414988</v>
      </c>
      <c r="AA86" s="64">
        <f t="shared" si="202"/>
        <v>9.2140829898992127</v>
      </c>
      <c r="AB86" s="64">
        <f t="shared" si="203"/>
        <v>9.4538078344193117</v>
      </c>
      <c r="AC86" s="195">
        <f>AC$27*AC$15</f>
        <v>12.502390272872471</v>
      </c>
      <c r="AD86" s="195">
        <f>AD$27*AD$15</f>
        <v>16.58608221915544</v>
      </c>
      <c r="AE86" s="195">
        <f>AE$27*AE$15</f>
        <v>20.362649691638165</v>
      </c>
    </row>
    <row r="87" spans="1:47">
      <c r="A87" s="194" t="s">
        <v>16</v>
      </c>
      <c r="C87" s="194" t="str">
        <f>C82</f>
        <v>Priv.veh.</v>
      </c>
      <c r="D87" s="194" t="s">
        <v>48</v>
      </c>
      <c r="E87" s="304">
        <f t="shared" ref="E87" si="236">E$43*1000*E$37*E$32/E$67/E$64</f>
        <v>0.81893071119533589</v>
      </c>
      <c r="F87" s="64">
        <f t="shared" si="189"/>
        <v>0.81893071119533589</v>
      </c>
      <c r="G87" s="64">
        <f t="shared" si="228"/>
        <v>0.81893071119533589</v>
      </c>
      <c r="H87" s="64">
        <f t="shared" si="229"/>
        <v>0.81893071119533589</v>
      </c>
      <c r="I87" s="64">
        <f t="shared" si="230"/>
        <v>0.80914826242679105</v>
      </c>
      <c r="J87" s="64">
        <f t="shared" si="231"/>
        <v>0.81975772390965984</v>
      </c>
      <c r="K87" s="64">
        <f t="shared" si="232"/>
        <v>0.83473668564222858</v>
      </c>
      <c r="L87" s="64">
        <f t="shared" si="233"/>
        <v>0.88388443976164699</v>
      </c>
      <c r="M87" s="64">
        <f t="shared" si="234"/>
        <v>0.94366250508300986</v>
      </c>
      <c r="N87" s="252"/>
      <c r="O87" s="64">
        <f>O$43*1000*O$37*O$32/O$67/O$64</f>
        <v>0.81893071119533589</v>
      </c>
      <c r="P87" s="64">
        <f t="shared" ref="P87:U87" si="237">P$43*1000*P$37*P$32/P$67/P$64</f>
        <v>0.81893071119533589</v>
      </c>
      <c r="Q87" s="64">
        <f t="shared" si="237"/>
        <v>0.81893071119533589</v>
      </c>
      <c r="R87" s="195">
        <f t="shared" si="237"/>
        <v>0.80914826242679105</v>
      </c>
      <c r="S87" s="195">
        <f t="shared" si="237"/>
        <v>0.81975772390965984</v>
      </c>
      <c r="T87" s="301">
        <f t="shared" si="237"/>
        <v>0.83473668564222858</v>
      </c>
      <c r="U87" s="301">
        <f t="shared" si="237"/>
        <v>0.88388443976164699</v>
      </c>
      <c r="V87" s="301">
        <f>V$43*1000*V$37*V$32/V$67/V$64</f>
        <v>0.94366250508300986</v>
      </c>
      <c r="W87" s="251"/>
      <c r="X87" s="64">
        <f t="shared" si="199"/>
        <v>0.81893071119533589</v>
      </c>
      <c r="Y87" s="64">
        <f t="shared" si="200"/>
        <v>0.81893071119533589</v>
      </c>
      <c r="Z87" s="64">
        <f t="shared" si="201"/>
        <v>0.81893071119533589</v>
      </c>
      <c r="AA87" s="64">
        <f t="shared" si="202"/>
        <v>0.80914826242679105</v>
      </c>
      <c r="AB87" s="64">
        <f t="shared" si="203"/>
        <v>0.81975772390965984</v>
      </c>
      <c r="AC87" s="64">
        <f>AC$43*1000*AC$37*AC$32/AC$67/AC$64</f>
        <v>0.76919656696946803</v>
      </c>
      <c r="AD87" s="64">
        <f>AD$43*1000*AD$37*AD$32/AD$67/AD$64</f>
        <v>0.73121748647535068</v>
      </c>
      <c r="AE87" s="64">
        <f>AE$43*1000*AE$37*AE$32/AE$67/AE$64</f>
        <v>0.69511362308063007</v>
      </c>
      <c r="AF87" s="251"/>
      <c r="AG87" s="251"/>
      <c r="AH87" s="251"/>
      <c r="AI87" s="251"/>
      <c r="AJ87" s="251"/>
      <c r="AK87" s="251"/>
      <c r="AL87" s="251"/>
      <c r="AM87" s="251"/>
      <c r="AN87" s="251"/>
      <c r="AO87" s="251"/>
      <c r="AP87" s="251"/>
      <c r="AQ87" s="251"/>
      <c r="AR87" s="251"/>
      <c r="AS87" s="251"/>
      <c r="AT87" s="251"/>
      <c r="AU87" s="251"/>
    </row>
    <row r="88" spans="1:47">
      <c r="A88" s="194" t="s">
        <v>16</v>
      </c>
      <c r="C88" s="194" t="str">
        <f>C83</f>
        <v>BRT</v>
      </c>
      <c r="D88" s="194" t="s">
        <v>48</v>
      </c>
      <c r="E88" s="304">
        <v>0</v>
      </c>
      <c r="F88" s="64">
        <f t="shared" si="189"/>
        <v>5.0000000000000001E-3</v>
      </c>
      <c r="G88" s="64">
        <f t="shared" si="228"/>
        <v>5.0000000000000001E-3</v>
      </c>
      <c r="H88" s="64">
        <f t="shared" si="229"/>
        <v>5.0000000000000001E-3</v>
      </c>
      <c r="I88" s="64">
        <f t="shared" si="230"/>
        <v>5.0000000000000001E-3</v>
      </c>
      <c r="J88" s="64">
        <f t="shared" si="231"/>
        <v>5.0000000000000001E-3</v>
      </c>
      <c r="K88" s="64">
        <f t="shared" si="232"/>
        <v>0.03</v>
      </c>
      <c r="L88" s="64">
        <f t="shared" si="233"/>
        <v>3.5000000000000003E-2</v>
      </c>
      <c r="M88" s="64">
        <f t="shared" si="234"/>
        <v>0.04</v>
      </c>
      <c r="N88" s="252"/>
      <c r="O88" s="241">
        <f>E89</f>
        <v>5.0000000000000001E-3</v>
      </c>
      <c r="P88" s="241">
        <f>O88</f>
        <v>5.0000000000000001E-3</v>
      </c>
      <c r="Q88" s="241">
        <v>5.0000000000000001E-3</v>
      </c>
      <c r="R88" s="195">
        <v>5.0000000000000001E-3</v>
      </c>
      <c r="S88" s="195">
        <v>5.0000000000000001E-3</v>
      </c>
      <c r="T88" s="35">
        <v>0.03</v>
      </c>
      <c r="U88" s="35">
        <v>3.5000000000000003E-2</v>
      </c>
      <c r="V88" s="35">
        <v>0.04</v>
      </c>
      <c r="W88" s="251"/>
      <c r="X88" s="64">
        <f t="shared" si="199"/>
        <v>5.0000000000000001E-3</v>
      </c>
      <c r="Y88" s="64">
        <f t="shared" si="200"/>
        <v>5.0000000000000001E-3</v>
      </c>
      <c r="Z88" s="64">
        <f t="shared" si="201"/>
        <v>5.0000000000000001E-3</v>
      </c>
      <c r="AA88" s="64">
        <f t="shared" si="202"/>
        <v>5.0000000000000001E-3</v>
      </c>
      <c r="AB88" s="64">
        <f t="shared" si="203"/>
        <v>5.0000000000000001E-3</v>
      </c>
      <c r="AC88" s="74">
        <v>0.03</v>
      </c>
      <c r="AD88" s="74">
        <v>0.05</v>
      </c>
      <c r="AE88" s="74">
        <v>0.1</v>
      </c>
      <c r="AF88" s="251"/>
      <c r="AG88" s="251"/>
      <c r="AH88" s="251"/>
      <c r="AI88" s="251"/>
      <c r="AJ88" s="251"/>
      <c r="AK88" s="251"/>
      <c r="AL88" s="251"/>
      <c r="AM88" s="251"/>
      <c r="AN88" s="251"/>
      <c r="AO88" s="251"/>
      <c r="AP88" s="251"/>
      <c r="AQ88" s="251"/>
      <c r="AR88" s="251"/>
      <c r="AS88" s="251"/>
      <c r="AT88" s="251"/>
      <c r="AU88" s="251"/>
    </row>
    <row r="89" spans="1:47">
      <c r="A89" s="194" t="s">
        <v>16</v>
      </c>
      <c r="C89" s="194" t="str">
        <f>C84</f>
        <v>Gautrain</v>
      </c>
      <c r="D89" s="194" t="s">
        <v>48</v>
      </c>
      <c r="E89" s="304">
        <v>5.0000000000000001E-3</v>
      </c>
      <c r="F89" s="64">
        <f t="shared" si="189"/>
        <v>5.0000000000000001E-3</v>
      </c>
      <c r="G89" s="64">
        <f t="shared" si="228"/>
        <v>5.0000000000000001E-3</v>
      </c>
      <c r="H89" s="64">
        <f t="shared" si="229"/>
        <v>5.0000000000000001E-3</v>
      </c>
      <c r="I89" s="64">
        <f t="shared" si="230"/>
        <v>5.0000000000000001E-3</v>
      </c>
      <c r="J89" s="64">
        <f t="shared" si="231"/>
        <v>5.0000000000000001E-3</v>
      </c>
      <c r="K89" s="64">
        <f t="shared" si="232"/>
        <v>5.0000000000000001E-3</v>
      </c>
      <c r="L89" s="64">
        <f t="shared" si="233"/>
        <v>5.0000000000000001E-3</v>
      </c>
      <c r="M89" s="64">
        <f t="shared" si="234"/>
        <v>5.0000000000000001E-3</v>
      </c>
      <c r="N89" s="252"/>
      <c r="O89" s="241">
        <f>E89</f>
        <v>5.0000000000000001E-3</v>
      </c>
      <c r="P89" s="241">
        <f>O89</f>
        <v>5.0000000000000001E-3</v>
      </c>
      <c r="Q89" s="241">
        <v>5.0000000000000001E-3</v>
      </c>
      <c r="R89" s="195">
        <v>5.0000000000000001E-3</v>
      </c>
      <c r="S89" s="195">
        <v>5.0000000000000001E-3</v>
      </c>
      <c r="T89" s="307">
        <v>5.0000000000000001E-3</v>
      </c>
      <c r="U89" s="307">
        <v>5.0000000000000001E-3</v>
      </c>
      <c r="V89" s="307">
        <v>5.0000000000000001E-3</v>
      </c>
      <c r="W89" s="251"/>
      <c r="X89" s="64">
        <f t="shared" si="199"/>
        <v>5.0000000000000001E-3</v>
      </c>
      <c r="Y89" s="64">
        <f t="shared" si="200"/>
        <v>5.0000000000000001E-3</v>
      </c>
      <c r="Z89" s="64">
        <f t="shared" si="201"/>
        <v>5.0000000000000001E-3</v>
      </c>
      <c r="AA89" s="64">
        <f t="shared" si="202"/>
        <v>5.0000000000000001E-3</v>
      </c>
      <c r="AB89" s="64">
        <f t="shared" si="203"/>
        <v>5.0000000000000001E-3</v>
      </c>
      <c r="AC89" s="76">
        <v>0.01</v>
      </c>
      <c r="AD89" s="76">
        <v>0.03</v>
      </c>
      <c r="AE89" s="76">
        <v>0.05</v>
      </c>
      <c r="AF89" s="251"/>
      <c r="AG89" s="251"/>
      <c r="AH89" s="251"/>
      <c r="AI89" s="251"/>
      <c r="AJ89" s="251"/>
      <c r="AK89" s="251"/>
      <c r="AL89" s="251"/>
      <c r="AM89" s="251"/>
      <c r="AN89" s="251"/>
      <c r="AO89" s="251"/>
      <c r="AP89" s="251"/>
      <c r="AQ89" s="251"/>
      <c r="AR89" s="251"/>
      <c r="AS89" s="251"/>
      <c r="AT89" s="251"/>
      <c r="AU89" s="251"/>
    </row>
    <row r="90" spans="1:47">
      <c r="A90" s="194" t="s">
        <v>16</v>
      </c>
      <c r="C90" s="194" t="str">
        <f>C85</f>
        <v>Bus, minibus, metro rail</v>
      </c>
      <c r="D90" s="194" t="s">
        <v>48</v>
      </c>
      <c r="E90" s="34">
        <f>1-SUM(E87:E89)</f>
        <v>0.1760692888046641</v>
      </c>
      <c r="F90" s="34">
        <f>1-SUM(F87:F89)</f>
        <v>0.1710692888046641</v>
      </c>
      <c r="G90" s="34">
        <f t="shared" ref="G90:M90" si="238">1-SUM(G87:G89)</f>
        <v>0.1710692888046641</v>
      </c>
      <c r="H90" s="34">
        <f t="shared" si="238"/>
        <v>0.1710692888046641</v>
      </c>
      <c r="I90" s="34">
        <f t="shared" si="238"/>
        <v>0.18085173757320894</v>
      </c>
      <c r="J90" s="34">
        <f t="shared" si="238"/>
        <v>0.17024227609034015</v>
      </c>
      <c r="K90" s="34">
        <f t="shared" si="238"/>
        <v>0.13026331435777139</v>
      </c>
      <c r="L90" s="34">
        <f t="shared" si="238"/>
        <v>7.6115560238352975E-2</v>
      </c>
      <c r="M90" s="34">
        <f t="shared" si="238"/>
        <v>1.1337494916990098E-2</v>
      </c>
      <c r="N90" s="252"/>
      <c r="O90" s="34">
        <f t="shared" ref="O90:V90" si="239">1-SUM(O87:O89)</f>
        <v>0.1710692888046641</v>
      </c>
      <c r="P90" s="34">
        <f t="shared" si="239"/>
        <v>0.1710692888046641</v>
      </c>
      <c r="Q90" s="34">
        <f t="shared" si="239"/>
        <v>0.1710692888046641</v>
      </c>
      <c r="R90" s="34">
        <f t="shared" si="239"/>
        <v>0.18085173757320894</v>
      </c>
      <c r="S90" s="34">
        <f t="shared" si="239"/>
        <v>0.17024227609034015</v>
      </c>
      <c r="T90" s="34">
        <f t="shared" si="239"/>
        <v>0.13026331435777139</v>
      </c>
      <c r="U90" s="34">
        <f t="shared" si="239"/>
        <v>7.6115560238352975E-2</v>
      </c>
      <c r="V90" s="34">
        <f t="shared" si="239"/>
        <v>1.1337494916990098E-2</v>
      </c>
      <c r="W90" s="251"/>
      <c r="X90" s="64">
        <f t="shared" si="199"/>
        <v>0.1710692888046641</v>
      </c>
      <c r="Y90" s="64">
        <f t="shared" si="200"/>
        <v>0.1710692888046641</v>
      </c>
      <c r="Z90" s="64">
        <f t="shared" si="201"/>
        <v>0.1710692888046641</v>
      </c>
      <c r="AA90" s="64">
        <f t="shared" si="202"/>
        <v>0.18085173757320894</v>
      </c>
      <c r="AB90" s="64">
        <f t="shared" si="203"/>
        <v>0.17024227609034015</v>
      </c>
      <c r="AC90" s="34">
        <f>1-SUM(AC87:AC89)</f>
        <v>0.19080343303053193</v>
      </c>
      <c r="AD90" s="34">
        <f>1-SUM(AD87:AD89)</f>
        <v>0.18878251352464925</v>
      </c>
      <c r="AE90" s="34">
        <f>1-SUM(AE87:AE89)</f>
        <v>0.15488637691936991</v>
      </c>
      <c r="AF90" s="251"/>
      <c r="AG90" s="251"/>
      <c r="AH90" s="251"/>
      <c r="AI90" s="251"/>
      <c r="AJ90" s="251"/>
      <c r="AK90" s="251"/>
      <c r="AL90" s="251"/>
      <c r="AM90" s="251"/>
      <c r="AN90" s="251"/>
      <c r="AO90" s="251"/>
      <c r="AP90" s="251"/>
      <c r="AQ90" s="251"/>
      <c r="AR90" s="251"/>
      <c r="AS90" s="251"/>
      <c r="AT90" s="251"/>
      <c r="AU90" s="251"/>
    </row>
    <row r="91" spans="1:47">
      <c r="A91" s="194" t="s">
        <v>16</v>
      </c>
      <c r="C91" s="238"/>
      <c r="E91" s="242"/>
      <c r="F91" s="242"/>
      <c r="G91" s="242"/>
      <c r="I91" s="242"/>
      <c r="K91" s="242"/>
      <c r="L91" s="242"/>
      <c r="M91" s="242"/>
      <c r="N91" s="41"/>
      <c r="R91" s="242"/>
      <c r="T91" s="242"/>
      <c r="U91" s="242"/>
      <c r="V91" s="242"/>
      <c r="AA91" s="242"/>
      <c r="AC91" s="242"/>
      <c r="AD91" s="242"/>
      <c r="AE91" s="242"/>
    </row>
    <row r="92" spans="1:47">
      <c r="A92" s="194" t="s">
        <v>16</v>
      </c>
      <c r="C92" s="73" t="s">
        <v>193</v>
      </c>
      <c r="E92" s="7"/>
      <c r="F92" s="7"/>
      <c r="G92" s="7"/>
      <c r="I92" s="7"/>
      <c r="K92" s="7"/>
      <c r="L92" s="7"/>
      <c r="M92" s="7"/>
      <c r="N92" s="41"/>
      <c r="R92" s="7"/>
      <c r="T92" s="7"/>
      <c r="U92" s="7"/>
      <c r="V92" s="7"/>
      <c r="AA92" s="7"/>
      <c r="AC92" s="7"/>
      <c r="AD92" s="7"/>
      <c r="AE92" s="7"/>
    </row>
    <row r="93" spans="1:47">
      <c r="A93" s="194" t="s">
        <v>16</v>
      </c>
      <c r="C93" s="39" t="str">
        <f>C75</f>
        <v>Low Income</v>
      </c>
      <c r="D93" s="194" t="s">
        <v>191</v>
      </c>
      <c r="E93" s="195">
        <f t="shared" ref="E93" si="240">(1-E$25)*E$13</f>
        <v>25.641102967779684</v>
      </c>
      <c r="F93" s="195">
        <f t="shared" ref="F93:F103" si="241">IF($D$4,X93,O93)</f>
        <v>25.833773353820327</v>
      </c>
      <c r="G93" s="195">
        <f t="shared" ref="G93:G95" si="242">IF($D$4,Y93,P93)</f>
        <v>26.047189433243531</v>
      </c>
      <c r="H93" s="195">
        <f t="shared" ref="H93:H95" si="243">IF($D$4,Z93,Q93)</f>
        <v>26.373080885327489</v>
      </c>
      <c r="I93" s="195">
        <f t="shared" ref="I93:I95" si="244">IF($D$4,AA93,R93)</f>
        <v>27.549357550486103</v>
      </c>
      <c r="J93" s="195">
        <f t="shared" ref="J93:J95" si="245">IF($D$4,AB93,S93)</f>
        <v>28.691722641945223</v>
      </c>
      <c r="K93" s="195">
        <f t="shared" ref="K93:K95" si="246">IF($D$4,AC93,T93)</f>
        <v>27.287687284309452</v>
      </c>
      <c r="L93" s="195">
        <f t="shared" ref="L93:L95" si="247">IF($D$4,AD93,U93)</f>
        <v>23.506471955392847</v>
      </c>
      <c r="M93" s="195">
        <f t="shared" ref="M93:M95" si="248">IF($D$4,AE93,V93)</f>
        <v>19.201449740781548</v>
      </c>
      <c r="N93" s="41"/>
      <c r="O93" s="195">
        <f>(1-O$25)*O$13</f>
        <v>25.833773353820327</v>
      </c>
      <c r="P93" s="195">
        <f>(1-P$25)*P$13</f>
        <v>26.047189433243531</v>
      </c>
      <c r="Q93" s="195">
        <f t="shared" ref="Q93:V93" si="249">(1-Q$25)*Q$13</f>
        <v>26.373080885327489</v>
      </c>
      <c r="R93" s="195">
        <f t="shared" si="249"/>
        <v>27.549357550486103</v>
      </c>
      <c r="S93" s="195">
        <f t="shared" si="249"/>
        <v>28.691722641945223</v>
      </c>
      <c r="T93" s="195">
        <f t="shared" si="249"/>
        <v>27.287687284309452</v>
      </c>
      <c r="U93" s="195">
        <f t="shared" si="249"/>
        <v>23.506471955392847</v>
      </c>
      <c r="V93" s="195">
        <f t="shared" si="249"/>
        <v>19.201449740781548</v>
      </c>
      <c r="X93" s="195">
        <f>O93</f>
        <v>25.833773353820327</v>
      </c>
      <c r="Y93" s="195">
        <f t="shared" ref="Y93:AB93" si="250">P93</f>
        <v>26.047189433243531</v>
      </c>
      <c r="Z93" s="195">
        <f t="shared" si="250"/>
        <v>26.373080885327489</v>
      </c>
      <c r="AA93" s="195">
        <f t="shared" si="250"/>
        <v>27.549357550486103</v>
      </c>
      <c r="AB93" s="195">
        <f t="shared" si="250"/>
        <v>28.691722641945223</v>
      </c>
      <c r="AC93" s="195">
        <f>(1-AC$25)*AC$13</f>
        <v>26.452349918463245</v>
      </c>
      <c r="AD93" s="195">
        <f>(1-AD$25)*AD$13</f>
        <v>23.02674803793585</v>
      </c>
      <c r="AE93" s="195">
        <f>(1-AE$25)*AE$13</f>
        <v>18.809583419541106</v>
      </c>
    </row>
    <row r="94" spans="1:47">
      <c r="A94" s="194" t="s">
        <v>16</v>
      </c>
      <c r="C94" s="194" t="s">
        <v>63</v>
      </c>
      <c r="D94" s="194" t="s">
        <v>48</v>
      </c>
      <c r="E94" s="304">
        <v>0</v>
      </c>
      <c r="F94" s="64">
        <f t="shared" si="241"/>
        <v>0</v>
      </c>
      <c r="G94" s="64">
        <f t="shared" si="242"/>
        <v>5.0000000000000001E-3</v>
      </c>
      <c r="H94" s="64">
        <f t="shared" si="243"/>
        <v>0.01</v>
      </c>
      <c r="I94" s="64">
        <f t="shared" si="244"/>
        <v>0.01</v>
      </c>
      <c r="J94" s="64">
        <f t="shared" si="245"/>
        <v>3.0000000000000002E-2</v>
      </c>
      <c r="K94" s="64">
        <f t="shared" si="246"/>
        <v>0.05</v>
      </c>
      <c r="L94" s="64">
        <f t="shared" si="247"/>
        <v>0.1</v>
      </c>
      <c r="M94" s="64">
        <f t="shared" si="248"/>
        <v>0.15</v>
      </c>
      <c r="N94" s="252"/>
      <c r="O94" s="241">
        <f>E94</f>
        <v>0</v>
      </c>
      <c r="P94" s="241">
        <v>5.0000000000000001E-3</v>
      </c>
      <c r="Q94" s="241">
        <v>0.01</v>
      </c>
      <c r="R94" s="241">
        <f>Q94</f>
        <v>0.01</v>
      </c>
      <c r="S94" s="241">
        <f>AVERAGE(R94,T94)</f>
        <v>3.0000000000000002E-2</v>
      </c>
      <c r="T94" s="35">
        <v>0.05</v>
      </c>
      <c r="U94" s="35">
        <v>0.1</v>
      </c>
      <c r="V94" s="35">
        <v>0.15</v>
      </c>
      <c r="W94" s="251"/>
      <c r="X94" s="195">
        <f t="shared" ref="X94:X103" si="251">O94</f>
        <v>0</v>
      </c>
      <c r="Y94" s="195">
        <f t="shared" ref="Y94:Y103" si="252">P94</f>
        <v>5.0000000000000001E-3</v>
      </c>
      <c r="Z94" s="195">
        <f t="shared" ref="Z94:Z103" si="253">Q94</f>
        <v>0.01</v>
      </c>
      <c r="AA94" s="195">
        <f t="shared" ref="AA94:AA103" si="254">R94</f>
        <v>0.01</v>
      </c>
      <c r="AB94" s="195">
        <f t="shared" ref="AB94:AB103" si="255">S94</f>
        <v>3.0000000000000002E-2</v>
      </c>
      <c r="AC94" s="74">
        <f>AC78</f>
        <v>7.0000000000000007E-2</v>
      </c>
      <c r="AD94" s="74">
        <v>0.2</v>
      </c>
      <c r="AE94" s="74">
        <v>0.4</v>
      </c>
      <c r="AF94" s="251"/>
      <c r="AG94" s="251"/>
      <c r="AH94" s="251"/>
      <c r="AI94" s="251"/>
      <c r="AJ94" s="251"/>
      <c r="AK94" s="251"/>
      <c r="AL94" s="251"/>
      <c r="AM94" s="251"/>
      <c r="AN94" s="251"/>
      <c r="AO94" s="251"/>
      <c r="AP94" s="251"/>
      <c r="AQ94" s="251"/>
      <c r="AR94" s="251"/>
      <c r="AS94" s="251"/>
      <c r="AT94" s="251"/>
      <c r="AU94" s="251"/>
    </row>
    <row r="95" spans="1:47">
      <c r="A95" s="194" t="s">
        <v>16</v>
      </c>
      <c r="C95" s="194" t="s">
        <v>82</v>
      </c>
      <c r="D95" s="194" t="s">
        <v>48</v>
      </c>
      <c r="E95" s="304">
        <v>0</v>
      </c>
      <c r="F95" s="64">
        <f t="shared" si="241"/>
        <v>0</v>
      </c>
      <c r="G95" s="64">
        <f t="shared" si="242"/>
        <v>0</v>
      </c>
      <c r="H95" s="64">
        <f t="shared" si="243"/>
        <v>0</v>
      </c>
      <c r="I95" s="64">
        <f t="shared" si="244"/>
        <v>0</v>
      </c>
      <c r="J95" s="64">
        <f t="shared" si="245"/>
        <v>0</v>
      </c>
      <c r="K95" s="64">
        <f t="shared" si="246"/>
        <v>0</v>
      </c>
      <c r="L95" s="64">
        <f t="shared" si="247"/>
        <v>0</v>
      </c>
      <c r="M95" s="64">
        <f t="shared" si="248"/>
        <v>0</v>
      </c>
      <c r="N95" s="252"/>
      <c r="O95" s="241">
        <f>E95</f>
        <v>0</v>
      </c>
      <c r="P95" s="241">
        <f>O95</f>
        <v>0</v>
      </c>
      <c r="Q95" s="241">
        <f>P95</f>
        <v>0</v>
      </c>
      <c r="R95" s="241">
        <f>Q95</f>
        <v>0</v>
      </c>
      <c r="S95" s="241">
        <f t="shared" ref="S95:V95" si="256">R95</f>
        <v>0</v>
      </c>
      <c r="T95" s="35">
        <f t="shared" si="256"/>
        <v>0</v>
      </c>
      <c r="U95" s="35">
        <f t="shared" si="256"/>
        <v>0</v>
      </c>
      <c r="V95" s="35">
        <f t="shared" si="256"/>
        <v>0</v>
      </c>
      <c r="W95" s="251"/>
      <c r="X95" s="195">
        <f t="shared" si="251"/>
        <v>0</v>
      </c>
      <c r="Y95" s="195">
        <f t="shared" si="252"/>
        <v>0</v>
      </c>
      <c r="Z95" s="195">
        <f t="shared" si="253"/>
        <v>0</v>
      </c>
      <c r="AA95" s="195">
        <f t="shared" si="254"/>
        <v>0</v>
      </c>
      <c r="AB95" s="195">
        <f t="shared" si="255"/>
        <v>0</v>
      </c>
      <c r="AC95" s="35">
        <v>0</v>
      </c>
      <c r="AD95" s="35">
        <v>0</v>
      </c>
      <c r="AE95" s="35">
        <v>0</v>
      </c>
      <c r="AF95" s="251"/>
      <c r="AG95" s="251"/>
      <c r="AH95" s="251"/>
      <c r="AI95" s="251"/>
      <c r="AJ95" s="251"/>
      <c r="AK95" s="251"/>
      <c r="AL95" s="251"/>
      <c r="AM95" s="251"/>
      <c r="AN95" s="251"/>
      <c r="AO95" s="251"/>
      <c r="AP95" s="251"/>
      <c r="AQ95" s="251"/>
      <c r="AR95" s="251"/>
      <c r="AS95" s="251"/>
      <c r="AT95" s="251"/>
      <c r="AU95" s="251"/>
    </row>
    <row r="96" spans="1:47">
      <c r="A96" s="194" t="s">
        <v>16</v>
      </c>
      <c r="C96" s="194" t="s">
        <v>81</v>
      </c>
      <c r="D96" s="194" t="s">
        <v>48</v>
      </c>
      <c r="E96" s="34">
        <f>1-SUM(E94:E95)</f>
        <v>1</v>
      </c>
      <c r="F96" s="34">
        <f>1-SUM(F94:F95)</f>
        <v>1</v>
      </c>
      <c r="G96" s="34">
        <f t="shared" ref="G96:M96" si="257">1-SUM(G94:G95)</f>
        <v>0.995</v>
      </c>
      <c r="H96" s="34">
        <f t="shared" si="257"/>
        <v>0.99</v>
      </c>
      <c r="I96" s="34">
        <f t="shared" si="257"/>
        <v>0.99</v>
      </c>
      <c r="J96" s="34">
        <f t="shared" si="257"/>
        <v>0.97</v>
      </c>
      <c r="K96" s="34">
        <f t="shared" si="257"/>
        <v>0.95</v>
      </c>
      <c r="L96" s="34">
        <f t="shared" si="257"/>
        <v>0.9</v>
      </c>
      <c r="M96" s="34">
        <f t="shared" si="257"/>
        <v>0.85</v>
      </c>
      <c r="N96" s="252"/>
      <c r="O96" s="34">
        <f>1-SUM(O94:O95)</f>
        <v>1</v>
      </c>
      <c r="P96" s="34">
        <f t="shared" ref="P96:V96" si="258">1-SUM(P94:P95)</f>
        <v>0.995</v>
      </c>
      <c r="Q96" s="34">
        <f t="shared" si="258"/>
        <v>0.99</v>
      </c>
      <c r="R96" s="34">
        <f t="shared" si="258"/>
        <v>0.99</v>
      </c>
      <c r="S96" s="34">
        <f t="shared" si="258"/>
        <v>0.97</v>
      </c>
      <c r="T96" s="34">
        <f t="shared" si="258"/>
        <v>0.95</v>
      </c>
      <c r="U96" s="34">
        <f t="shared" si="258"/>
        <v>0.9</v>
      </c>
      <c r="V96" s="34">
        <f t="shared" si="258"/>
        <v>0.85</v>
      </c>
      <c r="W96" s="251"/>
      <c r="X96" s="195">
        <f>O96</f>
        <v>1</v>
      </c>
      <c r="Y96" s="195">
        <f t="shared" si="252"/>
        <v>0.995</v>
      </c>
      <c r="Z96" s="195">
        <f t="shared" si="253"/>
        <v>0.99</v>
      </c>
      <c r="AA96" s="195">
        <f t="shared" si="254"/>
        <v>0.99</v>
      </c>
      <c r="AB96" s="195">
        <f t="shared" si="255"/>
        <v>0.97</v>
      </c>
      <c r="AC96" s="34">
        <f>1-SUM(AC94:AC95)</f>
        <v>0.92999999999999994</v>
      </c>
      <c r="AD96" s="34">
        <f>1-SUM(AD94:AD95)</f>
        <v>0.8</v>
      </c>
      <c r="AE96" s="34">
        <f>1-SUM(AE94:AE95)</f>
        <v>0.6</v>
      </c>
      <c r="AF96" s="251"/>
      <c r="AG96" s="251"/>
      <c r="AH96" s="251"/>
      <c r="AI96" s="251"/>
      <c r="AJ96" s="251"/>
      <c r="AK96" s="251"/>
      <c r="AL96" s="251"/>
      <c r="AM96" s="251"/>
      <c r="AN96" s="251"/>
      <c r="AO96" s="251"/>
      <c r="AP96" s="251"/>
      <c r="AQ96" s="251"/>
      <c r="AR96" s="251"/>
      <c r="AS96" s="251"/>
      <c r="AT96" s="251"/>
      <c r="AU96" s="251"/>
    </row>
    <row r="97" spans="1:47">
      <c r="A97" s="194" t="s">
        <v>16</v>
      </c>
      <c r="C97" s="39" t="str">
        <f>C81</f>
        <v>Middle Income</v>
      </c>
      <c r="D97" s="194" t="s">
        <v>191</v>
      </c>
      <c r="E97" s="195">
        <f t="shared" ref="E97" si="259">(1-E$26)*E$14</f>
        <v>7.3783582009325217</v>
      </c>
      <c r="F97" s="195">
        <f t="shared" si="241"/>
        <v>7.8020598647375818</v>
      </c>
      <c r="G97" s="195">
        <f t="shared" ref="G97:G99" si="260">IF($D$4,Y97,P97)</f>
        <v>8.1304429240814891</v>
      </c>
      <c r="H97" s="195">
        <f t="shared" ref="H97:H99" si="261">IF($D$4,Z97,Q97)</f>
        <v>8.5664012676263432</v>
      </c>
      <c r="I97" s="195">
        <f t="shared" ref="I97:I99" si="262">IF($D$4,AA97,R97)</f>
        <v>9.0246041238046164</v>
      </c>
      <c r="J97" s="195">
        <f t="shared" ref="J97:J99" si="263">IF($D$4,AB97,S97)</f>
        <v>8.6510077002792301</v>
      </c>
      <c r="K97" s="195">
        <f t="shared" ref="K97:K99" si="264">IF($D$4,AC97,T97)</f>
        <v>10.066127666092434</v>
      </c>
      <c r="L97" s="195">
        <f t="shared" ref="L97:L99" si="265">IF($D$4,AD97,U97)</f>
        <v>11.596844251894362</v>
      </c>
      <c r="M97" s="195">
        <f t="shared" ref="M97:M99" si="266">IF($D$4,AE97,V97)</f>
        <v>12.841566337737975</v>
      </c>
      <c r="N97" s="41"/>
      <c r="O97" s="195">
        <f>(1-O$26)*O$14</f>
        <v>7.8020598647375818</v>
      </c>
      <c r="P97" s="195">
        <f t="shared" ref="P97:V97" si="267">(1-P$26)*P$14</f>
        <v>8.1304429240814891</v>
      </c>
      <c r="Q97" s="195">
        <f t="shared" si="267"/>
        <v>8.5664012676263432</v>
      </c>
      <c r="R97" s="195">
        <f t="shared" si="267"/>
        <v>9.0246041238046164</v>
      </c>
      <c r="S97" s="195">
        <f t="shared" si="267"/>
        <v>8.6510077002792301</v>
      </c>
      <c r="T97" s="195">
        <f t="shared" si="267"/>
        <v>10.066127666092434</v>
      </c>
      <c r="U97" s="195">
        <f t="shared" si="267"/>
        <v>11.596844251894362</v>
      </c>
      <c r="V97" s="195">
        <f t="shared" si="267"/>
        <v>12.841566337737975</v>
      </c>
      <c r="X97" s="195">
        <f t="shared" si="251"/>
        <v>7.8020598647375818</v>
      </c>
      <c r="Y97" s="195">
        <f t="shared" si="252"/>
        <v>8.1304429240814891</v>
      </c>
      <c r="Z97" s="195">
        <f t="shared" si="253"/>
        <v>8.5664012676263432</v>
      </c>
      <c r="AA97" s="195">
        <f t="shared" si="254"/>
        <v>9.0246041238046164</v>
      </c>
      <c r="AB97" s="195">
        <f t="shared" si="255"/>
        <v>8.6510077002792301</v>
      </c>
      <c r="AC97" s="195">
        <f>(1-AC$26)*AC$14</f>
        <v>10.633685928116797</v>
      </c>
      <c r="AD97" s="195">
        <f>(1-AD$26)*AD$14</f>
        <v>12.871880266185091</v>
      </c>
      <c r="AE97" s="195">
        <f>(1-AE$26)*AE$14</f>
        <v>14.906906872690181</v>
      </c>
    </row>
    <row r="98" spans="1:47">
      <c r="A98" s="194" t="s">
        <v>16</v>
      </c>
      <c r="C98" s="194" t="str">
        <f>C94</f>
        <v>BRT</v>
      </c>
      <c r="D98" s="194" t="s">
        <v>48</v>
      </c>
      <c r="E98" s="304">
        <v>0</v>
      </c>
      <c r="F98" s="64">
        <f t="shared" si="241"/>
        <v>0</v>
      </c>
      <c r="G98" s="64">
        <f t="shared" si="260"/>
        <v>5.0000000000000001E-3</v>
      </c>
      <c r="H98" s="64">
        <f t="shared" si="261"/>
        <v>0.01</v>
      </c>
      <c r="I98" s="64">
        <f t="shared" si="262"/>
        <v>0.01</v>
      </c>
      <c r="J98" s="64">
        <f t="shared" si="263"/>
        <v>3.0000000000000002E-2</v>
      </c>
      <c r="K98" s="64">
        <f t="shared" si="264"/>
        <v>0.05</v>
      </c>
      <c r="L98" s="64">
        <f t="shared" si="265"/>
        <v>0.1</v>
      </c>
      <c r="M98" s="64">
        <f t="shared" si="266"/>
        <v>0.15</v>
      </c>
      <c r="N98" s="252"/>
      <c r="O98" s="241">
        <f>E98</f>
        <v>0</v>
      </c>
      <c r="P98" s="241">
        <v>5.0000000000000001E-3</v>
      </c>
      <c r="Q98" s="241">
        <v>0.01</v>
      </c>
      <c r="R98" s="241">
        <f>Q98</f>
        <v>0.01</v>
      </c>
      <c r="S98" s="241">
        <f>AVERAGE(R98,T98)</f>
        <v>3.0000000000000002E-2</v>
      </c>
      <c r="T98" s="35">
        <v>0.05</v>
      </c>
      <c r="U98" s="35">
        <v>0.1</v>
      </c>
      <c r="V98" s="35">
        <v>0.15</v>
      </c>
      <c r="W98" s="251"/>
      <c r="X98" s="195">
        <f t="shared" si="251"/>
        <v>0</v>
      </c>
      <c r="Y98" s="195">
        <f t="shared" si="252"/>
        <v>5.0000000000000001E-3</v>
      </c>
      <c r="Z98" s="195">
        <f t="shared" si="253"/>
        <v>0.01</v>
      </c>
      <c r="AA98" s="195">
        <f t="shared" si="254"/>
        <v>0.01</v>
      </c>
      <c r="AB98" s="195">
        <f t="shared" si="255"/>
        <v>3.0000000000000002E-2</v>
      </c>
      <c r="AC98" s="74">
        <f>AC83</f>
        <v>7.0000000000000007E-2</v>
      </c>
      <c r="AD98" s="74">
        <v>0.2</v>
      </c>
      <c r="AE98" s="74">
        <v>0.4</v>
      </c>
      <c r="AF98" s="251"/>
      <c r="AG98" s="251"/>
      <c r="AH98" s="251"/>
      <c r="AI98" s="251"/>
      <c r="AJ98" s="251"/>
      <c r="AK98" s="251"/>
      <c r="AL98" s="251"/>
      <c r="AM98" s="251"/>
      <c r="AN98" s="251"/>
      <c r="AO98" s="251"/>
      <c r="AP98" s="251"/>
      <c r="AQ98" s="251"/>
      <c r="AR98" s="251"/>
      <c r="AS98" s="251"/>
      <c r="AT98" s="251"/>
      <c r="AU98" s="251"/>
    </row>
    <row r="99" spans="1:47">
      <c r="A99" s="194" t="s">
        <v>16</v>
      </c>
      <c r="C99" s="194" t="str">
        <f>C95</f>
        <v>Gautrain</v>
      </c>
      <c r="D99" s="194" t="s">
        <v>48</v>
      </c>
      <c r="E99" s="304">
        <v>2E-3</v>
      </c>
      <c r="F99" s="64">
        <f t="shared" si="241"/>
        <v>2E-3</v>
      </c>
      <c r="G99" s="64">
        <f t="shared" si="260"/>
        <v>2E-3</v>
      </c>
      <c r="H99" s="64">
        <f t="shared" si="261"/>
        <v>2E-3</v>
      </c>
      <c r="I99" s="64">
        <f t="shared" si="262"/>
        <v>2E-3</v>
      </c>
      <c r="J99" s="64">
        <f t="shared" si="263"/>
        <v>2E-3</v>
      </c>
      <c r="K99" s="64">
        <f t="shared" si="264"/>
        <v>2E-3</v>
      </c>
      <c r="L99" s="64">
        <f t="shared" si="265"/>
        <v>2E-3</v>
      </c>
      <c r="M99" s="64">
        <f t="shared" si="266"/>
        <v>2E-3</v>
      </c>
      <c r="N99" s="252"/>
      <c r="O99" s="241">
        <f>E99</f>
        <v>2E-3</v>
      </c>
      <c r="P99" s="241">
        <f>O99</f>
        <v>2E-3</v>
      </c>
      <c r="Q99" s="241">
        <f>P99</f>
        <v>2E-3</v>
      </c>
      <c r="R99" s="241">
        <f>Q99</f>
        <v>2E-3</v>
      </c>
      <c r="S99" s="241">
        <f t="shared" ref="S99:V99" si="268">R99</f>
        <v>2E-3</v>
      </c>
      <c r="T99" s="49">
        <f t="shared" si="268"/>
        <v>2E-3</v>
      </c>
      <c r="U99" s="49">
        <f t="shared" si="268"/>
        <v>2E-3</v>
      </c>
      <c r="V99" s="49">
        <f t="shared" si="268"/>
        <v>2E-3</v>
      </c>
      <c r="W99" s="251"/>
      <c r="X99" s="195">
        <f t="shared" si="251"/>
        <v>2E-3</v>
      </c>
      <c r="Y99" s="195">
        <f t="shared" si="252"/>
        <v>2E-3</v>
      </c>
      <c r="Z99" s="195">
        <f t="shared" si="253"/>
        <v>2E-3</v>
      </c>
      <c r="AA99" s="195">
        <f t="shared" si="254"/>
        <v>2E-3</v>
      </c>
      <c r="AB99" s="195">
        <f t="shared" si="255"/>
        <v>2E-3</v>
      </c>
      <c r="AC99" s="74">
        <f>AC84</f>
        <v>0.01</v>
      </c>
      <c r="AD99" s="74">
        <f>AD84</f>
        <v>0.02</v>
      </c>
      <c r="AE99" s="74">
        <f>AE84</f>
        <v>0.03</v>
      </c>
      <c r="AF99" s="251"/>
      <c r="AG99" s="251"/>
      <c r="AH99" s="251"/>
      <c r="AI99" s="251"/>
      <c r="AJ99" s="251"/>
      <c r="AK99" s="251"/>
      <c r="AL99" s="251"/>
      <c r="AM99" s="251"/>
      <c r="AN99" s="251"/>
      <c r="AO99" s="251"/>
      <c r="AP99" s="251"/>
      <c r="AQ99" s="251"/>
      <c r="AR99" s="251"/>
      <c r="AS99" s="251"/>
      <c r="AT99" s="251"/>
      <c r="AU99" s="251"/>
    </row>
    <row r="100" spans="1:47">
      <c r="A100" s="194" t="s">
        <v>16</v>
      </c>
      <c r="C100" s="194" t="str">
        <f>C96</f>
        <v>Bus, minibus, metro rail</v>
      </c>
      <c r="D100" s="194" t="s">
        <v>48</v>
      </c>
      <c r="E100" s="34">
        <f t="shared" ref="E100" si="269">1-SUM(E98:E99)</f>
        <v>0.998</v>
      </c>
      <c r="F100" s="34">
        <f>1-SUM(F98:F99)</f>
        <v>0.998</v>
      </c>
      <c r="G100" s="34">
        <f t="shared" ref="G100:M100" si="270">1-SUM(G98:G99)</f>
        <v>0.99299999999999999</v>
      </c>
      <c r="H100" s="34">
        <f t="shared" si="270"/>
        <v>0.98799999999999999</v>
      </c>
      <c r="I100" s="34">
        <f t="shared" si="270"/>
        <v>0.98799999999999999</v>
      </c>
      <c r="J100" s="34">
        <f t="shared" si="270"/>
        <v>0.96799999999999997</v>
      </c>
      <c r="K100" s="34">
        <f t="shared" si="270"/>
        <v>0.94799999999999995</v>
      </c>
      <c r="L100" s="34">
        <f t="shared" si="270"/>
        <v>0.89800000000000002</v>
      </c>
      <c r="M100" s="34">
        <f t="shared" si="270"/>
        <v>0.84799999999999998</v>
      </c>
      <c r="N100" s="252"/>
      <c r="O100" s="34">
        <f>1-SUM(O98:O99)</f>
        <v>0.998</v>
      </c>
      <c r="P100" s="34">
        <f t="shared" ref="P100:V100" si="271">1-SUM(P98:P99)</f>
        <v>0.99299999999999999</v>
      </c>
      <c r="Q100" s="34">
        <f t="shared" si="271"/>
        <v>0.98799999999999999</v>
      </c>
      <c r="R100" s="34">
        <f t="shared" si="271"/>
        <v>0.98799999999999999</v>
      </c>
      <c r="S100" s="34">
        <f t="shared" si="271"/>
        <v>0.96799999999999997</v>
      </c>
      <c r="T100" s="34">
        <f t="shared" si="271"/>
        <v>0.94799999999999995</v>
      </c>
      <c r="U100" s="34">
        <f t="shared" si="271"/>
        <v>0.89800000000000002</v>
      </c>
      <c r="V100" s="34">
        <f t="shared" si="271"/>
        <v>0.84799999999999998</v>
      </c>
      <c r="W100" s="251"/>
      <c r="X100" s="195">
        <f t="shared" si="251"/>
        <v>0.998</v>
      </c>
      <c r="Y100" s="195">
        <f t="shared" si="252"/>
        <v>0.99299999999999999</v>
      </c>
      <c r="Z100" s="195">
        <f t="shared" si="253"/>
        <v>0.98799999999999999</v>
      </c>
      <c r="AA100" s="195">
        <f t="shared" si="254"/>
        <v>0.98799999999999999</v>
      </c>
      <c r="AB100" s="195">
        <f t="shared" si="255"/>
        <v>0.96799999999999997</v>
      </c>
      <c r="AC100" s="34">
        <f>1-SUM(AC98:AC99)</f>
        <v>0.92</v>
      </c>
      <c r="AD100" s="34">
        <f>1-SUM(AD98:AD99)</f>
        <v>0.78</v>
      </c>
      <c r="AE100" s="34">
        <f>1-SUM(AE98:AE99)</f>
        <v>0.56999999999999995</v>
      </c>
      <c r="AF100" s="251"/>
      <c r="AG100" s="251"/>
      <c r="AH100" s="251"/>
      <c r="AI100" s="251"/>
      <c r="AJ100" s="251"/>
      <c r="AK100" s="251"/>
      <c r="AL100" s="251"/>
      <c r="AM100" s="251"/>
      <c r="AN100" s="251"/>
      <c r="AO100" s="251"/>
      <c r="AP100" s="251"/>
      <c r="AQ100" s="251"/>
      <c r="AR100" s="251"/>
      <c r="AS100" s="251"/>
      <c r="AT100" s="251"/>
      <c r="AU100" s="251"/>
    </row>
    <row r="101" spans="1:47">
      <c r="A101" s="194" t="s">
        <v>16</v>
      </c>
      <c r="C101" s="39" t="str">
        <f>C86</f>
        <v>High Income</v>
      </c>
      <c r="D101" s="194" t="s">
        <v>191</v>
      </c>
      <c r="E101" s="195">
        <f t="shared" ref="E101" si="272">(1-E$27)*E$15</f>
        <v>2.4261474987291396</v>
      </c>
      <c r="F101" s="195">
        <f t="shared" si="241"/>
        <v>2.7338595146461104</v>
      </c>
      <c r="G101" s="195">
        <f t="shared" ref="G101:G103" si="273">IF($D$4,Y101,P101)</f>
        <v>2.9321265522027939</v>
      </c>
      <c r="H101" s="195">
        <f t="shared" ref="H101:H103" si="274">IF($D$4,Z101,Q101)</f>
        <v>3.0672670337593466</v>
      </c>
      <c r="I101" s="195">
        <f t="shared" ref="I101:I103" si="275">IF($D$4,AA101,R101)</f>
        <v>2.7817323030730217</v>
      </c>
      <c r="J101" s="195">
        <f t="shared" ref="J101:J103" si="276">IF($D$4,AB101,S101)</f>
        <v>2.8541052505037907</v>
      </c>
      <c r="K101" s="195">
        <f t="shared" ref="K101:K103" si="277">IF($D$4,AC101,T101)</f>
        <v>3.8712538494467914</v>
      </c>
      <c r="L101" s="195">
        <f t="shared" ref="L101:L103" si="278">IF($D$4,AD101,U101)</f>
        <v>5.2674181608678596</v>
      </c>
      <c r="M101" s="195">
        <f t="shared" ref="M101:M103" si="279">IF($D$4,AE101,V101)</f>
        <v>6.63259771730295</v>
      </c>
      <c r="N101" s="41"/>
      <c r="O101" s="195">
        <f>(1-O$27)*O$15</f>
        <v>2.7338595146461104</v>
      </c>
      <c r="P101" s="195">
        <f t="shared" ref="P101:V101" si="280">(1-P$27)*P$15</f>
        <v>2.9321265522027939</v>
      </c>
      <c r="Q101" s="195">
        <f t="shared" si="280"/>
        <v>3.0672670337593466</v>
      </c>
      <c r="R101" s="195">
        <f t="shared" si="280"/>
        <v>2.7817323030730217</v>
      </c>
      <c r="S101" s="195">
        <f t="shared" si="280"/>
        <v>2.8541052505037907</v>
      </c>
      <c r="T101" s="195">
        <f t="shared" si="280"/>
        <v>3.8712538494467914</v>
      </c>
      <c r="U101" s="195">
        <f t="shared" si="280"/>
        <v>5.2674181608678596</v>
      </c>
      <c r="V101" s="195">
        <f t="shared" si="280"/>
        <v>6.63259771730295</v>
      </c>
      <c r="X101" s="195">
        <f t="shared" si="251"/>
        <v>2.7338595146461104</v>
      </c>
      <c r="Y101" s="195">
        <f t="shared" si="252"/>
        <v>2.9321265522027939</v>
      </c>
      <c r="Z101" s="195">
        <f t="shared" si="253"/>
        <v>3.0672670337593466</v>
      </c>
      <c r="AA101" s="195">
        <f t="shared" si="254"/>
        <v>2.7817323030730217</v>
      </c>
      <c r="AB101" s="195">
        <f t="shared" si="255"/>
        <v>2.8541052505037907</v>
      </c>
      <c r="AC101" s="195">
        <f>(1-AC$27)*AC$15</f>
        <v>4.1918279590076244</v>
      </c>
      <c r="AD101" s="195">
        <f>(1-AD$27)*AD$15</f>
        <v>6.1288912018364874</v>
      </c>
      <c r="AE101" s="195">
        <f>(1-AE$27)*AE$15</f>
        <v>8.2394616766845701</v>
      </c>
    </row>
    <row r="102" spans="1:47">
      <c r="A102" s="194" t="s">
        <v>16</v>
      </c>
      <c r="C102" s="194" t="str">
        <f>C98</f>
        <v>BRT</v>
      </c>
      <c r="D102" s="194" t="s">
        <v>48</v>
      </c>
      <c r="E102" s="304">
        <v>0.01</v>
      </c>
      <c r="F102" s="64">
        <f t="shared" si="241"/>
        <v>0.01</v>
      </c>
      <c r="G102" s="64">
        <f t="shared" si="273"/>
        <v>5.0000000000000001E-3</v>
      </c>
      <c r="H102" s="64">
        <f t="shared" si="274"/>
        <v>0.01</v>
      </c>
      <c r="I102" s="64">
        <f t="shared" si="275"/>
        <v>0.01</v>
      </c>
      <c r="J102" s="64">
        <f t="shared" si="276"/>
        <v>0.02</v>
      </c>
      <c r="K102" s="64">
        <f t="shared" si="277"/>
        <v>0.03</v>
      </c>
      <c r="L102" s="64">
        <f t="shared" si="278"/>
        <v>0.03</v>
      </c>
      <c r="M102" s="64">
        <f t="shared" si="279"/>
        <v>0.03</v>
      </c>
      <c r="N102" s="252"/>
      <c r="O102" s="241">
        <f>E102</f>
        <v>0.01</v>
      </c>
      <c r="P102" s="241">
        <v>5.0000000000000001E-3</v>
      </c>
      <c r="Q102" s="241">
        <v>0.01</v>
      </c>
      <c r="R102" s="241">
        <f>Q102</f>
        <v>0.01</v>
      </c>
      <c r="S102" s="241">
        <f>AVERAGE(R102,T102)</f>
        <v>0.02</v>
      </c>
      <c r="T102" s="35">
        <v>0.03</v>
      </c>
      <c r="U102" s="35">
        <v>0.03</v>
      </c>
      <c r="V102" s="35">
        <v>0.03</v>
      </c>
      <c r="W102" s="251"/>
      <c r="X102" s="195">
        <f t="shared" si="251"/>
        <v>0.01</v>
      </c>
      <c r="Y102" s="195">
        <f t="shared" si="252"/>
        <v>5.0000000000000001E-3</v>
      </c>
      <c r="Z102" s="195">
        <f t="shared" si="253"/>
        <v>0.01</v>
      </c>
      <c r="AA102" s="195">
        <f t="shared" si="254"/>
        <v>0.01</v>
      </c>
      <c r="AB102" s="195">
        <f t="shared" si="255"/>
        <v>0.02</v>
      </c>
      <c r="AC102" s="74">
        <v>7.0000000000000007E-2</v>
      </c>
      <c r="AD102" s="74">
        <v>0.2</v>
      </c>
      <c r="AE102" s="74">
        <v>0.4</v>
      </c>
      <c r="AF102" s="251"/>
      <c r="AG102" s="251"/>
      <c r="AH102" s="251"/>
      <c r="AI102" s="251"/>
      <c r="AJ102" s="251"/>
      <c r="AK102" s="251"/>
      <c r="AL102" s="251"/>
      <c r="AM102" s="251"/>
      <c r="AN102" s="251"/>
      <c r="AO102" s="251"/>
      <c r="AP102" s="251"/>
      <c r="AQ102" s="251"/>
      <c r="AR102" s="251"/>
      <c r="AS102" s="251"/>
      <c r="AT102" s="251"/>
      <c r="AU102" s="251"/>
    </row>
    <row r="103" spans="1:47">
      <c r="A103" s="194" t="s">
        <v>16</v>
      </c>
      <c r="C103" s="194" t="str">
        <f>C99</f>
        <v>Gautrain</v>
      </c>
      <c r="D103" s="194" t="s">
        <v>48</v>
      </c>
      <c r="E103" s="304">
        <v>5.0000000000000001E-3</v>
      </c>
      <c r="F103" s="143">
        <f t="shared" si="241"/>
        <v>5.0000000000000001E-3</v>
      </c>
      <c r="G103" s="143">
        <f t="shared" si="273"/>
        <v>5.0000000000000001E-3</v>
      </c>
      <c r="H103" s="143">
        <f t="shared" si="274"/>
        <v>5.0000000000000001E-3</v>
      </c>
      <c r="I103" s="143">
        <f t="shared" si="275"/>
        <v>5.0000000000000001E-3</v>
      </c>
      <c r="J103" s="143">
        <f t="shared" si="276"/>
        <v>5.0000000000000001E-3</v>
      </c>
      <c r="K103" s="143">
        <f t="shared" si="277"/>
        <v>5.0000000000000001E-3</v>
      </c>
      <c r="L103" s="143">
        <f t="shared" si="278"/>
        <v>5.0000000000000001E-3</v>
      </c>
      <c r="M103" s="143">
        <f t="shared" si="279"/>
        <v>5.0000000000000001E-3</v>
      </c>
      <c r="N103" s="252"/>
      <c r="O103" s="241">
        <f>E103</f>
        <v>5.0000000000000001E-3</v>
      </c>
      <c r="P103" s="241">
        <f>O103</f>
        <v>5.0000000000000001E-3</v>
      </c>
      <c r="Q103" s="241">
        <f>P103</f>
        <v>5.0000000000000001E-3</v>
      </c>
      <c r="R103" s="241">
        <v>5.0000000000000001E-3</v>
      </c>
      <c r="S103" s="241">
        <f>AVERAGE(R103,T103)</f>
        <v>5.0000000000000001E-3</v>
      </c>
      <c r="T103" s="49">
        <f>R103</f>
        <v>5.0000000000000001E-3</v>
      </c>
      <c r="U103" s="49">
        <f>T103</f>
        <v>5.0000000000000001E-3</v>
      </c>
      <c r="V103" s="49">
        <f>U103</f>
        <v>5.0000000000000001E-3</v>
      </c>
      <c r="W103" s="251"/>
      <c r="X103" s="195">
        <f t="shared" si="251"/>
        <v>5.0000000000000001E-3</v>
      </c>
      <c r="Y103" s="195">
        <f t="shared" si="252"/>
        <v>5.0000000000000001E-3</v>
      </c>
      <c r="Z103" s="195">
        <f t="shared" si="253"/>
        <v>5.0000000000000001E-3</v>
      </c>
      <c r="AA103" s="195">
        <f t="shared" si="254"/>
        <v>5.0000000000000001E-3</v>
      </c>
      <c r="AB103" s="195">
        <f t="shared" si="255"/>
        <v>5.0000000000000001E-3</v>
      </c>
      <c r="AC103" s="74">
        <f>AC89</f>
        <v>0.01</v>
      </c>
      <c r="AD103" s="74">
        <f>AD89</f>
        <v>0.03</v>
      </c>
      <c r="AE103" s="74">
        <f>AE89</f>
        <v>0.05</v>
      </c>
      <c r="AF103" s="251"/>
      <c r="AG103" s="251"/>
      <c r="AH103" s="251"/>
      <c r="AI103" s="251"/>
      <c r="AJ103" s="251"/>
      <c r="AK103" s="251"/>
      <c r="AL103" s="251"/>
      <c r="AM103" s="251"/>
      <c r="AN103" s="251"/>
      <c r="AO103" s="251"/>
      <c r="AP103" s="251"/>
      <c r="AQ103" s="251"/>
      <c r="AR103" s="251"/>
      <c r="AS103" s="251"/>
      <c r="AT103" s="251"/>
      <c r="AU103" s="251"/>
    </row>
    <row r="104" spans="1:47">
      <c r="A104" s="194" t="s">
        <v>16</v>
      </c>
      <c r="C104" s="194" t="str">
        <f>C100</f>
        <v>Bus, minibus, metro rail</v>
      </c>
      <c r="D104" s="194" t="s">
        <v>48</v>
      </c>
      <c r="E104" s="34">
        <f t="shared" ref="E104" si="281">1-SUM(E102:E103)</f>
        <v>0.98499999999999999</v>
      </c>
      <c r="F104" s="34">
        <f>1-SUM(F102:F103)</f>
        <v>0.98499999999999999</v>
      </c>
      <c r="G104" s="34">
        <f t="shared" ref="G104:M104" si="282">1-SUM(G102:G103)</f>
        <v>0.99</v>
      </c>
      <c r="H104" s="34">
        <f t="shared" si="282"/>
        <v>0.98499999999999999</v>
      </c>
      <c r="I104" s="34">
        <f t="shared" si="282"/>
        <v>0.98499999999999999</v>
      </c>
      <c r="J104" s="34">
        <f t="shared" si="282"/>
        <v>0.97499999999999998</v>
      </c>
      <c r="K104" s="34">
        <f t="shared" si="282"/>
        <v>0.96499999999999997</v>
      </c>
      <c r="L104" s="34">
        <f t="shared" si="282"/>
        <v>0.96499999999999997</v>
      </c>
      <c r="M104" s="34">
        <f t="shared" si="282"/>
        <v>0.96499999999999997</v>
      </c>
      <c r="N104" s="252"/>
      <c r="O104" s="34">
        <f>1-SUM(O102:O103)</f>
        <v>0.98499999999999999</v>
      </c>
      <c r="P104" s="34">
        <f t="shared" ref="P104:V104" si="283">1-SUM(P102:P103)</f>
        <v>0.99</v>
      </c>
      <c r="Q104" s="34">
        <f t="shared" si="283"/>
        <v>0.98499999999999999</v>
      </c>
      <c r="R104" s="34">
        <f t="shared" si="283"/>
        <v>0.98499999999999999</v>
      </c>
      <c r="S104" s="34">
        <f t="shared" si="283"/>
        <v>0.97499999999999998</v>
      </c>
      <c r="T104" s="34">
        <f t="shared" si="283"/>
        <v>0.96499999999999997</v>
      </c>
      <c r="U104" s="34">
        <f t="shared" si="283"/>
        <v>0.96499999999999997</v>
      </c>
      <c r="V104" s="34">
        <f t="shared" si="283"/>
        <v>0.96499999999999997</v>
      </c>
      <c r="W104" s="251"/>
      <c r="X104" s="34">
        <f>1-SUM(X102:X103)</f>
        <v>0.98499999999999999</v>
      </c>
      <c r="Y104" s="34">
        <f t="shared" ref="Y104:AB104" si="284">1-SUM(Y102:Y103)</f>
        <v>0.99</v>
      </c>
      <c r="Z104" s="34">
        <f t="shared" si="284"/>
        <v>0.98499999999999999</v>
      </c>
      <c r="AA104" s="34">
        <f t="shared" si="284"/>
        <v>0.98499999999999999</v>
      </c>
      <c r="AB104" s="34">
        <f t="shared" si="284"/>
        <v>0.97499999999999998</v>
      </c>
      <c r="AC104" s="34">
        <f>1-SUM(AC102:AC103)</f>
        <v>0.92</v>
      </c>
      <c r="AD104" s="34">
        <f>1-SUM(AD102:AD103)</f>
        <v>0.77</v>
      </c>
      <c r="AE104" s="34">
        <f>1-SUM(AE102:AE103)</f>
        <v>0.55000000000000004</v>
      </c>
      <c r="AF104" s="251"/>
      <c r="AG104" s="251"/>
      <c r="AH104" s="251"/>
      <c r="AI104" s="251"/>
      <c r="AJ104" s="251"/>
      <c r="AK104" s="251"/>
      <c r="AL104" s="251"/>
      <c r="AM104" s="251"/>
      <c r="AN104" s="251"/>
      <c r="AO104" s="251"/>
      <c r="AP104" s="251"/>
      <c r="AQ104" s="251"/>
      <c r="AR104" s="251"/>
      <c r="AS104" s="251"/>
      <c r="AT104" s="251"/>
      <c r="AU104" s="251"/>
    </row>
    <row r="105" spans="1:47">
      <c r="A105" s="194" t="s">
        <v>16</v>
      </c>
      <c r="C105" s="238"/>
      <c r="E105" s="242"/>
      <c r="F105" s="242"/>
      <c r="G105" s="242"/>
      <c r="I105" s="242"/>
      <c r="K105" s="242"/>
      <c r="L105" s="242"/>
      <c r="M105" s="242"/>
      <c r="N105" s="41"/>
    </row>
    <row r="106" spans="1:47" ht="15.75" thickBot="1">
      <c r="A106" s="194" t="s">
        <v>16</v>
      </c>
      <c r="C106" s="237" t="s">
        <v>194</v>
      </c>
      <c r="F106" s="242"/>
      <c r="G106" s="242"/>
      <c r="I106" s="242"/>
      <c r="K106" s="242"/>
      <c r="L106" s="242"/>
      <c r="M106" s="242"/>
      <c r="N106" s="41"/>
    </row>
    <row r="107" spans="1:47">
      <c r="A107" s="194" t="s">
        <v>16</v>
      </c>
      <c r="C107" s="238" t="str">
        <f>C54</f>
        <v>Low Income</v>
      </c>
      <c r="D107" s="194" t="s">
        <v>173</v>
      </c>
      <c r="E107" s="195">
        <f t="shared" ref="E107" si="285">E25*E13*E30*E41</f>
        <v>1.0501617206129796</v>
      </c>
      <c r="F107" s="195">
        <f t="shared" ref="F107:F108" si="286">IF($D$4,X107,O107)</f>
        <v>1.0580527643161255</v>
      </c>
      <c r="G107" s="195">
        <f t="shared" ref="G107:G108" si="287">IF($D$4,Y107,P107)</f>
        <v>1.0667934724461612</v>
      </c>
      <c r="H107" s="195">
        <f t="shared" ref="H107:H108" si="288">IF($D$4,Z107,Q107)</f>
        <v>1.0801407425883076</v>
      </c>
      <c r="I107" s="195">
        <f t="shared" ref="I107:I108" si="289">IF($D$4,AA107,R107)</f>
        <v>1.1283165456398421</v>
      </c>
      <c r="J107" s="195">
        <f t="shared" ref="J107:J108" si="290">IF($D$4,AB107,S107)</f>
        <v>1.175103460053095</v>
      </c>
      <c r="K107" s="195">
        <f t="shared" ref="K107:K108" si="291">IF($D$4,AC107,T107)</f>
        <v>1.117599530178119</v>
      </c>
      <c r="L107" s="195">
        <f t="shared" ref="L107:L108" si="292">IF($D$4,AD107,U107)</f>
        <v>0.96273538097154976</v>
      </c>
      <c r="M107" s="195">
        <f t="shared" ref="M107:M108" si="293">IF($D$4,AE107,V107)</f>
        <v>0.7864181007884663</v>
      </c>
      <c r="N107" s="41"/>
      <c r="O107" s="195">
        <f t="shared" ref="O107:V109" si="294">O25*O13*O30*O41</f>
        <v>1.0580527643161255</v>
      </c>
      <c r="P107" s="195">
        <f t="shared" si="294"/>
        <v>1.0667934724461612</v>
      </c>
      <c r="Q107" s="195">
        <f t="shared" si="294"/>
        <v>1.0801407425883076</v>
      </c>
      <c r="R107" s="195">
        <f t="shared" si="294"/>
        <v>1.1283165456398421</v>
      </c>
      <c r="S107" s="195">
        <f t="shared" si="294"/>
        <v>1.175103460053095</v>
      </c>
      <c r="T107" s="315">
        <f t="shared" si="294"/>
        <v>1.117599530178119</v>
      </c>
      <c r="U107" s="315">
        <f t="shared" si="294"/>
        <v>0.96273538097154976</v>
      </c>
      <c r="V107" s="315">
        <f t="shared" si="294"/>
        <v>0.7864181007884663</v>
      </c>
      <c r="X107" s="195">
        <f>O107</f>
        <v>1.0580527643161255</v>
      </c>
      <c r="Y107" s="195">
        <f t="shared" ref="Y107:AB107" si="295">P107</f>
        <v>1.0667934724461612</v>
      </c>
      <c r="Z107" s="195">
        <f t="shared" si="295"/>
        <v>1.0801407425883076</v>
      </c>
      <c r="AA107" s="195">
        <f t="shared" si="295"/>
        <v>1.1283165456398421</v>
      </c>
      <c r="AB107" s="195">
        <f t="shared" si="295"/>
        <v>1.175103460053095</v>
      </c>
      <c r="AC107" s="315">
        <f t="shared" ref="AC107:AE109" si="296">AC25*AC13*AC30*AC41</f>
        <v>2.5215839399643807</v>
      </c>
      <c r="AD107" s="315">
        <f t="shared" si="296"/>
        <v>1.5683079697949165</v>
      </c>
      <c r="AE107" s="315">
        <f t="shared" si="296"/>
        <v>1.1561791370606305</v>
      </c>
    </row>
    <row r="108" spans="1:47">
      <c r="A108" s="194" t="s">
        <v>16</v>
      </c>
      <c r="C108" s="238" t="str">
        <f>C55</f>
        <v>Middle Income</v>
      </c>
      <c r="D108" s="194" t="s">
        <v>173</v>
      </c>
      <c r="E108" s="195">
        <f>E26*E14*E31*E42</f>
        <v>34.956962298937931</v>
      </c>
      <c r="F108" s="195">
        <f t="shared" si="286"/>
        <v>36.964363225306464</v>
      </c>
      <c r="G108" s="195">
        <f t="shared" si="287"/>
        <v>38.520166550718891</v>
      </c>
      <c r="H108" s="195">
        <f t="shared" si="288"/>
        <v>40.585636803610491</v>
      </c>
      <c r="I108" s="195">
        <f t="shared" si="289"/>
        <v>42.756496435590023</v>
      </c>
      <c r="J108" s="195">
        <f t="shared" si="290"/>
        <v>40.986482601002223</v>
      </c>
      <c r="K108" s="195">
        <f t="shared" si="291"/>
        <v>47.690995169550938</v>
      </c>
      <c r="L108" s="195">
        <f t="shared" si="292"/>
        <v>54.943177907639495</v>
      </c>
      <c r="M108" s="195">
        <f t="shared" si="293"/>
        <v>60.840384554775611</v>
      </c>
      <c r="N108" s="41"/>
      <c r="O108" s="195">
        <f t="shared" si="294"/>
        <v>36.964363225306464</v>
      </c>
      <c r="P108" s="195">
        <f t="shared" si="294"/>
        <v>38.520166550718891</v>
      </c>
      <c r="Q108" s="195">
        <f t="shared" si="294"/>
        <v>40.585636803610491</v>
      </c>
      <c r="R108" s="195">
        <f t="shared" si="294"/>
        <v>42.756496435590023</v>
      </c>
      <c r="S108" s="195">
        <f t="shared" si="294"/>
        <v>40.986482601002223</v>
      </c>
      <c r="T108" s="315">
        <f t="shared" si="294"/>
        <v>47.690995169550938</v>
      </c>
      <c r="U108" s="315">
        <f t="shared" si="294"/>
        <v>54.943177907639495</v>
      </c>
      <c r="V108" s="315">
        <f t="shared" si="294"/>
        <v>60.840384554775611</v>
      </c>
      <c r="X108" s="195">
        <f t="shared" ref="X108:X111" si="297">O108</f>
        <v>36.964363225306464</v>
      </c>
      <c r="Y108" s="195">
        <f t="shared" ref="Y108:Y111" si="298">P108</f>
        <v>38.520166550718891</v>
      </c>
      <c r="Z108" s="195">
        <f t="shared" ref="Z108:Z111" si="299">Q108</f>
        <v>40.585636803610491</v>
      </c>
      <c r="AA108" s="195">
        <f t="shared" ref="AA108:AA111" si="300">R108</f>
        <v>42.756496435590023</v>
      </c>
      <c r="AB108" s="195">
        <f t="shared" ref="AB108:AB111" si="301">S108</f>
        <v>40.986482601002223</v>
      </c>
      <c r="AC108" s="315">
        <f t="shared" si="296"/>
        <v>40.88906698349372</v>
      </c>
      <c r="AD108" s="315">
        <f t="shared" si="296"/>
        <v>42.513983710602552</v>
      </c>
      <c r="AE108" s="315">
        <f t="shared" si="296"/>
        <v>40.362754161121629</v>
      </c>
    </row>
    <row r="109" spans="1:47">
      <c r="A109" s="194" t="s">
        <v>16</v>
      </c>
      <c r="C109" s="238" t="str">
        <f>C56</f>
        <v>High Income</v>
      </c>
      <c r="D109" s="194" t="s">
        <v>173</v>
      </c>
      <c r="E109" s="195">
        <f>E27*E15*E32*E43</f>
        <v>51.967503693160623</v>
      </c>
      <c r="F109" s="195">
        <f t="shared" ref="F109:F111" si="302">IF($D$4,X109,O109)</f>
        <v>58.558622053429929</v>
      </c>
      <c r="G109" s="195">
        <f t="shared" ref="G109:G111" si="303">IF($D$4,Y109,P109)</f>
        <v>62.805454948732518</v>
      </c>
      <c r="H109" s="195">
        <f t="shared" ref="H109:H111" si="304">IF($D$4,Z109,Q109)</f>
        <v>65.700131994569333</v>
      </c>
      <c r="I109" s="195">
        <f t="shared" ref="I109:I111" si="305">IF($D$4,AA109,R109)</f>
        <v>58.872291007662511</v>
      </c>
      <c r="J109" s="195">
        <f t="shared" ref="J109:J111" si="306">IF($D$4,AB109,S109)</f>
        <v>61.19599477031857</v>
      </c>
      <c r="K109" s="195">
        <f t="shared" ref="K109:K111" si="307">IF($D$4,AC109,T109)</f>
        <v>84.521782577918913</v>
      </c>
      <c r="L109" s="195">
        <f t="shared" ref="L109:L111" si="308">IF($D$4,AD109,U109)</f>
        <v>121.77574136621665</v>
      </c>
      <c r="M109" s="195">
        <f t="shared" ref="M109:M111" si="309">IF($D$4,AE109,V109)</f>
        <v>163.70722750496398</v>
      </c>
      <c r="N109" s="41"/>
      <c r="O109" s="195">
        <f t="shared" si="294"/>
        <v>58.558622053429929</v>
      </c>
      <c r="P109" s="195">
        <f t="shared" si="294"/>
        <v>62.805454948732518</v>
      </c>
      <c r="Q109" s="195">
        <f t="shared" si="294"/>
        <v>65.700131994569333</v>
      </c>
      <c r="R109" s="195">
        <f t="shared" si="294"/>
        <v>58.872291007662511</v>
      </c>
      <c r="S109" s="195">
        <f t="shared" si="294"/>
        <v>61.19599477031857</v>
      </c>
      <c r="T109" s="315">
        <f t="shared" si="294"/>
        <v>84.521782577918913</v>
      </c>
      <c r="U109" s="315">
        <f t="shared" si="294"/>
        <v>121.77574136621665</v>
      </c>
      <c r="V109" s="315">
        <f t="shared" si="294"/>
        <v>163.70722750496398</v>
      </c>
      <c r="X109" s="195">
        <f t="shared" si="297"/>
        <v>58.558622053429929</v>
      </c>
      <c r="Y109" s="195">
        <f t="shared" si="298"/>
        <v>62.805454948732518</v>
      </c>
      <c r="Z109" s="195">
        <f t="shared" si="299"/>
        <v>65.700131994569333</v>
      </c>
      <c r="AA109" s="195">
        <f t="shared" si="300"/>
        <v>58.872291007662511</v>
      </c>
      <c r="AB109" s="195">
        <f t="shared" si="301"/>
        <v>61.19599477031857</v>
      </c>
      <c r="AC109" s="315">
        <f t="shared" si="296"/>
        <v>75.938340147921494</v>
      </c>
      <c r="AD109" s="315">
        <f t="shared" si="296"/>
        <v>95.768149066214193</v>
      </c>
      <c r="AE109" s="315">
        <f t="shared" si="296"/>
        <v>111.76885483256166</v>
      </c>
    </row>
    <row r="110" spans="1:47">
      <c r="A110" s="194" t="s">
        <v>16</v>
      </c>
      <c r="C110" s="238" t="str">
        <f>C57</f>
        <v>Other (gov/company/car rental)</v>
      </c>
      <c r="D110" s="194" t="s">
        <v>173</v>
      </c>
      <c r="E110" s="195">
        <f t="shared" ref="E110" si="310">E50</f>
        <v>6.055780527292475</v>
      </c>
      <c r="F110" s="195">
        <f t="shared" si="302"/>
        <v>6.2383982101543394</v>
      </c>
      <c r="G110" s="195">
        <f t="shared" si="303"/>
        <v>6.3033094012977324</v>
      </c>
      <c r="H110" s="195">
        <f t="shared" si="304"/>
        <v>6.3463566012726167</v>
      </c>
      <c r="I110" s="195">
        <f t="shared" si="305"/>
        <v>6.1134257010113879</v>
      </c>
      <c r="J110" s="195">
        <f t="shared" si="306"/>
        <v>6.1773375816217291</v>
      </c>
      <c r="K110" s="195">
        <f t="shared" si="307"/>
        <v>6.8015940759447817</v>
      </c>
      <c r="L110" s="195">
        <f t="shared" si="308"/>
        <v>7.8988387961489268</v>
      </c>
      <c r="M110" s="195">
        <f t="shared" si="309"/>
        <v>9.3898167914105919</v>
      </c>
      <c r="N110" s="43"/>
      <c r="O110" s="195">
        <f>O50</f>
        <v>6.2383982101543394</v>
      </c>
      <c r="P110" s="195">
        <f t="shared" ref="P110:V110" si="311">P50</f>
        <v>6.3033094012977324</v>
      </c>
      <c r="Q110" s="195">
        <f t="shared" si="311"/>
        <v>6.3463566012726167</v>
      </c>
      <c r="R110" s="195">
        <f t="shared" si="311"/>
        <v>6.1134257010113879</v>
      </c>
      <c r="S110" s="195">
        <f t="shared" si="311"/>
        <v>6.1773375816217291</v>
      </c>
      <c r="T110" s="315">
        <f t="shared" si="311"/>
        <v>6.8015940759447817</v>
      </c>
      <c r="U110" s="315">
        <f t="shared" si="311"/>
        <v>7.8988387961489268</v>
      </c>
      <c r="V110" s="315">
        <f t="shared" si="311"/>
        <v>9.3898167914105919</v>
      </c>
      <c r="X110" s="195">
        <f t="shared" si="297"/>
        <v>6.2383982101543394</v>
      </c>
      <c r="Y110" s="195">
        <f t="shared" si="298"/>
        <v>6.3033094012977324</v>
      </c>
      <c r="Z110" s="195">
        <f t="shared" si="299"/>
        <v>6.3463566012726167</v>
      </c>
      <c r="AA110" s="195">
        <f t="shared" si="300"/>
        <v>6.1134257010113879</v>
      </c>
      <c r="AB110" s="195">
        <f t="shared" si="301"/>
        <v>6.1773375816217291</v>
      </c>
      <c r="AC110" s="315">
        <f>AC50</f>
        <v>6.4676501119719925</v>
      </c>
      <c r="AD110" s="315">
        <f>AD50</f>
        <v>6.9372305636258043</v>
      </c>
      <c r="AE110" s="315">
        <f>AE50</f>
        <v>7.3367644588294523</v>
      </c>
    </row>
    <row r="111" spans="1:47">
      <c r="A111" s="194" t="s">
        <v>16</v>
      </c>
      <c r="C111" s="238" t="s">
        <v>5</v>
      </c>
      <c r="D111" s="194" t="s">
        <v>173</v>
      </c>
      <c r="E111" s="195">
        <f t="shared" ref="E111" si="312">SUM(E107:E110)</f>
        <v>94.030408240004007</v>
      </c>
      <c r="F111" s="195">
        <f t="shared" si="302"/>
        <v>102.81943625320686</v>
      </c>
      <c r="G111" s="195">
        <f t="shared" si="303"/>
        <v>108.69572437319532</v>
      </c>
      <c r="H111" s="195">
        <f t="shared" si="304"/>
        <v>113.71226614204075</v>
      </c>
      <c r="I111" s="195">
        <f t="shared" si="305"/>
        <v>108.87052968990376</v>
      </c>
      <c r="J111" s="195">
        <f t="shared" si="306"/>
        <v>109.53491841299562</v>
      </c>
      <c r="K111" s="195">
        <f t="shared" si="307"/>
        <v>140.13197135359277</v>
      </c>
      <c r="L111" s="195">
        <f t="shared" si="308"/>
        <v>185.58049345097663</v>
      </c>
      <c r="M111" s="195">
        <f t="shared" si="309"/>
        <v>234.72384695193867</v>
      </c>
      <c r="N111" s="41"/>
      <c r="O111" s="195">
        <f>SUM(O107:O110)</f>
        <v>102.81943625320686</v>
      </c>
      <c r="P111" s="195">
        <f t="shared" ref="P111:V111" si="313">SUM(P107:P110)</f>
        <v>108.69572437319532</v>
      </c>
      <c r="Q111" s="195">
        <f t="shared" si="313"/>
        <v>113.71226614204075</v>
      </c>
      <c r="R111" s="195">
        <f t="shared" si="313"/>
        <v>108.87052968990376</v>
      </c>
      <c r="S111" s="195">
        <f t="shared" si="313"/>
        <v>109.53491841299562</v>
      </c>
      <c r="T111" s="315">
        <f t="shared" si="313"/>
        <v>140.13197135359277</v>
      </c>
      <c r="U111" s="315">
        <f t="shared" si="313"/>
        <v>185.58049345097663</v>
      </c>
      <c r="V111" s="315">
        <f t="shared" si="313"/>
        <v>234.72384695193867</v>
      </c>
      <c r="X111" s="195">
        <f t="shared" si="297"/>
        <v>102.81943625320686</v>
      </c>
      <c r="Y111" s="195">
        <f t="shared" si="298"/>
        <v>108.69572437319532</v>
      </c>
      <c r="Z111" s="195">
        <f t="shared" si="299"/>
        <v>113.71226614204075</v>
      </c>
      <c r="AA111" s="195">
        <f t="shared" si="300"/>
        <v>108.87052968990376</v>
      </c>
      <c r="AB111" s="195">
        <f t="shared" si="301"/>
        <v>109.53491841299562</v>
      </c>
      <c r="AC111" s="315">
        <f>SUM(AC107:AC110)</f>
        <v>125.81664118335159</v>
      </c>
      <c r="AD111" s="315">
        <f>SUM(AD107:AD110)</f>
        <v>146.78767131023747</v>
      </c>
      <c r="AE111" s="315">
        <f>SUM(AE107:AE110)</f>
        <v>160.6245525895734</v>
      </c>
    </row>
    <row r="112" spans="1:47">
      <c r="A112" s="194" t="s">
        <v>16</v>
      </c>
      <c r="C112" s="238"/>
      <c r="E112" s="243">
        <f>SUM(E149:E151)</f>
        <v>94.030408240004007</v>
      </c>
      <c r="F112" s="243">
        <f t="shared" ref="F112:L112" si="314">SUM(F149:F151)</f>
        <v>102.81943625320687</v>
      </c>
      <c r="G112" s="243">
        <f t="shared" si="314"/>
        <v>108.69572437319532</v>
      </c>
      <c r="H112" s="243">
        <f t="shared" si="314"/>
        <v>113.71226614204075</v>
      </c>
      <c r="I112" s="243">
        <f t="shared" si="314"/>
        <v>108.87052968990378</v>
      </c>
      <c r="J112" s="243">
        <f t="shared" si="314"/>
        <v>109.53491841299562</v>
      </c>
      <c r="K112" s="243">
        <f t="shared" si="314"/>
        <v>140.13197135359277</v>
      </c>
      <c r="L112" s="243">
        <f t="shared" si="314"/>
        <v>185.58049345097663</v>
      </c>
      <c r="M112" s="243">
        <f>SUM(M149:M151)</f>
        <v>234.72384695193867</v>
      </c>
      <c r="N112" s="41"/>
    </row>
    <row r="113" spans="1:47" ht="15.75" thickBot="1">
      <c r="A113" s="194" t="s">
        <v>16</v>
      </c>
      <c r="C113" s="237" t="s">
        <v>182</v>
      </c>
      <c r="F113" s="308">
        <f>F$12</f>
        <v>2015</v>
      </c>
      <c r="G113" s="308">
        <f t="shared" ref="G113:M113" si="315">G$12</f>
        <v>2017</v>
      </c>
      <c r="H113" s="308">
        <f t="shared" si="315"/>
        <v>2019</v>
      </c>
      <c r="I113" s="308">
        <f t="shared" si="315"/>
        <v>2020</v>
      </c>
      <c r="J113" s="308">
        <f t="shared" si="315"/>
        <v>2021</v>
      </c>
      <c r="K113" s="308">
        <f t="shared" si="315"/>
        <v>2030</v>
      </c>
      <c r="L113" s="308">
        <f t="shared" si="315"/>
        <v>2040</v>
      </c>
      <c r="M113" s="308">
        <f t="shared" si="315"/>
        <v>2050</v>
      </c>
      <c r="N113" s="41"/>
      <c r="O113" s="308">
        <f>O$12</f>
        <v>2015</v>
      </c>
      <c r="P113" s="308">
        <f t="shared" si="177"/>
        <v>2017</v>
      </c>
      <c r="Q113" s="308">
        <f t="shared" si="177"/>
        <v>2019</v>
      </c>
      <c r="R113" s="308">
        <f t="shared" si="177"/>
        <v>2020</v>
      </c>
      <c r="S113" s="308">
        <f t="shared" si="177"/>
        <v>2021</v>
      </c>
      <c r="T113" s="308">
        <f t="shared" si="177"/>
        <v>2030</v>
      </c>
      <c r="U113" s="308">
        <f t="shared" si="177"/>
        <v>2040</v>
      </c>
      <c r="V113" s="308">
        <f t="shared" si="177"/>
        <v>2050</v>
      </c>
    </row>
    <row r="114" spans="1:47">
      <c r="A114" s="194" t="s">
        <v>16</v>
      </c>
      <c r="C114" s="39" t="str">
        <f>C93</f>
        <v>Low Income</v>
      </c>
      <c r="E114" s="195"/>
      <c r="F114" s="195"/>
      <c r="G114" s="195"/>
      <c r="H114" s="195"/>
      <c r="I114" s="195"/>
      <c r="J114" s="195"/>
      <c r="K114" s="195"/>
      <c r="L114" s="195"/>
      <c r="M114" s="195"/>
      <c r="N114" s="41"/>
    </row>
    <row r="115" spans="1:47">
      <c r="A115" s="194" t="s">
        <v>16</v>
      </c>
      <c r="C115" s="194" t="s">
        <v>63</v>
      </c>
      <c r="D115" s="194" t="s">
        <v>136</v>
      </c>
      <c r="E115" s="195">
        <f t="shared" ref="E115:G115" si="316">E$64*(1-E$73)*E68*(E75*E78+E93*E94)/1000</f>
        <v>1.2530453801078352E-2</v>
      </c>
      <c r="F115" s="195">
        <f t="shared" si="316"/>
        <v>1.2624609164603546E-2</v>
      </c>
      <c r="G115" s="195">
        <f t="shared" si="316"/>
        <v>0.63644513313511442</v>
      </c>
      <c r="H115" s="195">
        <f t="shared" ref="H115:J115" si="317">H$64*(1-H$73)*H68*(H75*H78+H93*H94)/1000</f>
        <v>1.2759279712754543</v>
      </c>
      <c r="I115" s="195">
        <f t="shared" si="317"/>
        <v>1.3328361613181838</v>
      </c>
      <c r="J115" s="195">
        <f t="shared" si="317"/>
        <v>4.19936425879418</v>
      </c>
      <c r="K115" s="195">
        <f>K$64*(1-K$73)*K68*(K75*K78+K93*K94)/1000</f>
        <v>6.6675584370136987</v>
      </c>
      <c r="L115" s="195">
        <f>L$64*(1-L$73)*L68*(L75*L78+L93*L94)/1000</f>
        <v>11.487289030956196</v>
      </c>
      <c r="M115" s="195">
        <f>M$64*(1-M$73)*M68*(M75*M78+M93*M94)/1000</f>
        <v>14.075225967829654</v>
      </c>
      <c r="N115" s="252"/>
      <c r="O115" s="195">
        <f>O$64*(1-O$73)*O68*(O75*O78+O93*O94)/1000</f>
        <v>1.2624609164603546E-2</v>
      </c>
      <c r="P115" s="195">
        <f t="shared" ref="P115:S115" si="318">P$64*(1-P$73)*P68*(P75*P78+P93*P94)/1000</f>
        <v>0.63644513313511442</v>
      </c>
      <c r="Q115" s="195">
        <f t="shared" si="318"/>
        <v>1.2759279712754543</v>
      </c>
      <c r="R115" s="195">
        <f t="shared" si="318"/>
        <v>1.3328361613181838</v>
      </c>
      <c r="S115" s="195">
        <f t="shared" si="318"/>
        <v>4.19936425879418</v>
      </c>
      <c r="T115" s="315">
        <f>T$64*(1-T$73)*T68*(T75*T78+T93*T94)/1000</f>
        <v>6.6675584370136987</v>
      </c>
      <c r="U115" s="315">
        <f>U$64*(1-U$73)*U68*(U75*U78+U93*U94)/1000</f>
        <v>11.487289030956196</v>
      </c>
      <c r="V115" s="315">
        <f>V$64*(1-V$73)*V68*(V75*V78+V93*V94)/1000</f>
        <v>14.075225967829654</v>
      </c>
      <c r="W115" s="251"/>
      <c r="X115" s="195">
        <f>O115</f>
        <v>1.2624609164603546E-2</v>
      </c>
      <c r="Y115" s="195">
        <f t="shared" ref="Y115:AB117" si="319">P115</f>
        <v>0.63644513313511442</v>
      </c>
      <c r="Z115" s="195">
        <f t="shared" si="319"/>
        <v>1.2759279712754543</v>
      </c>
      <c r="AA115" s="195">
        <f t="shared" si="319"/>
        <v>1.3328361613181838</v>
      </c>
      <c r="AB115" s="195">
        <f t="shared" si="319"/>
        <v>4.19936425879418</v>
      </c>
      <c r="AC115" s="315">
        <f>AC$64*(1-AC$73)*AC68*(AC75*AC78+AC93*AC94)/1000</f>
        <v>9.334581811819179</v>
      </c>
      <c r="AD115" s="315">
        <f>AD$64*(1-AD$73)*AD68*(AD75*AD78+AD93*AD94)/1000</f>
        <v>22.74483228129327</v>
      </c>
      <c r="AE115" s="315">
        <f>AE$64*(1-AE$73)*AE68*(AE75*AE78+AE93*AE94)/1000</f>
        <v>36.970926875499224</v>
      </c>
      <c r="AF115" s="251"/>
      <c r="AG115" s="251"/>
      <c r="AH115" s="251"/>
      <c r="AI115" s="251"/>
      <c r="AJ115" s="251"/>
      <c r="AK115" s="251"/>
      <c r="AL115" s="251"/>
      <c r="AM115" s="251"/>
      <c r="AN115" s="251"/>
      <c r="AO115" s="251"/>
      <c r="AP115" s="251"/>
      <c r="AQ115" s="251"/>
      <c r="AR115" s="251"/>
      <c r="AS115" s="251"/>
      <c r="AT115" s="251"/>
      <c r="AU115" s="251"/>
    </row>
    <row r="116" spans="1:47">
      <c r="A116" s="194" t="s">
        <v>16</v>
      </c>
      <c r="C116" s="194" t="s">
        <v>82</v>
      </c>
      <c r="D116" s="194" t="s">
        <v>136</v>
      </c>
      <c r="E116" s="195">
        <f t="shared" ref="E116:G116" si="320">E$64*(1-E$73)*E69*(E75*E79+E93*E95)/1000</f>
        <v>0</v>
      </c>
      <c r="F116" s="195">
        <f t="shared" si="320"/>
        <v>0</v>
      </c>
      <c r="G116" s="195">
        <f t="shared" si="320"/>
        <v>0</v>
      </c>
      <c r="H116" s="195">
        <f t="shared" ref="H116:J116" si="321">H$64*(1-H$73)*H69*(H75*H79+H93*H95)/1000</f>
        <v>1.7184215101352925E-2</v>
      </c>
      <c r="I116" s="195">
        <f t="shared" si="321"/>
        <v>1.7950655371288673E-2</v>
      </c>
      <c r="J116" s="195">
        <f t="shared" si="321"/>
        <v>1.8694999482667469E-2</v>
      </c>
      <c r="K116" s="195">
        <f>K$64*(1-K$73)*K69*(K75*K79+K93*K95)/1000</f>
        <v>1.7780155832036529E-2</v>
      </c>
      <c r="L116" s="195">
        <f>L$64*(1-L$73)*L69*(L75*L79+L93*L95)/1000</f>
        <v>1.5316385374608265E-2</v>
      </c>
      <c r="M116" s="195">
        <f>M$64*(1-M$73)*M69*(M75*M79+M93*M95)/1000</f>
        <v>1.2511311971404137E-2</v>
      </c>
      <c r="N116" s="252"/>
      <c r="O116" s="195">
        <f>O$64*(1-O$73)*O69*(O75*O79+O93*O95)/1000</f>
        <v>0</v>
      </c>
      <c r="P116" s="195">
        <f t="shared" ref="P116:S116" si="322">P$64*(1-P$73)*P69*(P75*P79+P93*P95)/1000</f>
        <v>0</v>
      </c>
      <c r="Q116" s="195">
        <f t="shared" si="322"/>
        <v>1.7184215101352925E-2</v>
      </c>
      <c r="R116" s="195">
        <f t="shared" si="322"/>
        <v>1.7950655371288673E-2</v>
      </c>
      <c r="S116" s="195">
        <f t="shared" si="322"/>
        <v>1.8694999482667469E-2</v>
      </c>
      <c r="T116" s="315">
        <f>T$64*(1-T$73)*T69*(T75*T79+T93*T95)/1000</f>
        <v>1.7780155832036529E-2</v>
      </c>
      <c r="U116" s="315">
        <f>U$64*(1-U$73)*U69*(U75*U79+U93*U95)/1000</f>
        <v>1.5316385374608265E-2</v>
      </c>
      <c r="V116" s="315">
        <f>V$64*(1-V$73)*V69*(V75*V79+V93*V95)/1000</f>
        <v>1.2511311971404137E-2</v>
      </c>
      <c r="W116" s="251"/>
      <c r="X116" s="195">
        <f t="shared" ref="X116:X117" si="323">O116</f>
        <v>0</v>
      </c>
      <c r="Y116" s="195">
        <f t="shared" si="319"/>
        <v>0</v>
      </c>
      <c r="Z116" s="195">
        <f t="shared" si="319"/>
        <v>1.7184215101352925E-2</v>
      </c>
      <c r="AA116" s="195">
        <f t="shared" si="319"/>
        <v>1.7950655371288673E-2</v>
      </c>
      <c r="AB116" s="195">
        <f t="shared" si="319"/>
        <v>1.8694999482667469E-2</v>
      </c>
      <c r="AC116" s="315">
        <f>AC$64*(1-AC$73)*AC69*(AC75*AC79+AC93*AC95)/1000</f>
        <v>0</v>
      </c>
      <c r="AD116" s="315">
        <f>AD$64*(1-AD$73)*AD69*(AD75*AD79+AD93*AD95)/1000</f>
        <v>0</v>
      </c>
      <c r="AE116" s="315">
        <f>AE$64*(1-AE$73)*AE69*(AE75*AE79+AE93*AE95)/1000</f>
        <v>0</v>
      </c>
      <c r="AF116" s="251"/>
      <c r="AG116" s="251"/>
      <c r="AH116" s="251"/>
      <c r="AI116" s="251"/>
      <c r="AJ116" s="251"/>
      <c r="AK116" s="251"/>
      <c r="AL116" s="251"/>
      <c r="AM116" s="251"/>
      <c r="AN116" s="251"/>
      <c r="AO116" s="251"/>
      <c r="AP116" s="251"/>
      <c r="AQ116" s="251"/>
      <c r="AR116" s="251"/>
      <c r="AS116" s="251"/>
      <c r="AT116" s="251"/>
      <c r="AU116" s="251"/>
    </row>
    <row r="117" spans="1:47">
      <c r="A117" s="194" t="s">
        <v>16</v>
      </c>
      <c r="C117" s="194" t="s">
        <v>81</v>
      </c>
      <c r="D117" s="194" t="s">
        <v>136</v>
      </c>
      <c r="E117" s="195">
        <f>E$64*(1-E$73)*E70*(E75*E80+E93*E96)/1000</f>
        <v>83.494005740008035</v>
      </c>
      <c r="F117" s="195">
        <f t="shared" ref="F117:G117" si="324">F$64*(1-F$73)*F70*(F75*F80+F93*F96)/1000</f>
        <v>83.727843954152846</v>
      </c>
      <c r="G117" s="195">
        <f t="shared" si="324"/>
        <v>84.00371947599632</v>
      </c>
      <c r="H117" s="195">
        <f t="shared" ref="H117:J117" si="325">H$64*(1-H$73)*H70*(H75*H80+H93*H96)/1000</f>
        <v>84.625133218611651</v>
      </c>
      <c r="I117" s="195">
        <f t="shared" si="325"/>
        <v>88.39953371144037</v>
      </c>
      <c r="J117" s="195">
        <f t="shared" si="325"/>
        <v>90.190946088337625</v>
      </c>
      <c r="K117" s="195">
        <f>K$64*(1-K$73)*K70*(K75*K80+K93*K96)/1000</f>
        <v>83.994972941085464</v>
      </c>
      <c r="L117" s="195">
        <f>L$64*(1-L$73)*L70*(L75*L80+L93*L96)/1000</f>
        <v>68.526814777071991</v>
      </c>
      <c r="M117" s="195">
        <f>M$64*(1-M$73)*M70*(M75*M80+M93*M96)/1000</f>
        <v>52.848849082924282</v>
      </c>
      <c r="N117" s="252"/>
      <c r="O117" s="195">
        <f>O$64*(1-O$73)*O70*(O75*O80+O93*O96)/1000</f>
        <v>83.727843954152846</v>
      </c>
      <c r="P117" s="195">
        <f t="shared" ref="P117:S117" si="326">P$64*(1-P$73)*P70*(P75*P80+P93*P96)/1000</f>
        <v>84.00371947599632</v>
      </c>
      <c r="Q117" s="195">
        <f t="shared" si="326"/>
        <v>84.625133218611651</v>
      </c>
      <c r="R117" s="195">
        <f t="shared" si="326"/>
        <v>88.39953371144037</v>
      </c>
      <c r="S117" s="195">
        <f t="shared" si="326"/>
        <v>90.190946088337625</v>
      </c>
      <c r="T117" s="315">
        <f>T$64*(1-T$73)*T70*(T75*T80+T93*T96)/1000</f>
        <v>83.994972941085464</v>
      </c>
      <c r="U117" s="315">
        <f>U$64*(1-U$73)*U70*(U75*U80+U93*U96)/1000</f>
        <v>68.526814777071991</v>
      </c>
      <c r="V117" s="315">
        <f>V$64*(1-V$73)*V70*(V75*V80+V93*V96)/1000</f>
        <v>52.848849082924282</v>
      </c>
      <c r="W117" s="251"/>
      <c r="X117" s="195">
        <f t="shared" si="323"/>
        <v>83.727843954152846</v>
      </c>
      <c r="Y117" s="195">
        <f t="shared" si="319"/>
        <v>84.00371947599632</v>
      </c>
      <c r="Z117" s="195">
        <f t="shared" si="319"/>
        <v>84.625133218611651</v>
      </c>
      <c r="AA117" s="195">
        <f t="shared" si="319"/>
        <v>88.39953371144037</v>
      </c>
      <c r="AB117" s="195">
        <f t="shared" si="319"/>
        <v>90.190946088337625</v>
      </c>
      <c r="AC117" s="315">
        <f>AC$64*(1-AC$73)*AC70*(AC75*AC80+AC93*AC96)/1000</f>
        <v>81.658176724437993</v>
      </c>
      <c r="AD117" s="315">
        <f>AD$64*(1-AD$73)*AD70*(AD75*AD80+AD93*AD96)/1000</f>
        <v>60.784593965585948</v>
      </c>
      <c r="AE117" s="315">
        <f>AE$64*(1-AE$73)*AE70*(AE75*AE80+AE93*AE96)/1000</f>
        <v>37.44179926107136</v>
      </c>
      <c r="AF117" s="251"/>
      <c r="AG117" s="251"/>
      <c r="AH117" s="251"/>
      <c r="AI117" s="251"/>
      <c r="AJ117" s="251"/>
      <c r="AK117" s="251"/>
      <c r="AL117" s="251"/>
      <c r="AM117" s="251"/>
      <c r="AN117" s="251"/>
      <c r="AO117" s="251"/>
      <c r="AP117" s="251"/>
      <c r="AQ117" s="251"/>
      <c r="AR117" s="251"/>
      <c r="AS117" s="251"/>
      <c r="AT117" s="251"/>
      <c r="AU117" s="251"/>
    </row>
    <row r="118" spans="1:47">
      <c r="A118" s="194" t="s">
        <v>16</v>
      </c>
      <c r="C118" s="39" t="str">
        <f>C97</f>
        <v>Middle Income</v>
      </c>
      <c r="E118" s="195"/>
      <c r="F118" s="195"/>
      <c r="G118" s="195"/>
      <c r="H118" s="195"/>
      <c r="I118" s="195"/>
      <c r="J118" s="195"/>
      <c r="K118" s="195"/>
      <c r="L118" s="195"/>
      <c r="M118" s="195"/>
      <c r="N118" s="41"/>
      <c r="O118" s="195"/>
      <c r="P118" s="195"/>
      <c r="Q118" s="195"/>
      <c r="R118" s="195"/>
      <c r="S118" s="195"/>
      <c r="T118" s="195"/>
      <c r="U118" s="195"/>
      <c r="V118" s="195"/>
      <c r="X118" s="195"/>
      <c r="AA118" s="195"/>
      <c r="AC118" s="195"/>
      <c r="AD118" s="195"/>
      <c r="AE118" s="195"/>
    </row>
    <row r="119" spans="1:47">
      <c r="A119" s="194" t="s">
        <v>16</v>
      </c>
      <c r="C119" s="194" t="str">
        <f>C115</f>
        <v>BRT</v>
      </c>
      <c r="D119" s="194" t="s">
        <v>136</v>
      </c>
      <c r="E119" s="195">
        <f t="shared" ref="E119:G119" si="327">E$64*(1-E$73)*E68*(E81*E83+E97*E98)/1000</f>
        <v>0.39846843087429162</v>
      </c>
      <c r="F119" s="195">
        <f t="shared" si="327"/>
        <v>0.42135045049674519</v>
      </c>
      <c r="G119" s="195">
        <f t="shared" si="327"/>
        <v>0.63377332369416362</v>
      </c>
      <c r="H119" s="195">
        <f t="shared" ref="H119:J119" si="328">H$64*(1-H$73)*H68*(H81*H83+H97*H98)/1000</f>
        <v>0.87288439299619169</v>
      </c>
      <c r="I119" s="195">
        <f t="shared" si="328"/>
        <v>0.91957355796629303</v>
      </c>
      <c r="J119" s="195">
        <f t="shared" si="328"/>
        <v>2.6445164203787086</v>
      </c>
      <c r="K119" s="195">
        <f>K$64*(1-K$73)*K68*(K81*K83+K97*K98)/1000</f>
        <v>5.1285046445611622</v>
      </c>
      <c r="L119" s="195">
        <f>L$64*(1-L$73)*L68*(L81*L83+L97*L98)/1000</f>
        <v>11.816752495287997</v>
      </c>
      <c r="M119" s="195">
        <f>M$64*(1-M$73)*M68*(M81*M83+M97*M98)/1000</f>
        <v>19.627616932091286</v>
      </c>
      <c r="N119" s="252"/>
      <c r="O119" s="195">
        <f>O$64*(1-O$73)*O68*(O81*O83+O97*O98)/1000</f>
        <v>0.42135045049674519</v>
      </c>
      <c r="P119" s="195">
        <f t="shared" ref="P119:S119" si="329">P$64*(1-P$73)*P68*(P81*P83+P97*P98)/1000</f>
        <v>0.63377332369416362</v>
      </c>
      <c r="Q119" s="195">
        <f t="shared" si="329"/>
        <v>0.87288439299619169</v>
      </c>
      <c r="R119" s="195">
        <f t="shared" si="329"/>
        <v>0.91957355796629303</v>
      </c>
      <c r="S119" s="195">
        <f t="shared" si="329"/>
        <v>2.6445164203787086</v>
      </c>
      <c r="T119" s="315">
        <f>T$64*(1-T$73)*T68*(T81*T83+T97*T98)/1000</f>
        <v>5.1285046445611622</v>
      </c>
      <c r="U119" s="315">
        <f>U$64*(1-U$73)*U68*(U81*U83+U97*U98)/1000</f>
        <v>11.816752495287997</v>
      </c>
      <c r="V119" s="315">
        <f>V$64*(1-V$73)*V68*(V81*V83+V97*V98)/1000</f>
        <v>19.627616932091286</v>
      </c>
      <c r="W119" s="251"/>
      <c r="X119" s="195">
        <f>O119</f>
        <v>0.42135045049674519</v>
      </c>
      <c r="Y119" s="195">
        <f t="shared" ref="Y119:AB119" si="330">P119</f>
        <v>0.63377332369416362</v>
      </c>
      <c r="Z119" s="195">
        <f t="shared" si="330"/>
        <v>0.87288439299619169</v>
      </c>
      <c r="AA119" s="195">
        <f t="shared" si="330"/>
        <v>0.91957355796629303</v>
      </c>
      <c r="AB119" s="195">
        <f t="shared" si="330"/>
        <v>2.6445164203787086</v>
      </c>
      <c r="AC119" s="315">
        <f>AC$64*(1-AC$73)*AC68*(AC81*AC83+AC97*AC98)/1000</f>
        <v>7.1799065023856272</v>
      </c>
      <c r="AD119" s="315">
        <f>AD$64*(1-AD$73)*AD68*(AD81*AD83+AD97*AD98)/1000</f>
        <v>20.807380921921673</v>
      </c>
      <c r="AE119" s="315">
        <f>AE$64*(1-AE$73)*AE68*(AE81*AE83+AE97*AE98)/1000</f>
        <v>43.421350943319666</v>
      </c>
      <c r="AF119" s="251"/>
      <c r="AG119" s="251"/>
      <c r="AH119" s="251"/>
      <c r="AI119" s="251"/>
      <c r="AJ119" s="251"/>
      <c r="AK119" s="251"/>
      <c r="AL119" s="251"/>
      <c r="AM119" s="251"/>
      <c r="AN119" s="251"/>
      <c r="AO119" s="251"/>
      <c r="AP119" s="251"/>
      <c r="AQ119" s="251"/>
      <c r="AR119" s="251"/>
      <c r="AS119" s="251"/>
      <c r="AT119" s="251"/>
      <c r="AU119" s="251"/>
    </row>
    <row r="120" spans="1:47">
      <c r="A120" s="194" t="s">
        <v>16</v>
      </c>
      <c r="C120" s="194" t="str">
        <f>C116</f>
        <v>Gautrain</v>
      </c>
      <c r="D120" s="194" t="s">
        <v>136</v>
      </c>
      <c r="E120" s="195">
        <f t="shared" ref="E120:G120" si="331">E$64*(1-E$73)*E69*(E81*E84+E97*E99)/1000</f>
        <v>0.20048726081725365</v>
      </c>
      <c r="F120" s="195">
        <f t="shared" si="331"/>
        <v>0.21200022666502907</v>
      </c>
      <c r="G120" s="195">
        <f t="shared" si="331"/>
        <v>0.22092316294349934</v>
      </c>
      <c r="H120" s="195">
        <f t="shared" ref="H120:J120" si="332">H$64*(1-H$73)*H69*(H81*H84+H97*H99)/1000</f>
        <v>0.23276917146565113</v>
      </c>
      <c r="I120" s="195">
        <f t="shared" si="332"/>
        <v>0.24521961545767818</v>
      </c>
      <c r="J120" s="195">
        <f t="shared" si="332"/>
        <v>0.23506812625588516</v>
      </c>
      <c r="K120" s="195">
        <f>K$64*(1-K$73)*K69*(K81*K84+K97*K99)/1000</f>
        <v>0.27352024770992867</v>
      </c>
      <c r="L120" s="195">
        <f>L$64*(1-L$73)*L69*(L81*L84+L97*L99)/1000</f>
        <v>0.31511339987434661</v>
      </c>
      <c r="M120" s="195">
        <f>M$64*(1-M$73)*M69*(M81*M84+M97*M99)/1000</f>
        <v>0.34893541212606738</v>
      </c>
      <c r="N120" s="252"/>
      <c r="O120" s="195">
        <f>O$64*(1-O$73)*O69*(O81*O84+O97*O99)/1000</f>
        <v>0.21200022666502907</v>
      </c>
      <c r="P120" s="195">
        <f t="shared" ref="P120:S120" si="333">P$64*(1-P$73)*P69*(P81*P84+P97*P99)/1000</f>
        <v>0.22092316294349934</v>
      </c>
      <c r="Q120" s="195">
        <f t="shared" si="333"/>
        <v>0.23276917146565113</v>
      </c>
      <c r="R120" s="195">
        <f t="shared" si="333"/>
        <v>0.24521961545767818</v>
      </c>
      <c r="S120" s="195">
        <f t="shared" si="333"/>
        <v>0.23506812625588516</v>
      </c>
      <c r="T120" s="315">
        <f>T$64*(1-T$73)*T69*(T81*T84+T97*T99)/1000</f>
        <v>0.27352024770992867</v>
      </c>
      <c r="U120" s="315">
        <f>U$64*(1-U$73)*U69*(U81*U84+U97*U99)/1000</f>
        <v>0.31511339987434661</v>
      </c>
      <c r="V120" s="315">
        <f>V$64*(1-V$73)*V69*(V81*V84+V97*V99)/1000</f>
        <v>0.34893541212606738</v>
      </c>
      <c r="W120" s="251"/>
      <c r="X120" s="195">
        <f t="shared" ref="X120:X121" si="334">O120</f>
        <v>0.21200022666502907</v>
      </c>
      <c r="Y120" s="195">
        <f t="shared" ref="Y120:Y121" si="335">P120</f>
        <v>0.22092316294349934</v>
      </c>
      <c r="Z120" s="195">
        <f t="shared" ref="Z120:Z121" si="336">Q120</f>
        <v>0.23276917146565113</v>
      </c>
      <c r="AA120" s="195">
        <f t="shared" ref="AA120:AA121" si="337">R120</f>
        <v>0.24521961545767818</v>
      </c>
      <c r="AB120" s="195">
        <f t="shared" ref="AB120:AB121" si="338">S120</f>
        <v>0.23506812625588516</v>
      </c>
      <c r="AC120" s="315">
        <f>AC$64*(1-AC$73)*AC69*(AC81*AC84+AC97*AC99)/1000</f>
        <v>1.3676012385496434</v>
      </c>
      <c r="AD120" s="315">
        <f>AD$64*(1-AD$73)*AD69*(AD81*AD84+AD97*AD99)/1000</f>
        <v>3.1511339987434654</v>
      </c>
      <c r="AE120" s="315">
        <f>AE$64*(1-AE$73)*AE69*(AE81*AE84+AE97*AE99)/1000</f>
        <v>5.2340311818910106</v>
      </c>
      <c r="AF120" s="251"/>
      <c r="AG120" s="251"/>
      <c r="AH120" s="251"/>
      <c r="AI120" s="251"/>
      <c r="AJ120" s="251"/>
      <c r="AK120" s="251"/>
      <c r="AL120" s="251"/>
      <c r="AM120" s="251"/>
      <c r="AN120" s="251"/>
      <c r="AO120" s="251"/>
      <c r="AP120" s="251"/>
      <c r="AQ120" s="251"/>
      <c r="AR120" s="251"/>
      <c r="AS120" s="251"/>
      <c r="AT120" s="251"/>
      <c r="AU120" s="251"/>
    </row>
    <row r="121" spans="1:47">
      <c r="A121" s="194" t="s">
        <v>16</v>
      </c>
      <c r="C121" s="194" t="str">
        <f>C117</f>
        <v>Bus, minibus, metro rail</v>
      </c>
      <c r="D121" s="194" t="s">
        <v>136</v>
      </c>
      <c r="E121" s="195">
        <f t="shared" ref="E121:G121" si="339">E$64*(1-E$73)*E70*(E81*E85+E97*E100)/1000</f>
        <v>35.621834779020006</v>
      </c>
      <c r="F121" s="195">
        <f t="shared" si="339"/>
        <v>37.667415957465934</v>
      </c>
      <c r="G121" s="195">
        <f t="shared" si="339"/>
        <v>39.123017905885959</v>
      </c>
      <c r="H121" s="195">
        <f t="shared" ref="H121:J121" si="340">H$64*(1-H$73)*H70*(H81*H85+H97*H100)/1000</f>
        <v>41.084061456347044</v>
      </c>
      <c r="I121" s="195">
        <f t="shared" si="340"/>
        <v>43.28158101147735</v>
      </c>
      <c r="J121" s="195">
        <f t="shared" si="340"/>
        <v>40.314489335101086</v>
      </c>
      <c r="K121" s="195">
        <f>K$64*(1-K$73)*K70*(K81*K85+K97*K100)/1000</f>
        <v>45.541476928997355</v>
      </c>
      <c r="L121" s="195">
        <f>L$64*(1-L$73)*L70*(L81*L85+L97*L100)/1000</f>
        <v>48.527873353612399</v>
      </c>
      <c r="M121" s="195">
        <f>M$64*(1-M$73)*M70*(M81*M85+M97*M100)/1000</f>
        <v>49.374814570892383</v>
      </c>
      <c r="N121" s="252"/>
      <c r="O121" s="195">
        <f>O$64*(1-O$73)*O70*(O81*O85+O97*O100)/1000</f>
        <v>37.667415957465934</v>
      </c>
      <c r="P121" s="195">
        <f t="shared" ref="P121:S121" si="341">P$64*(1-P$73)*P70*(P81*P85+P97*P100)/1000</f>
        <v>39.123017905885959</v>
      </c>
      <c r="Q121" s="195">
        <f t="shared" si="341"/>
        <v>41.084061456347044</v>
      </c>
      <c r="R121" s="195">
        <f t="shared" si="341"/>
        <v>43.28158101147735</v>
      </c>
      <c r="S121" s="195">
        <f t="shared" si="341"/>
        <v>40.314489335101086</v>
      </c>
      <c r="T121" s="315">
        <f>T$64*(1-T$73)*T70*(T81*T85+T97*T100)/1000</f>
        <v>45.541476928997355</v>
      </c>
      <c r="U121" s="315">
        <f>U$64*(1-U$73)*U70*(U81*U85+U97*U100)/1000</f>
        <v>48.527873353612399</v>
      </c>
      <c r="V121" s="315">
        <f>V$64*(1-V$73)*V70*(V81*V85+V97*V100)/1000</f>
        <v>49.374814570892383</v>
      </c>
      <c r="W121" s="251"/>
      <c r="X121" s="195">
        <f t="shared" si="334"/>
        <v>37.667415957465934</v>
      </c>
      <c r="Y121" s="195">
        <f t="shared" si="335"/>
        <v>39.123017905885959</v>
      </c>
      <c r="Z121" s="195">
        <f t="shared" si="336"/>
        <v>41.084061456347044</v>
      </c>
      <c r="AA121" s="195">
        <f t="shared" si="337"/>
        <v>43.28158101147735</v>
      </c>
      <c r="AB121" s="195">
        <f t="shared" si="338"/>
        <v>40.314489335101086</v>
      </c>
      <c r="AC121" s="315">
        <f>AC$64*(1-AC$73)*AC70*(AC81*AC85+AC97*AC100)/1000</f>
        <v>46.377047651151578</v>
      </c>
      <c r="AD121" s="315">
        <f>AD$64*(1-AD$73)*AD70*(AD81*AD85+AD97*AD100)/1000</f>
        <v>46.141586453303596</v>
      </c>
      <c r="AE121" s="315">
        <f>AE$64*(1-AE$73)*AE70*(AE81*AE85+AE97*AE100)/1000</f>
        <v>39.349464022266901</v>
      </c>
      <c r="AF121" s="251"/>
      <c r="AG121" s="251"/>
      <c r="AH121" s="251"/>
      <c r="AI121" s="251"/>
      <c r="AJ121" s="251"/>
      <c r="AK121" s="251"/>
      <c r="AL121" s="251"/>
      <c r="AM121" s="251"/>
      <c r="AN121" s="251"/>
      <c r="AO121" s="251"/>
      <c r="AP121" s="251"/>
      <c r="AQ121" s="251"/>
      <c r="AR121" s="251"/>
      <c r="AS121" s="251"/>
      <c r="AT121" s="251"/>
      <c r="AU121" s="251"/>
    </row>
    <row r="122" spans="1:47">
      <c r="A122" s="194" t="s">
        <v>16</v>
      </c>
      <c r="C122" s="39" t="str">
        <f>C101</f>
        <v>High Income</v>
      </c>
      <c r="E122" s="195"/>
      <c r="F122" s="195"/>
      <c r="G122" s="195"/>
      <c r="H122" s="195"/>
      <c r="I122" s="195"/>
      <c r="J122" s="195"/>
      <c r="K122" s="195"/>
      <c r="L122" s="195"/>
      <c r="M122" s="195"/>
      <c r="N122" s="41"/>
      <c r="O122" s="195"/>
      <c r="P122" s="195"/>
      <c r="Q122" s="195"/>
      <c r="R122" s="195"/>
      <c r="S122" s="195"/>
      <c r="T122" s="195"/>
      <c r="U122" s="195"/>
      <c r="V122" s="195"/>
      <c r="X122" s="195"/>
      <c r="AA122" s="195"/>
      <c r="AC122" s="195"/>
      <c r="AD122" s="195"/>
      <c r="AE122" s="195"/>
    </row>
    <row r="123" spans="1:47">
      <c r="A123" s="194" t="s">
        <v>16</v>
      </c>
      <c r="C123" s="194" t="str">
        <f>C119</f>
        <v>BRT</v>
      </c>
      <c r="D123" s="194" t="s">
        <v>136</v>
      </c>
      <c r="E123" s="195">
        <f t="shared" ref="E123:G123" si="342">E$64*(1-E$73)*E68*(E86*E88+E101*E102)/1000</f>
        <v>0.11619123639851189</v>
      </c>
      <c r="F123" s="195">
        <f t="shared" si="342"/>
        <v>0.34776782851600568</v>
      </c>
      <c r="G123" s="195">
        <f t="shared" si="342"/>
        <v>0.3027773084206139</v>
      </c>
      <c r="H123" s="195">
        <f t="shared" ref="H123:J123" si="343">H$64*(1-H$73)*H68*(H86*H88+H101*H102)/1000</f>
        <v>0.39017981359122567</v>
      </c>
      <c r="I123" s="195">
        <f t="shared" si="343"/>
        <v>0.35385761315455111</v>
      </c>
      <c r="J123" s="195">
        <f t="shared" si="343"/>
        <v>0.49975067338144613</v>
      </c>
      <c r="K123" s="195">
        <f>K$64*(1-K$73)*K68*(K86*K88+K101*K102)/1000</f>
        <v>2.3985209366925826</v>
      </c>
      <c r="L123" s="195">
        <f>L$64*(1-L$73)*L68*(L86*L88+L101*L102)/1000</f>
        <v>3.681338027969947</v>
      </c>
      <c r="M123" s="195">
        <f>M$64*(1-M$73)*M68*(M86*M88+M101*M102)/1000</f>
        <v>5.1615200688439593</v>
      </c>
      <c r="N123" s="252"/>
      <c r="O123" s="195">
        <f>O$64*(1-O$73)*O68*(O86*O88+O101*O102)/1000</f>
        <v>0.34776782851600568</v>
      </c>
      <c r="P123" s="195">
        <f t="shared" ref="P123:S123" si="344">P$64*(1-P$73)*P68*(P86*P88+P101*P102)/1000</f>
        <v>0.3027773084206139</v>
      </c>
      <c r="Q123" s="195">
        <f t="shared" si="344"/>
        <v>0.39017981359122567</v>
      </c>
      <c r="R123" s="195">
        <f t="shared" si="344"/>
        <v>0.35385761315455111</v>
      </c>
      <c r="S123" s="195">
        <f t="shared" si="344"/>
        <v>0.49975067338144613</v>
      </c>
      <c r="T123" s="315">
        <f>T$64*(1-T$73)*T68*(T86*T88+T101*T102)/1000</f>
        <v>2.3985209366925826</v>
      </c>
      <c r="U123" s="315">
        <f>U$64*(1-U$73)*U68*(U86*U88+U101*U102)/1000</f>
        <v>3.681338027969947</v>
      </c>
      <c r="V123" s="315">
        <f>V$64*(1-V$73)*V68*(V86*V88+V101*V102)/1000</f>
        <v>5.1615200688439593</v>
      </c>
      <c r="W123" s="251"/>
      <c r="X123" s="195">
        <f>O123</f>
        <v>0.34776782851600568</v>
      </c>
      <c r="Y123" s="195">
        <f t="shared" ref="Y123:AB123" si="345">P123</f>
        <v>0.3027773084206139</v>
      </c>
      <c r="Z123" s="195">
        <f t="shared" si="345"/>
        <v>0.39017981359122567</v>
      </c>
      <c r="AA123" s="195">
        <f t="shared" si="345"/>
        <v>0.35385761315455111</v>
      </c>
      <c r="AB123" s="195">
        <f t="shared" si="345"/>
        <v>0.49975067338144613</v>
      </c>
      <c r="AC123" s="315">
        <f>AC$64*(1-AC$73)*AC68*(AC86*AC88+AC101*AC102)/1000</f>
        <v>3.2015284596598779</v>
      </c>
      <c r="AD123" s="315">
        <f>AD$64*(1-AD$73)*AD68*(AD86*AD88+AD101*AD102)/1000</f>
        <v>9.842046265789671</v>
      </c>
      <c r="AE123" s="315">
        <f>AE$64*(1-AE$73)*AE68*(AE86*AE88+AE101*AE102)/1000</f>
        <v>25.535852231387455</v>
      </c>
      <c r="AF123" s="251"/>
      <c r="AG123" s="251"/>
      <c r="AH123" s="251"/>
      <c r="AI123" s="251"/>
      <c r="AJ123" s="251"/>
      <c r="AK123" s="251"/>
      <c r="AL123" s="251"/>
      <c r="AM123" s="251"/>
      <c r="AN123" s="251"/>
      <c r="AO123" s="251"/>
      <c r="AP123" s="251"/>
      <c r="AQ123" s="251"/>
      <c r="AR123" s="251"/>
      <c r="AS123" s="251"/>
      <c r="AT123" s="251"/>
      <c r="AU123" s="251"/>
    </row>
    <row r="124" spans="1:47">
      <c r="A124" s="194" t="s">
        <v>16</v>
      </c>
      <c r="C124" s="194" t="str">
        <f>C120</f>
        <v>Gautrain</v>
      </c>
      <c r="D124" s="194" t="s">
        <v>136</v>
      </c>
      <c r="E124" s="195">
        <f t="shared" ref="E124:G124" si="346">E$64*(1-E$73)*E69*(E86*E89+E101*E103)/1000</f>
        <v>0.33403851956060127</v>
      </c>
      <c r="F124" s="195">
        <f t="shared" si="346"/>
        <v>0.37640513836747724</v>
      </c>
      <c r="G124" s="195">
        <f t="shared" si="346"/>
        <v>0.40370307789415188</v>
      </c>
      <c r="H124" s="195">
        <f t="shared" ref="H124:J124" si="347">H$64*(1-H$73)*H69*(H86*H89+H101*H103)/1000</f>
        <v>0.42230958323461604</v>
      </c>
      <c r="I124" s="195">
        <f t="shared" si="347"/>
        <v>0.38299639276637093</v>
      </c>
      <c r="J124" s="195">
        <f t="shared" si="347"/>
        <v>0.39296089501888232</v>
      </c>
      <c r="K124" s="195">
        <f>K$64*(1-K$73)*K69*(K86*K89+K101*K103)/1000</f>
        <v>0.53300465259835172</v>
      </c>
      <c r="L124" s="195">
        <f>L$64*(1-L$73)*L69*(L86*L89+L101*L103)/1000</f>
        <v>0.72523231389871978</v>
      </c>
      <c r="M124" s="195">
        <f>M$64*(1-M$73)*M69*(M86*M89+M101*M103)/1000</f>
        <v>0.91319391071212397</v>
      </c>
      <c r="N124" s="252"/>
      <c r="O124" s="195">
        <f>O$64*(1-O$73)*O69*(O86*O89+O101*O103)/1000</f>
        <v>0.37640513836747724</v>
      </c>
      <c r="P124" s="195">
        <f t="shared" ref="P124:S124" si="348">P$64*(1-P$73)*P69*(P86*P89+P101*P103)/1000</f>
        <v>0.40370307789415188</v>
      </c>
      <c r="Q124" s="195">
        <f t="shared" si="348"/>
        <v>0.42230958323461604</v>
      </c>
      <c r="R124" s="195">
        <f t="shared" si="348"/>
        <v>0.38299639276637093</v>
      </c>
      <c r="S124" s="195">
        <f t="shared" si="348"/>
        <v>0.39296089501888232</v>
      </c>
      <c r="T124" s="315">
        <f>T$64*(1-T$73)*T69*(T86*T89+T101*T103)/1000</f>
        <v>0.53300465259835172</v>
      </c>
      <c r="U124" s="315">
        <f>U$64*(1-U$73)*U69*(U86*U89+U101*U103)/1000</f>
        <v>0.72523231389871978</v>
      </c>
      <c r="V124" s="315">
        <f>V$64*(1-V$73)*V69*(V86*V89+V101*V103)/1000</f>
        <v>0.91319391071212397</v>
      </c>
      <c r="W124" s="251"/>
      <c r="X124" s="195">
        <f t="shared" ref="X124:X125" si="349">O124</f>
        <v>0.37640513836747724</v>
      </c>
      <c r="Y124" s="195">
        <f t="shared" ref="Y124:Y125" si="350">P124</f>
        <v>0.40370307789415188</v>
      </c>
      <c r="Z124" s="195">
        <f t="shared" ref="Z124:Z125" si="351">Q124</f>
        <v>0.42230958323461604</v>
      </c>
      <c r="AA124" s="195">
        <f t="shared" ref="AA124:AA125" si="352">R124</f>
        <v>0.38299639276637093</v>
      </c>
      <c r="AB124" s="195">
        <f t="shared" ref="AB124:AB125" si="353">S124</f>
        <v>0.39296089501888232</v>
      </c>
      <c r="AC124" s="315">
        <f>AC$64*(1-AC$73)*AC69*(AC86*AC89+AC101*AC103)/1000</f>
        <v>1.0660093051967032</v>
      </c>
      <c r="AD124" s="315">
        <f>AD$64*(1-AD$73)*AD69*(AD86*AD89+AD101*AD103)/1000</f>
        <v>4.3513938833923183</v>
      </c>
      <c r="AE124" s="315">
        <f>AE$64*(1-AE$73)*AE69*(AE86*AE89+AE101*AE103)/1000</f>
        <v>9.131939107121239</v>
      </c>
      <c r="AF124" s="251"/>
      <c r="AG124" s="251"/>
      <c r="AH124" s="251"/>
      <c r="AI124" s="251"/>
      <c r="AJ124" s="251"/>
      <c r="AK124" s="251"/>
      <c r="AL124" s="251"/>
      <c r="AM124" s="251"/>
      <c r="AN124" s="251"/>
      <c r="AO124" s="251"/>
      <c r="AP124" s="251"/>
      <c r="AQ124" s="251"/>
      <c r="AR124" s="251"/>
      <c r="AS124" s="251"/>
      <c r="AT124" s="251"/>
      <c r="AU124" s="251"/>
    </row>
    <row r="125" spans="1:47">
      <c r="A125" s="194" t="s">
        <v>16</v>
      </c>
      <c r="C125" s="194" t="str">
        <f>C121</f>
        <v>Bus, minibus, metro rail</v>
      </c>
      <c r="D125" s="194" t="s">
        <v>136</v>
      </c>
      <c r="E125" s="195">
        <f t="shared" ref="E125:G125" si="354">E$64*(1-E$73)*E70*(E86*E90+E101*E104)/1000</f>
        <v>12.147436423540704</v>
      </c>
      <c r="F125" s="195">
        <f t="shared" si="354"/>
        <v>13.543554534711278</v>
      </c>
      <c r="G125" s="195">
        <f t="shared" si="354"/>
        <v>14.572578225533515</v>
      </c>
      <c r="H125" s="195">
        <f t="shared" ref="H125:J125" si="355">H$64*(1-H$73)*H70*(H86*H90+H101*H104)/1000</f>
        <v>15.195257152640947</v>
      </c>
      <c r="I125" s="195">
        <f t="shared" si="355"/>
        <v>14.068499237689522</v>
      </c>
      <c r="J125" s="195">
        <f t="shared" si="355"/>
        <v>14.023165844344446</v>
      </c>
      <c r="K125" s="195">
        <f>K$64*(1-K$73)*K70*(K86*K90+K101*K104)/1000</f>
        <v>17.260395393116706</v>
      </c>
      <c r="L125" s="195">
        <f>L$64*(1-L$73)*L70*(L86*L90+L101*L104)/1000</f>
        <v>20.469004304661915</v>
      </c>
      <c r="M125" s="195">
        <f>M$64*(1-M$73)*M70*(M86*M90+M101*M104)/1000</f>
        <v>21.23030621260504</v>
      </c>
      <c r="N125" s="252"/>
      <c r="O125" s="195">
        <f>O$64*(1-O$73)*O70*(O86*O90+O101*O104)/1000</f>
        <v>13.543554534711278</v>
      </c>
      <c r="P125" s="195">
        <f t="shared" ref="P125:S125" si="356">P$64*(1-P$73)*P70*(P86*P90+P101*P104)/1000</f>
        <v>14.572578225533515</v>
      </c>
      <c r="Q125" s="195">
        <f t="shared" si="356"/>
        <v>15.195257152640947</v>
      </c>
      <c r="R125" s="195">
        <f t="shared" si="356"/>
        <v>14.068499237689522</v>
      </c>
      <c r="S125" s="195">
        <f t="shared" si="356"/>
        <v>14.023165844344446</v>
      </c>
      <c r="T125" s="315">
        <f>T$64*(1-T$73)*T70*(T86*T90+T101*T104)/1000</f>
        <v>17.260395393116706</v>
      </c>
      <c r="U125" s="315">
        <f>U$64*(1-U$73)*U70*(U86*U90+U101*U104)/1000</f>
        <v>20.469004304661915</v>
      </c>
      <c r="V125" s="315">
        <f>V$64*(1-V$73)*V70*(V86*V90+V101*V104)/1000</f>
        <v>21.23030621260504</v>
      </c>
      <c r="W125" s="251"/>
      <c r="X125" s="195">
        <f t="shared" si="349"/>
        <v>13.543554534711278</v>
      </c>
      <c r="Y125" s="195">
        <f t="shared" si="350"/>
        <v>14.572578225533515</v>
      </c>
      <c r="Z125" s="195">
        <f t="shared" si="351"/>
        <v>15.195257152640947</v>
      </c>
      <c r="AA125" s="195">
        <f t="shared" si="352"/>
        <v>14.068499237689522</v>
      </c>
      <c r="AB125" s="195">
        <f t="shared" si="353"/>
        <v>14.023165844344446</v>
      </c>
      <c r="AC125" s="315">
        <f>AC$64*(1-AC$73)*AC70*(AC86*AC90+AC101*AC104)/1000</f>
        <v>19.929083903674623</v>
      </c>
      <c r="AD125" s="315">
        <f>AD$64*(1-AD$73)*AD70*(AD86*AD90+AD101*AD104)/1000</f>
        <v>25.064391790329829</v>
      </c>
      <c r="AE125" s="315">
        <f>AE$64*(1-AE$73)*AE70*(AE86*AE90+AE101*AE104)/1000</f>
        <v>24.53820245671546</v>
      </c>
      <c r="AF125" s="251"/>
      <c r="AG125" s="251"/>
      <c r="AH125" s="251"/>
      <c r="AI125" s="251"/>
      <c r="AJ125" s="251"/>
      <c r="AK125" s="251"/>
      <c r="AL125" s="251"/>
      <c r="AM125" s="251"/>
      <c r="AN125" s="251"/>
      <c r="AO125" s="251"/>
      <c r="AP125" s="251"/>
      <c r="AQ125" s="251"/>
      <c r="AR125" s="251"/>
      <c r="AS125" s="251"/>
      <c r="AT125" s="251"/>
      <c r="AU125" s="251"/>
    </row>
    <row r="126" spans="1:47">
      <c r="A126" s="194" t="s">
        <v>16</v>
      </c>
      <c r="C126" s="39" t="s">
        <v>5</v>
      </c>
      <c r="E126" s="195"/>
      <c r="F126" s="195"/>
      <c r="G126" s="195"/>
      <c r="H126" s="195"/>
      <c r="I126" s="195"/>
      <c r="J126" s="195"/>
      <c r="K126" s="195"/>
      <c r="L126" s="195"/>
      <c r="M126" s="195"/>
      <c r="N126" s="41"/>
      <c r="O126" s="195"/>
      <c r="P126" s="195"/>
      <c r="Q126" s="195"/>
      <c r="R126" s="195"/>
      <c r="S126" s="195"/>
      <c r="T126" s="195"/>
      <c r="U126" s="195"/>
      <c r="V126" s="195"/>
      <c r="X126" s="195"/>
      <c r="AA126" s="195"/>
      <c r="AC126" s="195"/>
      <c r="AD126" s="195"/>
      <c r="AE126" s="195"/>
    </row>
    <row r="127" spans="1:47">
      <c r="A127" s="194" t="s">
        <v>16</v>
      </c>
      <c r="C127" s="194" t="str">
        <f>C123</f>
        <v>BRT</v>
      </c>
      <c r="D127" s="194" t="s">
        <v>136</v>
      </c>
      <c r="E127" s="195">
        <f t="shared" ref="E127:G129" si="357">E115+E119+E123</f>
        <v>0.52719012107388186</v>
      </c>
      <c r="F127" s="195">
        <f t="shared" si="357"/>
        <v>0.78174288817735449</v>
      </c>
      <c r="G127" s="195">
        <f t="shared" si="357"/>
        <v>1.572995765249892</v>
      </c>
      <c r="H127" s="195">
        <f t="shared" ref="H127:J127" si="358">H115+H119+H123</f>
        <v>2.5389921778628719</v>
      </c>
      <c r="I127" s="195">
        <f t="shared" si="358"/>
        <v>2.6062673324390282</v>
      </c>
      <c r="J127" s="195">
        <f t="shared" si="358"/>
        <v>7.3436313525543353</v>
      </c>
      <c r="K127" s="195">
        <f t="shared" ref="K127:M129" si="359">K115+K119+K123</f>
        <v>14.194584018267443</v>
      </c>
      <c r="L127" s="195">
        <f t="shared" si="359"/>
        <v>26.985379554214138</v>
      </c>
      <c r="M127" s="195">
        <f t="shared" si="359"/>
        <v>38.864362968764894</v>
      </c>
      <c r="N127" s="252"/>
      <c r="O127" s="195">
        <f t="shared" ref="O127:S129" si="360">O115+O119+O123</f>
        <v>0.78174288817735449</v>
      </c>
      <c r="P127" s="195">
        <f t="shared" si="360"/>
        <v>1.572995765249892</v>
      </c>
      <c r="Q127" s="195">
        <f t="shared" si="360"/>
        <v>2.5389921778628719</v>
      </c>
      <c r="R127" s="195">
        <f t="shared" si="360"/>
        <v>2.6062673324390282</v>
      </c>
      <c r="S127" s="195">
        <f t="shared" si="360"/>
        <v>7.3436313525543353</v>
      </c>
      <c r="T127" s="315">
        <f t="shared" ref="T127:V129" si="361">T115+T119+T123</f>
        <v>14.194584018267443</v>
      </c>
      <c r="U127" s="315">
        <f t="shared" si="361"/>
        <v>26.985379554214138</v>
      </c>
      <c r="V127" s="315">
        <f t="shared" si="361"/>
        <v>38.864362968764894</v>
      </c>
      <c r="W127" s="251"/>
      <c r="X127" s="195">
        <f>O127</f>
        <v>0.78174288817735449</v>
      </c>
      <c r="Y127" s="195">
        <f t="shared" ref="Y127:AB127" si="362">P127</f>
        <v>1.572995765249892</v>
      </c>
      <c r="Z127" s="195">
        <f t="shared" si="362"/>
        <v>2.5389921778628719</v>
      </c>
      <c r="AA127" s="195">
        <f t="shared" si="362"/>
        <v>2.6062673324390282</v>
      </c>
      <c r="AB127" s="195">
        <f t="shared" si="362"/>
        <v>7.3436313525543353</v>
      </c>
      <c r="AC127" s="315">
        <f t="shared" ref="AC127:AE129" si="363">AC115+AC119+AC123</f>
        <v>19.716016773864681</v>
      </c>
      <c r="AD127" s="315">
        <f t="shared" si="363"/>
        <v>53.394259469004616</v>
      </c>
      <c r="AE127" s="315">
        <f t="shared" si="363"/>
        <v>105.92813005020633</v>
      </c>
      <c r="AF127" s="251"/>
      <c r="AG127" s="251"/>
      <c r="AH127" s="251"/>
      <c r="AI127" s="251"/>
      <c r="AJ127" s="251"/>
      <c r="AK127" s="251"/>
      <c r="AL127" s="251"/>
      <c r="AM127" s="251"/>
      <c r="AN127" s="251"/>
      <c r="AO127" s="251"/>
      <c r="AP127" s="251"/>
      <c r="AQ127" s="251"/>
      <c r="AR127" s="251"/>
      <c r="AS127" s="251"/>
      <c r="AT127" s="251"/>
      <c r="AU127" s="251"/>
    </row>
    <row r="128" spans="1:47">
      <c r="A128" s="194" t="s">
        <v>16</v>
      </c>
      <c r="C128" s="194" t="str">
        <f>C124</f>
        <v>Gautrain</v>
      </c>
      <c r="D128" s="194" t="s">
        <v>136</v>
      </c>
      <c r="E128" s="195">
        <f t="shared" si="357"/>
        <v>0.53452578037785492</v>
      </c>
      <c r="F128" s="195">
        <f t="shared" si="357"/>
        <v>0.58840536503250629</v>
      </c>
      <c r="G128" s="195">
        <f t="shared" si="357"/>
        <v>0.62462624083765128</v>
      </c>
      <c r="H128" s="195">
        <f t="shared" ref="H128:J128" si="364">H116+H120+H124</f>
        <v>0.67226296980162004</v>
      </c>
      <c r="I128" s="195">
        <f t="shared" si="364"/>
        <v>0.64616666359533781</v>
      </c>
      <c r="J128" s="195">
        <f t="shared" si="364"/>
        <v>0.64672402075743496</v>
      </c>
      <c r="K128" s="195">
        <f t="shared" si="359"/>
        <v>0.82430505614031691</v>
      </c>
      <c r="L128" s="195">
        <f t="shared" si="359"/>
        <v>1.0556620991476746</v>
      </c>
      <c r="M128" s="195">
        <f t="shared" si="359"/>
        <v>1.2746406348095956</v>
      </c>
      <c r="N128" s="252"/>
      <c r="O128" s="195">
        <f t="shared" si="360"/>
        <v>0.58840536503250629</v>
      </c>
      <c r="P128" s="195">
        <f t="shared" si="360"/>
        <v>0.62462624083765128</v>
      </c>
      <c r="Q128" s="195">
        <f t="shared" si="360"/>
        <v>0.67226296980162004</v>
      </c>
      <c r="R128" s="195">
        <f t="shared" si="360"/>
        <v>0.64616666359533781</v>
      </c>
      <c r="S128" s="195">
        <f t="shared" si="360"/>
        <v>0.64672402075743496</v>
      </c>
      <c r="T128" s="315">
        <f t="shared" si="361"/>
        <v>0.82430505614031691</v>
      </c>
      <c r="U128" s="315">
        <f t="shared" si="361"/>
        <v>1.0556620991476746</v>
      </c>
      <c r="V128" s="315">
        <f t="shared" si="361"/>
        <v>1.2746406348095956</v>
      </c>
      <c r="W128" s="251"/>
      <c r="X128" s="195">
        <f>O128</f>
        <v>0.58840536503250629</v>
      </c>
      <c r="Y128" s="195">
        <f t="shared" ref="Y128" si="365">P128</f>
        <v>0.62462624083765128</v>
      </c>
      <c r="Z128" s="195">
        <f t="shared" ref="Z128" si="366">Q128</f>
        <v>0.67226296980162004</v>
      </c>
      <c r="AA128" s="195">
        <f t="shared" ref="AA128" si="367">R128</f>
        <v>0.64616666359533781</v>
      </c>
      <c r="AB128" s="195">
        <f t="shared" ref="AB128" si="368">S128</f>
        <v>0.64672402075743496</v>
      </c>
      <c r="AC128" s="315">
        <f t="shared" si="363"/>
        <v>2.4336105437463464</v>
      </c>
      <c r="AD128" s="315">
        <f t="shared" si="363"/>
        <v>7.5025278821357837</v>
      </c>
      <c r="AE128" s="315">
        <f t="shared" si="363"/>
        <v>14.36597028901225</v>
      </c>
      <c r="AF128" s="251"/>
      <c r="AG128" s="251"/>
      <c r="AH128" s="251"/>
      <c r="AI128" s="251"/>
      <c r="AJ128" s="251"/>
      <c r="AK128" s="251"/>
      <c r="AL128" s="251"/>
      <c r="AM128" s="251"/>
      <c r="AN128" s="251"/>
      <c r="AO128" s="251"/>
      <c r="AP128" s="251"/>
      <c r="AQ128" s="251"/>
      <c r="AR128" s="251"/>
      <c r="AS128" s="251"/>
      <c r="AT128" s="251"/>
      <c r="AU128" s="251"/>
    </row>
    <row r="129" spans="1:47">
      <c r="A129" s="194" t="s">
        <v>16</v>
      </c>
      <c r="C129" s="194" t="str">
        <f>C125</f>
        <v>Bus, minibus, metro rail</v>
      </c>
      <c r="D129" s="194" t="s">
        <v>136</v>
      </c>
      <c r="E129" s="195">
        <f t="shared" si="357"/>
        <v>131.26327694256875</v>
      </c>
      <c r="F129" s="195">
        <f t="shared" si="357"/>
        <v>134.93881444633007</v>
      </c>
      <c r="G129" s="195">
        <f t="shared" si="357"/>
        <v>137.6993156074158</v>
      </c>
      <c r="H129" s="195">
        <f t="shared" ref="H129:J129" si="369">H117+H121+H125</f>
        <v>140.90445182759964</v>
      </c>
      <c r="I129" s="195">
        <f t="shared" si="369"/>
        <v>145.74961396060723</v>
      </c>
      <c r="J129" s="195">
        <f t="shared" si="369"/>
        <v>144.52860126778316</v>
      </c>
      <c r="K129" s="195">
        <f t="shared" si="359"/>
        <v>146.79684526319954</v>
      </c>
      <c r="L129" s="195">
        <f t="shared" si="359"/>
        <v>137.52369243534631</v>
      </c>
      <c r="M129" s="195">
        <f t="shared" si="359"/>
        <v>123.4539698664217</v>
      </c>
      <c r="N129" s="252"/>
      <c r="O129" s="195">
        <f t="shared" si="360"/>
        <v>134.93881444633007</v>
      </c>
      <c r="P129" s="195">
        <f t="shared" si="360"/>
        <v>137.6993156074158</v>
      </c>
      <c r="Q129" s="195">
        <f t="shared" si="360"/>
        <v>140.90445182759964</v>
      </c>
      <c r="R129" s="195">
        <f t="shared" si="360"/>
        <v>145.74961396060723</v>
      </c>
      <c r="S129" s="195">
        <f t="shared" si="360"/>
        <v>144.52860126778316</v>
      </c>
      <c r="T129" s="315">
        <f t="shared" si="361"/>
        <v>146.79684526319954</v>
      </c>
      <c r="U129" s="315">
        <f t="shared" si="361"/>
        <v>137.52369243534631</v>
      </c>
      <c r="V129" s="315">
        <f t="shared" si="361"/>
        <v>123.4539698664217</v>
      </c>
      <c r="W129" s="251"/>
      <c r="X129" s="195">
        <f>X117+X121+X125</f>
        <v>134.93881444633007</v>
      </c>
      <c r="Y129" s="195">
        <f t="shared" ref="Y129:AB129" si="370">Y117+Y121+Y125</f>
        <v>137.6993156074158</v>
      </c>
      <c r="Z129" s="195">
        <f t="shared" si="370"/>
        <v>140.90445182759964</v>
      </c>
      <c r="AA129" s="195">
        <f t="shared" si="370"/>
        <v>145.74961396060723</v>
      </c>
      <c r="AB129" s="195">
        <f t="shared" si="370"/>
        <v>144.52860126778316</v>
      </c>
      <c r="AC129" s="315">
        <f t="shared" si="363"/>
        <v>147.96430827926417</v>
      </c>
      <c r="AD129" s="315">
        <f t="shared" si="363"/>
        <v>131.99057220921938</v>
      </c>
      <c r="AE129" s="315">
        <f t="shared" si="363"/>
        <v>101.32946574005371</v>
      </c>
      <c r="AF129" s="251"/>
      <c r="AG129" s="251"/>
      <c r="AH129" s="251"/>
      <c r="AI129" s="251"/>
      <c r="AJ129" s="251"/>
      <c r="AK129" s="251"/>
      <c r="AL129" s="251"/>
      <c r="AM129" s="251"/>
      <c r="AN129" s="251"/>
      <c r="AO129" s="251"/>
      <c r="AP129" s="251"/>
      <c r="AQ129" s="251"/>
      <c r="AR129" s="251"/>
      <c r="AS129" s="251"/>
      <c r="AT129" s="251"/>
      <c r="AU129" s="251"/>
    </row>
    <row r="130" spans="1:47">
      <c r="A130" s="194" t="s">
        <v>16</v>
      </c>
      <c r="L130" s="194"/>
      <c r="N130" s="41"/>
    </row>
    <row r="131" spans="1:47" ht="15.75" thickBot="1">
      <c r="A131" s="194" t="s">
        <v>16</v>
      </c>
      <c r="C131" s="237" t="s">
        <v>175</v>
      </c>
      <c r="E131" s="242"/>
      <c r="F131" s="308">
        <f>F$12</f>
        <v>2015</v>
      </c>
      <c r="G131" s="308">
        <f t="shared" ref="G131:M131" si="371">G$12</f>
        <v>2017</v>
      </c>
      <c r="H131" s="308">
        <f t="shared" si="371"/>
        <v>2019</v>
      </c>
      <c r="I131" s="308">
        <f t="shared" si="371"/>
        <v>2020</v>
      </c>
      <c r="J131" s="308">
        <f t="shared" si="371"/>
        <v>2021</v>
      </c>
      <c r="K131" s="308">
        <f t="shared" si="371"/>
        <v>2030</v>
      </c>
      <c r="L131" s="308">
        <f t="shared" si="371"/>
        <v>2040</v>
      </c>
      <c r="M131" s="308">
        <f t="shared" si="371"/>
        <v>2050</v>
      </c>
      <c r="N131" s="41"/>
      <c r="O131" s="308">
        <f>O$12</f>
        <v>2015</v>
      </c>
      <c r="P131" s="308">
        <f t="shared" ref="P131:V131" si="372">P$12</f>
        <v>2017</v>
      </c>
      <c r="Q131" s="308">
        <f t="shared" si="372"/>
        <v>2019</v>
      </c>
      <c r="R131" s="308">
        <f t="shared" si="372"/>
        <v>2020</v>
      </c>
      <c r="S131" s="308">
        <f t="shared" si="372"/>
        <v>2021</v>
      </c>
      <c r="T131" s="308">
        <f t="shared" si="372"/>
        <v>2030</v>
      </c>
      <c r="U131" s="308">
        <f t="shared" si="372"/>
        <v>2040</v>
      </c>
      <c r="V131" s="308">
        <f t="shared" si="372"/>
        <v>2050</v>
      </c>
      <c r="X131" s="194" t="s">
        <v>205</v>
      </c>
    </row>
    <row r="132" spans="1:47">
      <c r="A132" s="194" t="s">
        <v>16</v>
      </c>
      <c r="C132" s="238" t="s">
        <v>100</v>
      </c>
      <c r="E132" s="71">
        <f>[2]Calib_1011!M77</f>
        <v>0.86657939364773595</v>
      </c>
      <c r="F132" s="195">
        <f>IF($D$4,X132,O132)</f>
        <v>0.86657939364773595</v>
      </c>
      <c r="G132" s="195">
        <f t="shared" ref="G132:M134" si="373">IF($D$4,Y132,P132)</f>
        <v>0.86657939364773595</v>
      </c>
      <c r="H132" s="195">
        <f t="shared" si="373"/>
        <v>0.86657939364773595</v>
      </c>
      <c r="I132" s="195">
        <f t="shared" si="373"/>
        <v>0.86657939364773595</v>
      </c>
      <c r="J132" s="195">
        <f t="shared" si="373"/>
        <v>0.86657939364773595</v>
      </c>
      <c r="K132" s="195">
        <f t="shared" si="373"/>
        <v>0.86657939364773595</v>
      </c>
      <c r="L132" s="195">
        <f t="shared" si="373"/>
        <v>0.86657939364773595</v>
      </c>
      <c r="M132" s="195">
        <f t="shared" si="373"/>
        <v>0.86657939364773595</v>
      </c>
      <c r="N132" s="41"/>
      <c r="O132" s="241">
        <f>E132</f>
        <v>0.86657939364773595</v>
      </c>
      <c r="P132" s="241">
        <f t="shared" ref="P132" si="374">1-P133-P134</f>
        <v>0.86657939364773595</v>
      </c>
      <c r="Q132" s="241">
        <f t="shared" ref="Q132:V132" si="375">1-Q133-Q134</f>
        <v>0.86657939364773595</v>
      </c>
      <c r="R132" s="241">
        <f t="shared" si="375"/>
        <v>0.86657939364773595</v>
      </c>
      <c r="S132" s="241">
        <f t="shared" si="375"/>
        <v>0.86657939364773595</v>
      </c>
      <c r="T132" s="72">
        <f t="shared" si="375"/>
        <v>0.86657939364773595</v>
      </c>
      <c r="U132" s="72">
        <f t="shared" si="375"/>
        <v>0.86657939364773595</v>
      </c>
      <c r="V132" s="72">
        <f t="shared" si="375"/>
        <v>0.86657939364773595</v>
      </c>
      <c r="X132" s="241">
        <f>O132</f>
        <v>0.86657939364773595</v>
      </c>
      <c r="Y132" s="241">
        <f t="shared" ref="Y132:AB132" si="376">P132</f>
        <v>0.86657939364773595</v>
      </c>
      <c r="Z132" s="241">
        <f t="shared" si="376"/>
        <v>0.86657939364773595</v>
      </c>
      <c r="AA132" s="241">
        <f t="shared" si="376"/>
        <v>0.86657939364773595</v>
      </c>
      <c r="AB132" s="241">
        <f t="shared" si="376"/>
        <v>0.86657939364773595</v>
      </c>
      <c r="AC132" s="72">
        <f>1-AC133-AC134</f>
        <v>0.87608131506193443</v>
      </c>
      <c r="AD132" s="72">
        <f>1-AD133-AD134</f>
        <v>0.88608131506193444</v>
      </c>
      <c r="AE132" s="72">
        <f>1-AE133-AE134</f>
        <v>0.88608131506193444</v>
      </c>
    </row>
    <row r="133" spans="1:47">
      <c r="A133" s="194" t="s">
        <v>16</v>
      </c>
      <c r="C133" s="238" t="s">
        <v>99</v>
      </c>
      <c r="E133" s="71">
        <f>[2]Calib_1011!M78</f>
        <v>9.950192141419846E-2</v>
      </c>
      <c r="F133" s="195">
        <f t="shared" ref="F133:F134" si="377">IF($D$4,X133,O133)</f>
        <v>9.950192141419846E-2</v>
      </c>
      <c r="G133" s="195">
        <f t="shared" si="373"/>
        <v>9.950192141419846E-2</v>
      </c>
      <c r="H133" s="195">
        <f t="shared" si="373"/>
        <v>9.950192141419846E-2</v>
      </c>
      <c r="I133" s="195">
        <f t="shared" si="373"/>
        <v>9.950192141419846E-2</v>
      </c>
      <c r="J133" s="195">
        <f t="shared" si="373"/>
        <v>9.950192141419846E-2</v>
      </c>
      <c r="K133" s="195">
        <f t="shared" si="373"/>
        <v>9.950192141419846E-2</v>
      </c>
      <c r="L133" s="195">
        <f t="shared" si="373"/>
        <v>9.950192141419846E-2</v>
      </c>
      <c r="M133" s="195">
        <f t="shared" si="373"/>
        <v>9.950192141419846E-2</v>
      </c>
      <c r="N133" s="41"/>
      <c r="O133" s="241">
        <f t="shared" ref="O133:O134" si="378">E133</f>
        <v>9.950192141419846E-2</v>
      </c>
      <c r="P133" s="241">
        <f>O133</f>
        <v>9.950192141419846E-2</v>
      </c>
      <c r="Q133" s="241">
        <f t="shared" ref="Q133:V133" si="379">P133</f>
        <v>9.950192141419846E-2</v>
      </c>
      <c r="R133" s="241">
        <f t="shared" si="379"/>
        <v>9.950192141419846E-2</v>
      </c>
      <c r="S133" s="241">
        <f t="shared" si="379"/>
        <v>9.950192141419846E-2</v>
      </c>
      <c r="T133" s="72">
        <f t="shared" si="379"/>
        <v>9.950192141419846E-2</v>
      </c>
      <c r="U133" s="72">
        <f t="shared" si="379"/>
        <v>9.950192141419846E-2</v>
      </c>
      <c r="V133" s="72">
        <f t="shared" si="379"/>
        <v>9.950192141419846E-2</v>
      </c>
      <c r="X133" s="241">
        <f t="shared" ref="X133:X134" si="380">O133</f>
        <v>9.950192141419846E-2</v>
      </c>
      <c r="Y133" s="241">
        <f t="shared" ref="Y133:Y134" si="381">P133</f>
        <v>9.950192141419846E-2</v>
      </c>
      <c r="Z133" s="241">
        <f t="shared" ref="Z133:Z134" si="382">Q133</f>
        <v>9.950192141419846E-2</v>
      </c>
      <c r="AA133" s="241">
        <f t="shared" ref="AA133:AA134" si="383">R133</f>
        <v>9.950192141419846E-2</v>
      </c>
      <c r="AB133" s="241">
        <f t="shared" ref="AB133:AB134" si="384">S133</f>
        <v>9.950192141419846E-2</v>
      </c>
      <c r="AC133" s="80">
        <v>0.09</v>
      </c>
      <c r="AD133" s="80">
        <v>0.08</v>
      </c>
      <c r="AE133" s="72">
        <f>AD133</f>
        <v>0.08</v>
      </c>
    </row>
    <row r="134" spans="1:47">
      <c r="A134" s="194" t="s">
        <v>16</v>
      </c>
      <c r="C134" s="238" t="s">
        <v>176</v>
      </c>
      <c r="E134" s="71">
        <f>[2]Calib_1011!M79</f>
        <v>3.3918684938065609E-2</v>
      </c>
      <c r="F134" s="195">
        <f t="shared" si="377"/>
        <v>3.3918684938065609E-2</v>
      </c>
      <c r="G134" s="195">
        <f t="shared" si="373"/>
        <v>3.3918684938065609E-2</v>
      </c>
      <c r="H134" s="195">
        <f t="shared" si="373"/>
        <v>3.3918684938065609E-2</v>
      </c>
      <c r="I134" s="195">
        <f t="shared" si="373"/>
        <v>3.3918684938065609E-2</v>
      </c>
      <c r="J134" s="195">
        <f t="shared" si="373"/>
        <v>3.3918684938065609E-2</v>
      </c>
      <c r="K134" s="195">
        <f t="shared" si="373"/>
        <v>3.3918684938065609E-2</v>
      </c>
      <c r="L134" s="195">
        <f t="shared" si="373"/>
        <v>3.3918684938065609E-2</v>
      </c>
      <c r="M134" s="195">
        <f>IF($D$4,AE134,V134)</f>
        <v>3.3918684938065609E-2</v>
      </c>
      <c r="N134" s="41"/>
      <c r="O134" s="241">
        <f t="shared" si="378"/>
        <v>3.3918684938065609E-2</v>
      </c>
      <c r="P134" s="241">
        <f>O134</f>
        <v>3.3918684938065609E-2</v>
      </c>
      <c r="Q134" s="241">
        <f t="shared" ref="Q134:V134" si="385">P134</f>
        <v>3.3918684938065609E-2</v>
      </c>
      <c r="R134" s="241">
        <f t="shared" si="385"/>
        <v>3.3918684938065609E-2</v>
      </c>
      <c r="S134" s="241">
        <f t="shared" si="385"/>
        <v>3.3918684938065609E-2</v>
      </c>
      <c r="T134" s="72">
        <f t="shared" si="385"/>
        <v>3.3918684938065609E-2</v>
      </c>
      <c r="U134" s="72">
        <f t="shared" si="385"/>
        <v>3.3918684938065609E-2</v>
      </c>
      <c r="V134" s="72">
        <f t="shared" si="385"/>
        <v>3.3918684938065609E-2</v>
      </c>
      <c r="X134" s="241">
        <f t="shared" si="380"/>
        <v>3.3918684938065609E-2</v>
      </c>
      <c r="Y134" s="241">
        <f t="shared" si="381"/>
        <v>3.3918684938065609E-2</v>
      </c>
      <c r="Z134" s="241">
        <f t="shared" si="382"/>
        <v>3.3918684938065609E-2</v>
      </c>
      <c r="AA134" s="241">
        <f t="shared" si="383"/>
        <v>3.3918684938065609E-2</v>
      </c>
      <c r="AB134" s="241">
        <f t="shared" si="384"/>
        <v>3.3918684938065609E-2</v>
      </c>
      <c r="AC134" s="72">
        <f>AA134</f>
        <v>3.3918684938065609E-2</v>
      </c>
      <c r="AD134" s="72">
        <f>AC134</f>
        <v>3.3918684938065609E-2</v>
      </c>
      <c r="AE134" s="72">
        <f>AD134</f>
        <v>3.3918684938065609E-2</v>
      </c>
    </row>
    <row r="135" spans="1:47">
      <c r="A135" s="194" t="s">
        <v>16</v>
      </c>
      <c r="C135" s="238"/>
      <c r="E135" s="242"/>
      <c r="F135" s="242"/>
      <c r="G135" s="242"/>
      <c r="I135" s="242"/>
      <c r="K135" s="242"/>
      <c r="L135" s="242"/>
      <c r="M135" s="242"/>
      <c r="N135" s="41"/>
      <c r="S135" s="293"/>
    </row>
    <row r="136" spans="1:47" ht="15.75" thickBot="1">
      <c r="A136" s="194" t="s">
        <v>16</v>
      </c>
      <c r="C136" s="237" t="s">
        <v>185</v>
      </c>
      <c r="E136" s="242"/>
      <c r="F136" s="242"/>
      <c r="G136" s="242"/>
      <c r="I136" s="242"/>
      <c r="K136" s="242"/>
      <c r="L136" s="242"/>
      <c r="M136" s="242"/>
      <c r="N136" s="41"/>
      <c r="S136" s="293"/>
      <c r="T136" s="297"/>
      <c r="U136" s="297"/>
      <c r="V136" s="297"/>
      <c r="W136" s="297"/>
    </row>
    <row r="137" spans="1:47">
      <c r="A137" s="194" t="s">
        <v>16</v>
      </c>
      <c r="C137" s="238" t="s">
        <v>62</v>
      </c>
      <c r="E137" s="71">
        <f>[2]Calib_1011!M71</f>
        <v>0.25980514219360507</v>
      </c>
      <c r="F137" s="195">
        <f t="shared" ref="F137:F139" si="386">IF($D$4,X137,O137)</f>
        <v>0.20390257109680254</v>
      </c>
      <c r="G137" s="195">
        <f t="shared" ref="G137:G139" si="387">IF($D$4,Y137,P137)</f>
        <v>0.14799999999999999</v>
      </c>
      <c r="H137" s="195">
        <f t="shared" ref="H137:H139" si="388">IF($D$4,Z137,Q137)</f>
        <v>0.14799999999999999</v>
      </c>
      <c r="I137" s="195">
        <f t="shared" ref="I137:I139" si="389">IF($D$4,AA137,R137)</f>
        <v>0.14799999999999999</v>
      </c>
      <c r="J137" s="195">
        <f t="shared" ref="J137:J139" si="390">IF($D$4,AB137,S137)</f>
        <v>0.14799999999999999</v>
      </c>
      <c r="K137" s="195">
        <f t="shared" ref="K137:K139" si="391">IF($D$4,AC137,T137)</f>
        <v>0.14800000000000002</v>
      </c>
      <c r="L137" s="195">
        <f t="shared" ref="L137:L139" si="392">IF($D$4,AD137,U137)</f>
        <v>0.14800000000000002</v>
      </c>
      <c r="M137" s="195">
        <f t="shared" ref="M137:M138" si="393">IF($D$4,AE137,V137)</f>
        <v>0.14800000000000002</v>
      </c>
      <c r="N137" s="41"/>
      <c r="O137" s="241">
        <f>AVERAGE(E137,P137)</f>
        <v>0.20390257109680254</v>
      </c>
      <c r="P137" s="241">
        <v>0.14799999999999999</v>
      </c>
      <c r="Q137" s="241">
        <f t="shared" ref="Q137:S139" si="394">P137</f>
        <v>0.14799999999999999</v>
      </c>
      <c r="R137" s="241">
        <f t="shared" si="394"/>
        <v>0.14799999999999999</v>
      </c>
      <c r="S137" s="241">
        <f t="shared" si="394"/>
        <v>0.14799999999999999</v>
      </c>
      <c r="T137" s="72">
        <f>1-T138-T139</f>
        <v>0.14800000000000002</v>
      </c>
      <c r="U137" s="72">
        <f>1-U138-U139</f>
        <v>0.14800000000000002</v>
      </c>
      <c r="V137" s="72">
        <f>1-V138-V139</f>
        <v>0.14800000000000002</v>
      </c>
      <c r="X137" s="241">
        <f>O137</f>
        <v>0.20390257109680254</v>
      </c>
      <c r="Y137" s="241">
        <f t="shared" ref="Y137:AB137" si="395">P137</f>
        <v>0.14799999999999999</v>
      </c>
      <c r="Z137" s="241">
        <f t="shared" si="395"/>
        <v>0.14799999999999999</v>
      </c>
      <c r="AA137" s="241">
        <f t="shared" si="395"/>
        <v>0.14799999999999999</v>
      </c>
      <c r="AB137" s="241">
        <f t="shared" si="395"/>
        <v>0.14799999999999999</v>
      </c>
      <c r="AC137" s="72">
        <f>1-AC138-AC139</f>
        <v>0.12199999999999997</v>
      </c>
      <c r="AD137" s="72">
        <f>1-AD138-AD139</f>
        <v>0.10199999999999997</v>
      </c>
      <c r="AE137" s="72">
        <f>1-AE138-AE139</f>
        <v>9.6511330014394436E-2</v>
      </c>
    </row>
    <row r="138" spans="1:47">
      <c r="A138" s="194" t="s">
        <v>16</v>
      </c>
      <c r="C138" s="238" t="s">
        <v>184</v>
      </c>
      <c r="E138" s="71">
        <f>[2]Calib_1011!M72</f>
        <v>0.63065970327402632</v>
      </c>
      <c r="F138" s="195">
        <f t="shared" si="386"/>
        <v>0.70682985163701317</v>
      </c>
      <c r="G138" s="195">
        <f t="shared" si="387"/>
        <v>0.78300000000000003</v>
      </c>
      <c r="H138" s="195">
        <f t="shared" si="388"/>
        <v>0.78300000000000003</v>
      </c>
      <c r="I138" s="195">
        <f t="shared" si="389"/>
        <v>0.78300000000000003</v>
      </c>
      <c r="J138" s="195">
        <f t="shared" si="390"/>
        <v>0.78300000000000003</v>
      </c>
      <c r="K138" s="195">
        <f t="shared" si="391"/>
        <v>0.78300000000000003</v>
      </c>
      <c r="L138" s="195">
        <f t="shared" si="392"/>
        <v>0.78300000000000003</v>
      </c>
      <c r="M138" s="195">
        <f t="shared" si="393"/>
        <v>0.78300000000000003</v>
      </c>
      <c r="N138" s="41"/>
      <c r="O138" s="241">
        <f t="shared" ref="O138" si="396">AVERAGE(E138,P138)</f>
        <v>0.70682985163701317</v>
      </c>
      <c r="P138" s="241">
        <v>0.78300000000000003</v>
      </c>
      <c r="Q138" s="241">
        <f t="shared" si="394"/>
        <v>0.78300000000000003</v>
      </c>
      <c r="R138" s="241">
        <f t="shared" si="394"/>
        <v>0.78300000000000003</v>
      </c>
      <c r="S138" s="241">
        <f t="shared" si="394"/>
        <v>0.78300000000000003</v>
      </c>
      <c r="T138" s="72">
        <f>R138</f>
        <v>0.78300000000000003</v>
      </c>
      <c r="U138" s="72">
        <f>T138</f>
        <v>0.78300000000000003</v>
      </c>
      <c r="V138" s="72">
        <f>U138</f>
        <v>0.78300000000000003</v>
      </c>
      <c r="X138" s="241">
        <f t="shared" ref="X138:X139" si="397">O138</f>
        <v>0.70682985163701317</v>
      </c>
      <c r="Y138" s="241">
        <f t="shared" ref="Y138:Y139" si="398">P138</f>
        <v>0.78300000000000003</v>
      </c>
      <c r="Z138" s="241">
        <f t="shared" ref="Z138:Z139" si="399">Q138</f>
        <v>0.78300000000000003</v>
      </c>
      <c r="AA138" s="241">
        <f t="shared" ref="AA138:AA139" si="400">R138</f>
        <v>0.78300000000000003</v>
      </c>
      <c r="AB138" s="241">
        <f t="shared" ref="AB138:AB139" si="401">S138</f>
        <v>0.78300000000000003</v>
      </c>
      <c r="AC138" s="72">
        <f>AA138</f>
        <v>0.78300000000000003</v>
      </c>
      <c r="AD138" s="72">
        <f>AC138</f>
        <v>0.78300000000000003</v>
      </c>
      <c r="AE138" s="72">
        <f>AD138</f>
        <v>0.78300000000000003</v>
      </c>
    </row>
    <row r="139" spans="1:47">
      <c r="A139" s="194" t="s">
        <v>16</v>
      </c>
      <c r="C139" s="238" t="s">
        <v>186</v>
      </c>
      <c r="E139" s="71">
        <f>[2]Calib_1011!M73</f>
        <v>0.10953515453236866</v>
      </c>
      <c r="F139" s="195">
        <f t="shared" si="386"/>
        <v>8.9267577266184311E-2</v>
      </c>
      <c r="G139" s="195">
        <f t="shared" si="387"/>
        <v>6.899999999999995E-2</v>
      </c>
      <c r="H139" s="195">
        <f t="shared" si="388"/>
        <v>6.899999999999995E-2</v>
      </c>
      <c r="I139" s="195">
        <f t="shared" si="389"/>
        <v>6.899999999999995E-2</v>
      </c>
      <c r="J139" s="195">
        <f t="shared" si="390"/>
        <v>6.899999999999995E-2</v>
      </c>
      <c r="K139" s="195">
        <f t="shared" si="391"/>
        <v>6.899999999999995E-2</v>
      </c>
      <c r="L139" s="195">
        <f t="shared" si="392"/>
        <v>6.899999999999995E-2</v>
      </c>
      <c r="M139" s="195">
        <f>IF($D$4,AE139,V139)</f>
        <v>6.899999999999995E-2</v>
      </c>
      <c r="N139" s="41"/>
      <c r="O139" s="241">
        <f>AVERAGE(E139,P139)</f>
        <v>8.9267577266184311E-2</v>
      </c>
      <c r="P139" s="241">
        <f>1-SUM(R137:R138)</f>
        <v>6.899999999999995E-2</v>
      </c>
      <c r="Q139" s="241">
        <f t="shared" si="394"/>
        <v>6.899999999999995E-2</v>
      </c>
      <c r="R139" s="241">
        <f t="shared" si="394"/>
        <v>6.899999999999995E-2</v>
      </c>
      <c r="S139" s="241">
        <f t="shared" si="394"/>
        <v>6.899999999999995E-2</v>
      </c>
      <c r="T139" s="72">
        <f>R139</f>
        <v>6.899999999999995E-2</v>
      </c>
      <c r="U139" s="72">
        <f>T139</f>
        <v>6.899999999999995E-2</v>
      </c>
      <c r="V139" s="72">
        <f>U139</f>
        <v>6.899999999999995E-2</v>
      </c>
      <c r="X139" s="241">
        <f t="shared" si="397"/>
        <v>8.9267577266184311E-2</v>
      </c>
      <c r="Y139" s="241">
        <f t="shared" si="398"/>
        <v>6.899999999999995E-2</v>
      </c>
      <c r="Z139" s="241">
        <f t="shared" si="399"/>
        <v>6.899999999999995E-2</v>
      </c>
      <c r="AA139" s="241">
        <f t="shared" si="400"/>
        <v>6.899999999999995E-2</v>
      </c>
      <c r="AB139" s="241">
        <f t="shared" si="401"/>
        <v>6.899999999999995E-2</v>
      </c>
      <c r="AC139" s="72">
        <v>9.5000000000000001E-2</v>
      </c>
      <c r="AD139" s="72">
        <v>0.115</v>
      </c>
      <c r="AE139" s="80">
        <f>E139*1.1</f>
        <v>0.12048866998560553</v>
      </c>
    </row>
    <row r="140" spans="1:47">
      <c r="A140" s="194" t="s">
        <v>16</v>
      </c>
      <c r="C140" s="238"/>
      <c r="E140" s="242"/>
      <c r="F140" s="242"/>
      <c r="G140" s="242"/>
      <c r="I140" s="242"/>
      <c r="K140" s="242"/>
      <c r="L140" s="242"/>
      <c r="M140" s="242"/>
      <c r="N140" s="41"/>
    </row>
    <row r="141" spans="1:47" ht="15.75" thickBot="1">
      <c r="A141" s="194" t="s">
        <v>16</v>
      </c>
      <c r="C141" s="237" t="s">
        <v>196</v>
      </c>
      <c r="D141" s="262">
        <f>INDEX($BI$4:$BI$7,MATCH($D$3,$BB$4:$BB$7,0))</f>
        <v>0</v>
      </c>
      <c r="E141" s="242"/>
      <c r="F141" s="242"/>
      <c r="G141" s="242"/>
      <c r="I141" s="242"/>
      <c r="K141" s="242"/>
      <c r="L141" s="242"/>
      <c r="M141" s="242"/>
      <c r="N141" s="41"/>
      <c r="X141" s="194" t="s">
        <v>206</v>
      </c>
    </row>
    <row r="142" spans="1:47">
      <c r="A142" s="194" t="s">
        <v>16</v>
      </c>
      <c r="C142" s="194" t="s">
        <v>62</v>
      </c>
      <c r="D142" s="194" t="s">
        <v>96</v>
      </c>
      <c r="E142" s="254">
        <f>[2]Calib_1011!$K$71</f>
        <v>25</v>
      </c>
      <c r="F142" s="195">
        <f t="shared" ref="F142:F144" si="402">IF($D$4,X142,O142)</f>
        <v>25</v>
      </c>
      <c r="G142" s="195">
        <f t="shared" ref="G142:G144" si="403">IF($D$4,Y142,P142)</f>
        <v>25</v>
      </c>
      <c r="H142" s="195">
        <f t="shared" ref="H142:H144" si="404">IF($D$4,Z142,Q142)</f>
        <v>25</v>
      </c>
      <c r="I142" s="195">
        <f t="shared" ref="I142:I144" si="405">IF($D$4,AA142,R142)</f>
        <v>25</v>
      </c>
      <c r="J142" s="195">
        <f t="shared" ref="J142:J144" si="406">IF($D$4,AB142,S142)</f>
        <v>25</v>
      </c>
      <c r="K142" s="195">
        <f t="shared" ref="K142:K144" si="407">IF($D$4,AC142,T142)</f>
        <v>25</v>
      </c>
      <c r="L142" s="195">
        <f t="shared" ref="L142:L144" si="408">IF($D$4,AD142,U142)</f>
        <v>25</v>
      </c>
      <c r="M142" s="195">
        <f t="shared" ref="M142:M143" si="409">IF($D$4,AE142,V142)</f>
        <v>25</v>
      </c>
      <c r="N142" s="255"/>
      <c r="O142" s="256">
        <f>E142</f>
        <v>25</v>
      </c>
      <c r="P142" s="256">
        <f t="shared" ref="P142:Q143" si="410">O142</f>
        <v>25</v>
      </c>
      <c r="Q142" s="256">
        <f>P142</f>
        <v>25</v>
      </c>
      <c r="R142" s="256">
        <f t="shared" ref="R142:V142" si="411">Q142</f>
        <v>25</v>
      </c>
      <c r="S142" s="256">
        <f t="shared" si="411"/>
        <v>25</v>
      </c>
      <c r="T142" s="62">
        <f t="shared" si="411"/>
        <v>25</v>
      </c>
      <c r="U142" s="62">
        <f t="shared" si="411"/>
        <v>25</v>
      </c>
      <c r="V142" s="62">
        <f t="shared" si="411"/>
        <v>25</v>
      </c>
      <c r="W142" s="257"/>
      <c r="X142" s="256">
        <f>O142</f>
        <v>25</v>
      </c>
      <c r="Y142" s="256">
        <f t="shared" ref="Y142:AB142" si="412">P142</f>
        <v>25</v>
      </c>
      <c r="Z142" s="256">
        <f t="shared" si="412"/>
        <v>25</v>
      </c>
      <c r="AA142" s="256">
        <f t="shared" si="412"/>
        <v>25</v>
      </c>
      <c r="AB142" s="256">
        <f t="shared" si="412"/>
        <v>25</v>
      </c>
      <c r="AC142" s="81">
        <f>AA142*(1+$D$141)</f>
        <v>25</v>
      </c>
      <c r="AD142" s="81">
        <f>AC142*(1+$D$141)</f>
        <v>25</v>
      </c>
      <c r="AE142" s="81">
        <f>AD142*(1+$D$141)</f>
        <v>25</v>
      </c>
      <c r="AF142" s="257"/>
      <c r="AG142" s="257"/>
      <c r="AH142" s="257"/>
      <c r="AI142" s="257"/>
      <c r="AJ142" s="257"/>
      <c r="AK142" s="257"/>
      <c r="AL142" s="257"/>
      <c r="AM142" s="257"/>
      <c r="AN142" s="257"/>
      <c r="AO142" s="257"/>
      <c r="AP142" s="257"/>
      <c r="AQ142" s="257"/>
      <c r="AR142" s="257"/>
      <c r="AS142" s="257"/>
      <c r="AT142" s="257"/>
      <c r="AU142" s="257"/>
    </row>
    <row r="143" spans="1:47">
      <c r="A143" s="194" t="s">
        <v>16</v>
      </c>
      <c r="C143" s="194" t="s">
        <v>184</v>
      </c>
      <c r="D143" s="194" t="s">
        <v>96</v>
      </c>
      <c r="E143" s="254">
        <f>[2]Calib_1011!$K$72</f>
        <v>14</v>
      </c>
      <c r="F143" s="195">
        <f t="shared" si="402"/>
        <v>14</v>
      </c>
      <c r="G143" s="195">
        <f t="shared" si="403"/>
        <v>14</v>
      </c>
      <c r="H143" s="195">
        <f t="shared" si="404"/>
        <v>14</v>
      </c>
      <c r="I143" s="195">
        <f t="shared" si="405"/>
        <v>14</v>
      </c>
      <c r="J143" s="195">
        <f t="shared" si="406"/>
        <v>14</v>
      </c>
      <c r="K143" s="195">
        <f t="shared" si="407"/>
        <v>14</v>
      </c>
      <c r="L143" s="195">
        <f t="shared" si="408"/>
        <v>14</v>
      </c>
      <c r="M143" s="195">
        <f t="shared" si="409"/>
        <v>14</v>
      </c>
      <c r="N143" s="255"/>
      <c r="O143" s="256">
        <f>E143</f>
        <v>14</v>
      </c>
      <c r="P143" s="256">
        <f t="shared" si="410"/>
        <v>14</v>
      </c>
      <c r="Q143" s="256">
        <f t="shared" si="410"/>
        <v>14</v>
      </c>
      <c r="R143" s="256">
        <f t="shared" ref="R143:V143" si="413">Q143</f>
        <v>14</v>
      </c>
      <c r="S143" s="256">
        <f t="shared" si="413"/>
        <v>14</v>
      </c>
      <c r="T143" s="62">
        <f t="shared" si="413"/>
        <v>14</v>
      </c>
      <c r="U143" s="62">
        <f t="shared" si="413"/>
        <v>14</v>
      </c>
      <c r="V143" s="62">
        <f t="shared" si="413"/>
        <v>14</v>
      </c>
      <c r="W143" s="257"/>
      <c r="X143" s="256">
        <f t="shared" ref="X143:X144" si="414">O143</f>
        <v>14</v>
      </c>
      <c r="Y143" s="256">
        <f t="shared" ref="Y143:Y144" si="415">P143</f>
        <v>14</v>
      </c>
      <c r="Z143" s="256">
        <f t="shared" ref="Z143:Z144" si="416">Q143</f>
        <v>14</v>
      </c>
      <c r="AA143" s="256">
        <f t="shared" ref="AA143:AA144" si="417">R143</f>
        <v>14</v>
      </c>
      <c r="AB143" s="256">
        <f t="shared" ref="AB143:AB144" si="418">S143</f>
        <v>14</v>
      </c>
      <c r="AC143" s="81">
        <f>AA143</f>
        <v>14</v>
      </c>
      <c r="AD143" s="81">
        <f>AC143</f>
        <v>14</v>
      </c>
      <c r="AE143" s="81">
        <f>AD143</f>
        <v>14</v>
      </c>
      <c r="AF143" s="257"/>
      <c r="AG143" s="257"/>
      <c r="AH143" s="257"/>
      <c r="AI143" s="257"/>
      <c r="AJ143" s="257"/>
      <c r="AK143" s="257"/>
      <c r="AL143" s="257"/>
      <c r="AM143" s="257"/>
      <c r="AN143" s="257"/>
      <c r="AO143" s="257"/>
      <c r="AP143" s="257"/>
      <c r="AQ143" s="257"/>
      <c r="AR143" s="257"/>
      <c r="AS143" s="257"/>
      <c r="AT143" s="257"/>
      <c r="AU143" s="257"/>
    </row>
    <row r="144" spans="1:47">
      <c r="A144" s="194" t="s">
        <v>16</v>
      </c>
      <c r="C144" s="194" t="s">
        <v>63</v>
      </c>
      <c r="D144" s="194" t="s">
        <v>96</v>
      </c>
      <c r="E144" s="254">
        <f>E142</f>
        <v>25</v>
      </c>
      <c r="F144" s="195">
        <f t="shared" si="402"/>
        <v>25</v>
      </c>
      <c r="G144" s="195">
        <f t="shared" si="403"/>
        <v>25</v>
      </c>
      <c r="H144" s="195">
        <f t="shared" si="404"/>
        <v>25</v>
      </c>
      <c r="I144" s="195">
        <f t="shared" si="405"/>
        <v>25</v>
      </c>
      <c r="J144" s="195">
        <f t="shared" si="406"/>
        <v>25</v>
      </c>
      <c r="K144" s="195">
        <f t="shared" si="407"/>
        <v>25</v>
      </c>
      <c r="L144" s="195">
        <f t="shared" si="408"/>
        <v>25</v>
      </c>
      <c r="M144" s="195">
        <f>IF($D$4,AE144,V144)</f>
        <v>25</v>
      </c>
      <c r="N144" s="255"/>
      <c r="O144" s="256">
        <f>E144</f>
        <v>25</v>
      </c>
      <c r="P144" s="256">
        <f>O144</f>
        <v>25</v>
      </c>
      <c r="Q144" s="256">
        <f t="shared" ref="Q144:V144" si="419">P144</f>
        <v>25</v>
      </c>
      <c r="R144" s="256">
        <f t="shared" si="419"/>
        <v>25</v>
      </c>
      <c r="S144" s="256">
        <f t="shared" si="419"/>
        <v>25</v>
      </c>
      <c r="T144" s="62">
        <f t="shared" si="419"/>
        <v>25</v>
      </c>
      <c r="U144" s="62">
        <f t="shared" si="419"/>
        <v>25</v>
      </c>
      <c r="V144" s="62">
        <f t="shared" si="419"/>
        <v>25</v>
      </c>
      <c r="W144" s="257"/>
      <c r="X144" s="256">
        <f t="shared" si="414"/>
        <v>25</v>
      </c>
      <c r="Y144" s="256">
        <f t="shared" si="415"/>
        <v>25</v>
      </c>
      <c r="Z144" s="256">
        <f t="shared" si="416"/>
        <v>25</v>
      </c>
      <c r="AA144" s="256">
        <f t="shared" si="417"/>
        <v>25</v>
      </c>
      <c r="AB144" s="256">
        <f t="shared" si="418"/>
        <v>25</v>
      </c>
      <c r="AC144" s="81">
        <f>AA144*(1+$D$141)</f>
        <v>25</v>
      </c>
      <c r="AD144" s="81">
        <f>AC144*(1+$D$141)</f>
        <v>25</v>
      </c>
      <c r="AE144" s="81">
        <f>AD144*(1+$D$141)</f>
        <v>25</v>
      </c>
      <c r="AF144" s="257"/>
      <c r="AG144" s="257"/>
      <c r="AH144" s="257"/>
      <c r="AI144" s="257"/>
      <c r="AJ144" s="257"/>
      <c r="AK144" s="257"/>
      <c r="AL144" s="257"/>
      <c r="AM144" s="257"/>
      <c r="AN144" s="257"/>
      <c r="AO144" s="257"/>
      <c r="AP144" s="257"/>
      <c r="AQ144" s="257"/>
      <c r="AR144" s="257"/>
      <c r="AS144" s="257"/>
      <c r="AT144" s="257"/>
      <c r="AU144" s="257"/>
    </row>
    <row r="145" spans="1:47">
      <c r="A145" s="194" t="s">
        <v>16</v>
      </c>
      <c r="C145" s="238"/>
      <c r="E145" s="242"/>
      <c r="F145" s="242"/>
      <c r="G145" s="242"/>
      <c r="I145" s="242"/>
      <c r="K145" s="242"/>
      <c r="L145" s="242"/>
      <c r="M145" s="242"/>
      <c r="N145" s="41"/>
    </row>
    <row r="146" spans="1:47">
      <c r="A146" s="194" t="s">
        <v>16</v>
      </c>
      <c r="L146" s="194"/>
      <c r="N146" s="41"/>
    </row>
    <row r="147" spans="1:47">
      <c r="A147" s="194" t="s">
        <v>16</v>
      </c>
      <c r="E147" s="30"/>
      <c r="F147" s="30"/>
      <c r="G147" s="30"/>
      <c r="I147" s="30"/>
      <c r="K147" s="30"/>
      <c r="L147" s="30"/>
      <c r="M147" s="30"/>
      <c r="N147" s="255"/>
      <c r="O147" s="257" t="str">
        <f>O11</f>
        <v>Reference</v>
      </c>
      <c r="R147" s="257"/>
      <c r="T147" s="257"/>
      <c r="U147" s="257"/>
      <c r="V147" s="257"/>
      <c r="W147" s="257"/>
      <c r="X147" s="257" t="str">
        <f>X11</f>
        <v>Scenario</v>
      </c>
      <c r="AA147" s="257"/>
      <c r="AB147" s="257"/>
      <c r="AD147" s="257"/>
      <c r="AE147" s="257"/>
      <c r="AF147" s="257"/>
      <c r="AN147" s="257"/>
      <c r="AO147" s="257"/>
      <c r="AP147" s="257"/>
      <c r="AQ147" s="257"/>
      <c r="AR147" s="257"/>
      <c r="AS147" s="257"/>
      <c r="AT147" s="257"/>
      <c r="AU147" s="257"/>
    </row>
    <row r="148" spans="1:47" ht="15.75" thickBot="1">
      <c r="A148" s="194" t="s">
        <v>16</v>
      </c>
      <c r="C148" s="237" t="s">
        <v>142</v>
      </c>
      <c r="D148" s="237"/>
      <c r="E148" s="7">
        <v>2012</v>
      </c>
      <c r="F148" s="7">
        <f>F4</f>
        <v>2015</v>
      </c>
      <c r="G148" s="7">
        <f t="shared" ref="G148:M148" si="420">G4</f>
        <v>2017</v>
      </c>
      <c r="H148" s="7">
        <f t="shared" si="420"/>
        <v>2019</v>
      </c>
      <c r="I148" s="7">
        <f t="shared" si="420"/>
        <v>2020</v>
      </c>
      <c r="J148" s="7">
        <f t="shared" si="420"/>
        <v>2021</v>
      </c>
      <c r="K148" s="7">
        <f t="shared" si="420"/>
        <v>2030</v>
      </c>
      <c r="L148" s="7">
        <f t="shared" si="420"/>
        <v>2040</v>
      </c>
      <c r="M148" s="7">
        <f t="shared" si="420"/>
        <v>2050</v>
      </c>
      <c r="N148" s="255"/>
      <c r="O148" s="308">
        <f>O$12</f>
        <v>2015</v>
      </c>
      <c r="P148" s="308">
        <f t="shared" ref="P148:V148" si="421">P$12</f>
        <v>2017</v>
      </c>
      <c r="Q148" s="308">
        <f t="shared" si="421"/>
        <v>2019</v>
      </c>
      <c r="R148" s="308">
        <f t="shared" si="421"/>
        <v>2020</v>
      </c>
      <c r="S148" s="308">
        <f t="shared" si="421"/>
        <v>2021</v>
      </c>
      <c r="T148" s="308">
        <f t="shared" si="421"/>
        <v>2030</v>
      </c>
      <c r="U148" s="308">
        <f t="shared" si="421"/>
        <v>2040</v>
      </c>
      <c r="V148" s="308">
        <f t="shared" si="421"/>
        <v>2050</v>
      </c>
      <c r="W148" s="257"/>
      <c r="X148" s="308">
        <f>X$12</f>
        <v>2015</v>
      </c>
      <c r="Y148" s="308">
        <f t="shared" ref="Y148:AE148" si="422">Y$12</f>
        <v>2017</v>
      </c>
      <c r="Z148" s="308">
        <f t="shared" si="422"/>
        <v>2019</v>
      </c>
      <c r="AA148" s="308">
        <f t="shared" si="422"/>
        <v>2020</v>
      </c>
      <c r="AB148" s="308">
        <f t="shared" si="422"/>
        <v>2021</v>
      </c>
      <c r="AC148" s="308">
        <f t="shared" si="422"/>
        <v>2030</v>
      </c>
      <c r="AD148" s="308">
        <f t="shared" si="422"/>
        <v>2040</v>
      </c>
      <c r="AE148" s="308">
        <f t="shared" si="422"/>
        <v>2050</v>
      </c>
      <c r="AF148" s="257"/>
      <c r="AN148" s="257"/>
      <c r="AO148" s="257"/>
      <c r="AP148" s="257"/>
      <c r="AQ148" s="257"/>
      <c r="AR148" s="257"/>
      <c r="AS148" s="257"/>
      <c r="AT148" s="257"/>
      <c r="AU148" s="257"/>
    </row>
    <row r="149" spans="1:47">
      <c r="A149" s="194" t="s">
        <v>16</v>
      </c>
      <c r="B149" s="194" t="s">
        <v>128</v>
      </c>
      <c r="C149" s="194" t="s">
        <v>102</v>
      </c>
      <c r="D149" s="194" t="s">
        <v>86</v>
      </c>
      <c r="E149" s="310">
        <f t="shared" ref="E149" si="423">E132*E$111</f>
        <v>81.484814157071753</v>
      </c>
      <c r="F149" s="51">
        <f t="shared" ref="F149:F156" si="424">IF($D$4,X149,O149)</f>
        <v>89.101204723506044</v>
      </c>
      <c r="G149" s="51">
        <f t="shared" ref="G149:G156" si="425">IF($D$4,Y149,P149)</f>
        <v>94.193474919425029</v>
      </c>
      <c r="H149" s="51">
        <f t="shared" ref="H149:H156" si="426">IF($D$4,Z149,Q149)</f>
        <v>98.540706643679641</v>
      </c>
      <c r="I149" s="51">
        <f t="shared" ref="I149:I156" si="427">IF($D$4,AA149,R149)</f>
        <v>94.344957604784639</v>
      </c>
      <c r="J149" s="51">
        <f t="shared" ref="J149:J156" si="428">IF($D$4,AB149,S149)</f>
        <v>94.920703181587982</v>
      </c>
      <c r="K149" s="51">
        <f t="shared" ref="K149:K156" si="429">IF($D$4,AC149,T149)</f>
        <v>121.43547876625833</v>
      </c>
      <c r="L149" s="51">
        <f t="shared" ref="L149:L156" si="430">IF($D$4,AD149,U149)</f>
        <v>160.82023148759495</v>
      </c>
      <c r="M149" s="51">
        <f t="shared" ref="M149:M156" si="431">IF($D$4,AE149,V149)</f>
        <v>203.40684896627499</v>
      </c>
      <c r="N149" s="258" t="str">
        <f t="shared" ref="N149:N156" si="432">C149</f>
        <v>Car Priv.Veh. Vehicle km</v>
      </c>
      <c r="O149" s="243">
        <f>O132*O$111</f>
        <v>89.101204723506044</v>
      </c>
      <c r="P149" s="243">
        <f t="shared" ref="P149:S149" si="433">P132*P$111</f>
        <v>94.193474919425029</v>
      </c>
      <c r="Q149" s="243">
        <f>Q132*Q$111</f>
        <v>98.540706643679641</v>
      </c>
      <c r="R149" s="243">
        <f t="shared" si="433"/>
        <v>94.344957604784639</v>
      </c>
      <c r="S149" s="243">
        <f t="shared" si="433"/>
        <v>94.920703181587982</v>
      </c>
      <c r="T149" s="316">
        <f t="shared" ref="T149:V151" si="434">T132*T$111</f>
        <v>121.43547876625833</v>
      </c>
      <c r="U149" s="316">
        <f t="shared" si="434"/>
        <v>160.82023148759495</v>
      </c>
      <c r="V149" s="316">
        <f t="shared" si="434"/>
        <v>203.40684896627499</v>
      </c>
      <c r="W149" s="243"/>
      <c r="X149" s="243">
        <f>O149</f>
        <v>89.101204723506044</v>
      </c>
      <c r="Y149" s="243">
        <f t="shared" ref="Y149:AB149" si="435">P149</f>
        <v>94.193474919425029</v>
      </c>
      <c r="Z149" s="243">
        <f t="shared" si="435"/>
        <v>98.540706643679641</v>
      </c>
      <c r="AA149" s="243">
        <f t="shared" si="435"/>
        <v>94.344957604784639</v>
      </c>
      <c r="AB149" s="243">
        <f t="shared" si="435"/>
        <v>94.920703181587982</v>
      </c>
      <c r="AC149" s="243" t="e">
        <f t="shared" ref="AC149:AE151" si="436">AC161/AC$36</f>
        <v>#N/A</v>
      </c>
      <c r="AD149" s="243" t="e">
        <f t="shared" si="436"/>
        <v>#N/A</v>
      </c>
      <c r="AE149" s="243" t="e">
        <f t="shared" si="436"/>
        <v>#N/A</v>
      </c>
      <c r="AF149" s="243"/>
      <c r="AG149" s="243"/>
      <c r="AH149" s="243"/>
      <c r="AN149" s="243"/>
      <c r="AO149" s="243"/>
      <c r="AP149" s="243"/>
      <c r="AQ149" s="243"/>
      <c r="AR149" s="243"/>
      <c r="AS149" s="243"/>
      <c r="AT149" s="243"/>
      <c r="AU149" s="243"/>
    </row>
    <row r="150" spans="1:47">
      <c r="A150" s="194" t="s">
        <v>16</v>
      </c>
      <c r="B150" s="194" t="s">
        <v>127</v>
      </c>
      <c r="C150" s="194" t="s">
        <v>101</v>
      </c>
      <c r="D150" s="194" t="s">
        <v>86</v>
      </c>
      <c r="E150" s="310">
        <f t="shared" ref="E150" si="437">E133*E$111</f>
        <v>9.3562062912418789</v>
      </c>
      <c r="F150" s="51">
        <f t="shared" si="424"/>
        <v>10.230731465918778</v>
      </c>
      <c r="G150" s="51">
        <f t="shared" si="425"/>
        <v>10.815433424641057</v>
      </c>
      <c r="H150" s="51">
        <f t="shared" si="426"/>
        <v>11.314588969495759</v>
      </c>
      <c r="I150" s="51">
        <f t="shared" si="427"/>
        <v>10.832826889526965</v>
      </c>
      <c r="J150" s="51">
        <f t="shared" si="428"/>
        <v>10.89893484404053</v>
      </c>
      <c r="K150" s="51">
        <f t="shared" si="429"/>
        <v>13.943400401241899</v>
      </c>
      <c r="L150" s="51">
        <f t="shared" si="430"/>
        <v>18.46561567536725</v>
      </c>
      <c r="M150" s="51">
        <f t="shared" si="431"/>
        <v>23.355473773450147</v>
      </c>
      <c r="N150" s="258" t="str">
        <f t="shared" si="432"/>
        <v>SUV Priv.Veh. Vehicle km</v>
      </c>
      <c r="O150" s="243">
        <f>O133*O$111</f>
        <v>10.230731465918778</v>
      </c>
      <c r="P150" s="243">
        <f t="shared" ref="P150:S150" si="438">P133*P$111</f>
        <v>10.815433424641057</v>
      </c>
      <c r="Q150" s="243">
        <f t="shared" si="438"/>
        <v>11.314588969495759</v>
      </c>
      <c r="R150" s="243">
        <f t="shared" si="438"/>
        <v>10.832826889526965</v>
      </c>
      <c r="S150" s="243">
        <f t="shared" si="438"/>
        <v>10.89893484404053</v>
      </c>
      <c r="T150" s="316">
        <f t="shared" si="434"/>
        <v>13.943400401241899</v>
      </c>
      <c r="U150" s="316">
        <f t="shared" si="434"/>
        <v>18.46561567536725</v>
      </c>
      <c r="V150" s="316">
        <f t="shared" si="434"/>
        <v>23.355473773450147</v>
      </c>
      <c r="W150" s="243"/>
      <c r="X150" s="243">
        <f t="shared" ref="X150:X156" si="439">O150</f>
        <v>10.230731465918778</v>
      </c>
      <c r="Y150" s="243">
        <f t="shared" ref="Y150:Y156" si="440">P150</f>
        <v>10.815433424641057</v>
      </c>
      <c r="Z150" s="243">
        <f t="shared" ref="Z150:Z156" si="441">Q150</f>
        <v>11.314588969495759</v>
      </c>
      <c r="AA150" s="243">
        <f t="shared" ref="AA150:AA156" si="442">R150</f>
        <v>10.832826889526965</v>
      </c>
      <c r="AB150" s="243">
        <f t="shared" ref="AB150:AB156" si="443">S150</f>
        <v>10.89893484404053</v>
      </c>
      <c r="AC150" s="243" t="e">
        <f t="shared" si="436"/>
        <v>#N/A</v>
      </c>
      <c r="AD150" s="243" t="e">
        <f t="shared" si="436"/>
        <v>#N/A</v>
      </c>
      <c r="AE150" s="243" t="e">
        <f t="shared" si="436"/>
        <v>#N/A</v>
      </c>
      <c r="AF150" s="251"/>
      <c r="AN150" s="243"/>
      <c r="AO150" s="243"/>
      <c r="AP150" s="243"/>
      <c r="AQ150" s="243"/>
      <c r="AR150" s="243"/>
      <c r="AS150" s="243"/>
      <c r="AT150" s="243"/>
      <c r="AU150" s="243"/>
    </row>
    <row r="151" spans="1:47">
      <c r="A151" s="194" t="s">
        <v>16</v>
      </c>
      <c r="B151" s="194" t="s">
        <v>183</v>
      </c>
      <c r="C151" s="194" t="s">
        <v>187</v>
      </c>
      <c r="D151" s="194" t="s">
        <v>86</v>
      </c>
      <c r="E151" s="310">
        <f t="shared" ref="E151" si="444">E134*E$111</f>
        <v>3.1893877916903843</v>
      </c>
      <c r="F151" s="51">
        <f t="shared" si="424"/>
        <v>3.4875000637820444</v>
      </c>
      <c r="G151" s="51">
        <f t="shared" si="425"/>
        <v>3.6868160291292309</v>
      </c>
      <c r="H151" s="51">
        <f t="shared" si="426"/>
        <v>3.8569705288653453</v>
      </c>
      <c r="I151" s="51">
        <f t="shared" si="427"/>
        <v>3.6927451955921633</v>
      </c>
      <c r="J151" s="51">
        <f t="shared" si="428"/>
        <v>3.7152803873671201</v>
      </c>
      <c r="K151" s="51">
        <f t="shared" si="429"/>
        <v>4.753092186092549</v>
      </c>
      <c r="L151" s="51">
        <f t="shared" si="430"/>
        <v>6.2946462880144241</v>
      </c>
      <c r="M151" s="51">
        <f t="shared" si="431"/>
        <v>7.961524212213539</v>
      </c>
      <c r="N151" s="258" t="str">
        <f t="shared" si="432"/>
        <v>Motorbikes Priv.Veh. Vehicle km</v>
      </c>
      <c r="O151" s="243">
        <f>O134*O$111</f>
        <v>3.4875000637820444</v>
      </c>
      <c r="P151" s="243">
        <f t="shared" ref="P151:S151" si="445">P134*P$111</f>
        <v>3.6868160291292309</v>
      </c>
      <c r="Q151" s="243">
        <f t="shared" si="445"/>
        <v>3.8569705288653453</v>
      </c>
      <c r="R151" s="243">
        <f t="shared" si="445"/>
        <v>3.6927451955921633</v>
      </c>
      <c r="S151" s="243">
        <f t="shared" si="445"/>
        <v>3.7152803873671201</v>
      </c>
      <c r="T151" s="316">
        <f t="shared" si="434"/>
        <v>4.753092186092549</v>
      </c>
      <c r="U151" s="316">
        <f t="shared" si="434"/>
        <v>6.2946462880144241</v>
      </c>
      <c r="V151" s="316">
        <f t="shared" si="434"/>
        <v>7.961524212213539</v>
      </c>
      <c r="W151" s="243"/>
      <c r="X151" s="243">
        <f t="shared" si="439"/>
        <v>3.4875000637820444</v>
      </c>
      <c r="Y151" s="243">
        <f t="shared" si="440"/>
        <v>3.6868160291292309</v>
      </c>
      <c r="Z151" s="243">
        <f t="shared" si="441"/>
        <v>3.8569705288653453</v>
      </c>
      <c r="AA151" s="243">
        <f t="shared" si="442"/>
        <v>3.6927451955921633</v>
      </c>
      <c r="AB151" s="243">
        <f t="shared" si="443"/>
        <v>3.7152803873671201</v>
      </c>
      <c r="AC151" s="243" t="e">
        <f t="shared" si="436"/>
        <v>#N/A</v>
      </c>
      <c r="AD151" s="243" t="e">
        <f t="shared" si="436"/>
        <v>#N/A</v>
      </c>
      <c r="AE151" s="243" t="e">
        <f t="shared" si="436"/>
        <v>#N/A</v>
      </c>
      <c r="AF151" s="243"/>
      <c r="AG151" s="243"/>
      <c r="AH151" s="243"/>
      <c r="AJ151" s="257"/>
      <c r="AK151" s="243"/>
      <c r="AL151" s="243"/>
      <c r="AM151" s="243"/>
      <c r="AN151" s="243"/>
      <c r="AO151" s="243"/>
      <c r="AP151" s="243"/>
      <c r="AQ151" s="243"/>
      <c r="AR151" s="243"/>
      <c r="AS151" s="243"/>
      <c r="AT151" s="243"/>
      <c r="AU151" s="243"/>
    </row>
    <row r="152" spans="1:47">
      <c r="A152" s="194" t="s">
        <v>16</v>
      </c>
      <c r="B152" s="194" t="s">
        <v>129</v>
      </c>
      <c r="C152" s="194" t="s">
        <v>87</v>
      </c>
      <c r="D152" s="194" t="s">
        <v>86</v>
      </c>
      <c r="E152" s="310">
        <v>0.61799148971758899</v>
      </c>
      <c r="F152" s="51">
        <f t="shared" si="424"/>
        <v>1.1005748482544424</v>
      </c>
      <c r="G152" s="51">
        <f t="shared" si="425"/>
        <v>0.81517994839590147</v>
      </c>
      <c r="H152" s="51">
        <f t="shared" si="426"/>
        <v>0.83415435481938982</v>
      </c>
      <c r="I152" s="51">
        <f t="shared" si="427"/>
        <v>0.86283771464679471</v>
      </c>
      <c r="J152" s="51">
        <f t="shared" si="428"/>
        <v>0.8556093195052763</v>
      </c>
      <c r="K152" s="51">
        <f t="shared" si="429"/>
        <v>0.86903732395814148</v>
      </c>
      <c r="L152" s="51">
        <f t="shared" si="430"/>
        <v>0.81414025921725031</v>
      </c>
      <c r="M152" s="51">
        <f t="shared" si="431"/>
        <v>0.73084750160921663</v>
      </c>
      <c r="N152" s="258" t="str">
        <f t="shared" si="432"/>
        <v>Bus vehicle km</v>
      </c>
      <c r="O152" s="243">
        <f>O137*O$129/O142</f>
        <v>1.1005748482544424</v>
      </c>
      <c r="P152" s="243">
        <f t="shared" ref="P152:S152" si="446">P137*P$129/P142</f>
        <v>0.81517994839590147</v>
      </c>
      <c r="Q152" s="243">
        <f t="shared" si="446"/>
        <v>0.83415435481938982</v>
      </c>
      <c r="R152" s="243">
        <f t="shared" si="446"/>
        <v>0.86283771464679471</v>
      </c>
      <c r="S152" s="243">
        <f t="shared" si="446"/>
        <v>0.8556093195052763</v>
      </c>
      <c r="T152" s="316">
        <f t="shared" ref="T152:V153" si="447">T137*T$129/T142</f>
        <v>0.86903732395814148</v>
      </c>
      <c r="U152" s="316">
        <f t="shared" si="447"/>
        <v>0.81414025921725031</v>
      </c>
      <c r="V152" s="316">
        <f t="shared" si="447"/>
        <v>0.73084750160921663</v>
      </c>
      <c r="W152" s="243"/>
      <c r="X152" s="243">
        <f t="shared" si="439"/>
        <v>1.1005748482544424</v>
      </c>
      <c r="Y152" s="243">
        <f t="shared" si="440"/>
        <v>0.81517994839590147</v>
      </c>
      <c r="Z152" s="243">
        <f t="shared" si="441"/>
        <v>0.83415435481938982</v>
      </c>
      <c r="AA152" s="243">
        <f t="shared" si="442"/>
        <v>0.86283771464679471</v>
      </c>
      <c r="AB152" s="243">
        <f t="shared" si="443"/>
        <v>0.8556093195052763</v>
      </c>
      <c r="AC152" s="243" t="e">
        <f>AC164/AC142</f>
        <v>#N/A</v>
      </c>
      <c r="AD152" s="243" t="e">
        <f t="shared" ref="AD152:AE152" si="448">AD164/AD142</f>
        <v>#N/A</v>
      </c>
      <c r="AE152" s="243" t="e">
        <f t="shared" si="448"/>
        <v>#N/A</v>
      </c>
      <c r="AF152" s="243"/>
      <c r="AG152" s="243"/>
      <c r="AH152" s="243"/>
      <c r="AJ152" s="257"/>
      <c r="AK152" s="243"/>
      <c r="AL152" s="243"/>
      <c r="AM152" s="243"/>
      <c r="AN152" s="243"/>
      <c r="AO152" s="243"/>
      <c r="AP152" s="243"/>
      <c r="AQ152" s="243"/>
      <c r="AR152" s="243"/>
      <c r="AS152" s="243"/>
      <c r="AT152" s="243"/>
      <c r="AU152" s="243"/>
    </row>
    <row r="153" spans="1:47">
      <c r="A153" s="194" t="s">
        <v>16</v>
      </c>
      <c r="B153" s="194" t="s">
        <v>130</v>
      </c>
      <c r="C153" s="194" t="s">
        <v>88</v>
      </c>
      <c r="D153" s="194" t="s">
        <v>86</v>
      </c>
      <c r="E153" s="310">
        <f t="shared" ref="E153" si="449">E138*E$129/E143</f>
        <v>5.9130328062411968</v>
      </c>
      <c r="F153" s="51">
        <f t="shared" si="424"/>
        <v>6.8127701567981385</v>
      </c>
      <c r="G153" s="51">
        <f t="shared" si="425"/>
        <v>7.701326008614755</v>
      </c>
      <c r="H153" s="51">
        <f t="shared" si="426"/>
        <v>7.8805846986436094</v>
      </c>
      <c r="I153" s="51">
        <f t="shared" si="427"/>
        <v>8.1515676950825338</v>
      </c>
      <c r="J153" s="51">
        <f t="shared" si="428"/>
        <v>8.0832781994767302</v>
      </c>
      <c r="K153" s="51">
        <f t="shared" si="429"/>
        <v>8.2101378457918024</v>
      </c>
      <c r="L153" s="51">
        <f t="shared" si="430"/>
        <v>7.6915036554911547</v>
      </c>
      <c r="M153" s="51">
        <f t="shared" si="431"/>
        <v>6.9046041718148716</v>
      </c>
      <c r="N153" s="258" t="str">
        <f t="shared" si="432"/>
        <v>Minibus vehicle km</v>
      </c>
      <c r="O153" s="243">
        <f>O138*O$129/O143</f>
        <v>6.8127701567981385</v>
      </c>
      <c r="P153" s="243">
        <f t="shared" ref="P153:S153" si="450">P138*P$129/P143</f>
        <v>7.701326008614755</v>
      </c>
      <c r="Q153" s="243">
        <f t="shared" si="450"/>
        <v>7.8805846986436094</v>
      </c>
      <c r="R153" s="243">
        <f t="shared" si="450"/>
        <v>8.1515676950825338</v>
      </c>
      <c r="S153" s="243">
        <f t="shared" si="450"/>
        <v>8.0832781994767302</v>
      </c>
      <c r="T153" s="316">
        <f t="shared" si="447"/>
        <v>8.2101378457918024</v>
      </c>
      <c r="U153" s="316">
        <f t="shared" si="447"/>
        <v>7.6915036554911547</v>
      </c>
      <c r="V153" s="316">
        <f t="shared" si="447"/>
        <v>6.9046041718148716</v>
      </c>
      <c r="W153" s="243"/>
      <c r="X153" s="243">
        <f t="shared" si="439"/>
        <v>6.8127701567981385</v>
      </c>
      <c r="Y153" s="243">
        <f t="shared" si="440"/>
        <v>7.701326008614755</v>
      </c>
      <c r="Z153" s="243">
        <f t="shared" si="441"/>
        <v>7.8805846986436094</v>
      </c>
      <c r="AA153" s="243">
        <f t="shared" si="442"/>
        <v>8.1515676950825338</v>
      </c>
      <c r="AB153" s="243">
        <f t="shared" si="443"/>
        <v>8.0832781994767302</v>
      </c>
      <c r="AC153" s="243" t="e">
        <f>AC165/AC143</f>
        <v>#N/A</v>
      </c>
      <c r="AD153" s="243" t="e">
        <f t="shared" ref="AD153:AE153" si="451">AD165/AD143</f>
        <v>#N/A</v>
      </c>
      <c r="AE153" s="243" t="e">
        <f t="shared" si="451"/>
        <v>#N/A</v>
      </c>
      <c r="AF153" s="243"/>
      <c r="AG153" s="243"/>
      <c r="AH153" s="243"/>
      <c r="AJ153" s="243"/>
      <c r="AK153" s="243"/>
      <c r="AL153" s="243"/>
      <c r="AM153" s="243"/>
      <c r="AN153" s="243"/>
      <c r="AO153" s="243"/>
      <c r="AP153" s="243"/>
      <c r="AQ153" s="243"/>
      <c r="AR153" s="243"/>
      <c r="AS153" s="243"/>
      <c r="AT153" s="243"/>
      <c r="AU153" s="243"/>
    </row>
    <row r="154" spans="1:47">
      <c r="A154" s="194" t="s">
        <v>16</v>
      </c>
      <c r="B154" s="194" t="s">
        <v>131</v>
      </c>
      <c r="C154" s="194" t="s">
        <v>89</v>
      </c>
      <c r="D154" s="194" t="s">
        <v>86</v>
      </c>
      <c r="E154" s="310">
        <f t="shared" ref="E154" si="452">E$127/E144</f>
        <v>2.1087604842955274E-2</v>
      </c>
      <c r="F154" s="51">
        <f t="shared" si="424"/>
        <v>3.1269715527094177E-2</v>
      </c>
      <c r="G154" s="51">
        <f t="shared" si="425"/>
        <v>6.2919830609995675E-2</v>
      </c>
      <c r="H154" s="51">
        <f t="shared" si="426"/>
        <v>0.10155968711451488</v>
      </c>
      <c r="I154" s="51">
        <f t="shared" si="427"/>
        <v>0.10425069329756113</v>
      </c>
      <c r="J154" s="51">
        <f t="shared" si="428"/>
        <v>0.29374525410217339</v>
      </c>
      <c r="K154" s="51">
        <f t="shared" si="429"/>
        <v>0.56778336073069768</v>
      </c>
      <c r="L154" s="51">
        <f t="shared" si="430"/>
        <v>1.0794151821685656</v>
      </c>
      <c r="M154" s="51">
        <f t="shared" si="431"/>
        <v>1.5545745187505957</v>
      </c>
      <c r="N154" s="258" t="str">
        <f t="shared" si="432"/>
        <v>BRT vehicle km</v>
      </c>
      <c r="O154" s="243">
        <f>O$127/O144</f>
        <v>3.1269715527094177E-2</v>
      </c>
      <c r="P154" s="243">
        <f t="shared" ref="P154:S154" si="453">P$127/P144</f>
        <v>6.2919830609995675E-2</v>
      </c>
      <c r="Q154" s="243">
        <f t="shared" si="453"/>
        <v>0.10155968711451488</v>
      </c>
      <c r="R154" s="243">
        <f t="shared" si="453"/>
        <v>0.10425069329756113</v>
      </c>
      <c r="S154" s="243">
        <f t="shared" si="453"/>
        <v>0.29374525410217339</v>
      </c>
      <c r="T154" s="316">
        <f>T$127/T144</f>
        <v>0.56778336073069768</v>
      </c>
      <c r="U154" s="316">
        <f>U$127/U144</f>
        <v>1.0794151821685656</v>
      </c>
      <c r="V154" s="316">
        <f>V$127/V144</f>
        <v>1.5545745187505957</v>
      </c>
      <c r="W154" s="243"/>
      <c r="X154" s="243">
        <f t="shared" si="439"/>
        <v>3.1269715527094177E-2</v>
      </c>
      <c r="Y154" s="243">
        <f t="shared" si="440"/>
        <v>6.2919830609995675E-2</v>
      </c>
      <c r="Z154" s="243">
        <f t="shared" si="441"/>
        <v>0.10155968711451488</v>
      </c>
      <c r="AA154" s="243">
        <f t="shared" si="442"/>
        <v>0.10425069329756113</v>
      </c>
      <c r="AB154" s="243">
        <f t="shared" si="443"/>
        <v>0.29374525410217339</v>
      </c>
      <c r="AC154" s="243" t="e">
        <f>AC166/AC144</f>
        <v>#N/A</v>
      </c>
      <c r="AD154" s="243" t="e">
        <f t="shared" ref="AD154" si="454">AD166/AD144</f>
        <v>#N/A</v>
      </c>
      <c r="AE154" s="243" t="e">
        <f>AE166/AE144</f>
        <v>#N/A</v>
      </c>
      <c r="AF154" s="243"/>
      <c r="AG154" s="243"/>
      <c r="AH154" s="243"/>
      <c r="AJ154" s="243"/>
      <c r="AK154" s="243"/>
      <c r="AL154" s="243"/>
      <c r="AM154" s="243"/>
      <c r="AN154" s="243"/>
      <c r="AO154" s="243"/>
      <c r="AP154" s="243"/>
      <c r="AQ154" s="243"/>
      <c r="AR154" s="243"/>
      <c r="AS154" s="243"/>
      <c r="AT154" s="243"/>
      <c r="AU154" s="243"/>
    </row>
    <row r="155" spans="1:47">
      <c r="A155" s="194" t="s">
        <v>16</v>
      </c>
      <c r="B155" s="194" t="s">
        <v>132</v>
      </c>
      <c r="C155" s="194" t="s">
        <v>90</v>
      </c>
      <c r="D155" s="194" t="str">
        <f>D154</f>
        <v>billion</v>
      </c>
      <c r="E155" s="310">
        <f>E139*E$129</f>
        <v>14.377943324329372</v>
      </c>
      <c r="F155" s="51">
        <f t="shared" si="424"/>
        <v>12.045661044795077</v>
      </c>
      <c r="G155" s="51">
        <f t="shared" si="425"/>
        <v>9.5012527769116826</v>
      </c>
      <c r="H155" s="51">
        <f t="shared" si="426"/>
        <v>9.7224071761043689</v>
      </c>
      <c r="I155" s="51">
        <f t="shared" si="427"/>
        <v>10.056723363281892</v>
      </c>
      <c r="J155" s="51">
        <f t="shared" si="428"/>
        <v>9.9724734874770302</v>
      </c>
      <c r="K155" s="51">
        <f t="shared" si="429"/>
        <v>10.128982323160761</v>
      </c>
      <c r="L155" s="51">
        <f t="shared" si="430"/>
        <v>9.4891347780388884</v>
      </c>
      <c r="M155" s="51">
        <f t="shared" si="431"/>
        <v>8.5183239207830912</v>
      </c>
      <c r="N155" s="258" t="str">
        <f t="shared" si="432"/>
        <v>Metro Rail pkm</v>
      </c>
      <c r="O155" s="243">
        <f>O139*O$129</f>
        <v>12.045661044795077</v>
      </c>
      <c r="P155" s="243">
        <f t="shared" ref="P155:S155" si="455">P139*P$129</f>
        <v>9.5012527769116826</v>
      </c>
      <c r="Q155" s="243">
        <f t="shared" si="455"/>
        <v>9.7224071761043689</v>
      </c>
      <c r="R155" s="243">
        <f t="shared" si="455"/>
        <v>10.056723363281892</v>
      </c>
      <c r="S155" s="243">
        <f t="shared" si="455"/>
        <v>9.9724734874770302</v>
      </c>
      <c r="T155" s="316">
        <f>T139*T$129</f>
        <v>10.128982323160761</v>
      </c>
      <c r="U155" s="316">
        <f>U139*U$129</f>
        <v>9.4891347780388884</v>
      </c>
      <c r="V155" s="316">
        <f>V139*V$129</f>
        <v>8.5183239207830912</v>
      </c>
      <c r="W155" s="243"/>
      <c r="X155" s="243">
        <f t="shared" si="439"/>
        <v>12.045661044795077</v>
      </c>
      <c r="Y155" s="243">
        <f t="shared" si="440"/>
        <v>9.5012527769116826</v>
      </c>
      <c r="Z155" s="243">
        <f t="shared" si="441"/>
        <v>9.7224071761043689</v>
      </c>
      <c r="AA155" s="243">
        <f t="shared" si="442"/>
        <v>10.056723363281892</v>
      </c>
      <c r="AB155" s="243">
        <f t="shared" si="443"/>
        <v>9.9724734874770302</v>
      </c>
      <c r="AC155" s="243" t="e">
        <f t="shared" ref="AC155:AE156" si="456">AC167</f>
        <v>#N/A</v>
      </c>
      <c r="AD155" s="243" t="e">
        <f t="shared" si="456"/>
        <v>#N/A</v>
      </c>
      <c r="AE155" s="243" t="e">
        <f t="shared" si="456"/>
        <v>#N/A</v>
      </c>
      <c r="AF155" s="243"/>
      <c r="AG155" s="243"/>
      <c r="AH155" s="243"/>
      <c r="AJ155" s="243"/>
      <c r="AK155" s="243"/>
      <c r="AL155" s="243"/>
      <c r="AM155" s="243"/>
      <c r="AN155" s="243"/>
      <c r="AO155" s="243"/>
      <c r="AP155" s="243"/>
      <c r="AQ155" s="243"/>
      <c r="AR155" s="243"/>
      <c r="AS155" s="243"/>
      <c r="AT155" s="243"/>
      <c r="AU155" s="243"/>
    </row>
    <row r="156" spans="1:47">
      <c r="A156" s="194" t="s">
        <v>16</v>
      </c>
      <c r="B156" s="194" t="s">
        <v>133</v>
      </c>
      <c r="C156" s="194" t="s">
        <v>91</v>
      </c>
      <c r="D156" s="194" t="s">
        <v>86</v>
      </c>
      <c r="E156" s="310">
        <f t="shared" ref="E156" si="457">E128</f>
        <v>0.53452578037785492</v>
      </c>
      <c r="F156" s="51">
        <f t="shared" si="424"/>
        <v>0.58840536503250629</v>
      </c>
      <c r="G156" s="51">
        <f t="shared" si="425"/>
        <v>0.62462624083765128</v>
      </c>
      <c r="H156" s="51">
        <f t="shared" si="426"/>
        <v>0.67226296980162004</v>
      </c>
      <c r="I156" s="51">
        <f t="shared" si="427"/>
        <v>0.64616666359533781</v>
      </c>
      <c r="J156" s="51">
        <f t="shared" si="428"/>
        <v>0.64672402075743496</v>
      </c>
      <c r="K156" s="51">
        <f t="shared" si="429"/>
        <v>0.82430505614031691</v>
      </c>
      <c r="L156" s="51">
        <f t="shared" si="430"/>
        <v>1.0556620991476746</v>
      </c>
      <c r="M156" s="51">
        <f t="shared" si="431"/>
        <v>1.2746406348095956</v>
      </c>
      <c r="N156" s="258" t="str">
        <f t="shared" si="432"/>
        <v>Gautrain pkm</v>
      </c>
      <c r="O156" s="243">
        <f>O128</f>
        <v>0.58840536503250629</v>
      </c>
      <c r="P156" s="243">
        <f t="shared" ref="P156:S156" si="458">P128</f>
        <v>0.62462624083765128</v>
      </c>
      <c r="Q156" s="243">
        <f t="shared" si="458"/>
        <v>0.67226296980162004</v>
      </c>
      <c r="R156" s="243">
        <f t="shared" si="458"/>
        <v>0.64616666359533781</v>
      </c>
      <c r="S156" s="243">
        <f t="shared" si="458"/>
        <v>0.64672402075743496</v>
      </c>
      <c r="T156" s="316">
        <f>T128</f>
        <v>0.82430505614031691</v>
      </c>
      <c r="U156" s="316">
        <f>U128</f>
        <v>1.0556620991476746</v>
      </c>
      <c r="V156" s="316">
        <f>V128</f>
        <v>1.2746406348095956</v>
      </c>
      <c r="W156" s="243"/>
      <c r="X156" s="243">
        <f t="shared" si="439"/>
        <v>0.58840536503250629</v>
      </c>
      <c r="Y156" s="243">
        <f t="shared" si="440"/>
        <v>0.62462624083765128</v>
      </c>
      <c r="Z156" s="243">
        <f t="shared" si="441"/>
        <v>0.67226296980162004</v>
      </c>
      <c r="AA156" s="243">
        <f t="shared" si="442"/>
        <v>0.64616666359533781</v>
      </c>
      <c r="AB156" s="243">
        <f t="shared" si="443"/>
        <v>0.64672402075743496</v>
      </c>
      <c r="AC156" s="243" t="e">
        <f t="shared" si="456"/>
        <v>#N/A</v>
      </c>
      <c r="AD156" s="243" t="e">
        <f t="shared" si="456"/>
        <v>#N/A</v>
      </c>
      <c r="AE156" s="243" t="e">
        <f t="shared" si="456"/>
        <v>#N/A</v>
      </c>
      <c r="AF156" s="243"/>
      <c r="AG156" s="243"/>
      <c r="AH156" s="243"/>
      <c r="AJ156" s="243"/>
      <c r="AK156" s="243"/>
      <c r="AL156" s="243"/>
      <c r="AM156" s="243"/>
      <c r="AN156" s="243"/>
      <c r="AO156" s="243"/>
      <c r="AP156" s="243"/>
      <c r="AQ156" s="243"/>
      <c r="AR156" s="243"/>
      <c r="AS156" s="243"/>
      <c r="AT156" s="243"/>
      <c r="AU156" s="243"/>
    </row>
    <row r="157" spans="1:47">
      <c r="A157" s="194" t="s">
        <v>16</v>
      </c>
      <c r="L157" s="194"/>
      <c r="N157" s="41"/>
      <c r="AI157" s="194" t="s">
        <v>630</v>
      </c>
    </row>
    <row r="158" spans="1:47">
      <c r="A158" s="194" t="s">
        <v>16</v>
      </c>
      <c r="L158" s="194"/>
      <c r="N158" s="41"/>
      <c r="X158" s="284"/>
      <c r="AA158" s="284"/>
      <c r="AB158" s="284"/>
      <c r="AD158" s="284"/>
      <c r="AI158" s="194" t="s">
        <v>620</v>
      </c>
      <c r="AM158" s="194" t="s">
        <v>625</v>
      </c>
      <c r="AQ158" s="194" t="s">
        <v>626</v>
      </c>
    </row>
    <row r="159" spans="1:47" ht="15.75" thickBot="1">
      <c r="A159" s="194" t="s">
        <v>16</v>
      </c>
      <c r="E159" s="257"/>
      <c r="L159" s="194"/>
      <c r="N159" s="41"/>
      <c r="O159" s="194" t="s">
        <v>41</v>
      </c>
      <c r="T159" s="10"/>
      <c r="X159" s="194" t="s">
        <v>197</v>
      </c>
      <c r="AB159" s="10"/>
      <c r="AI159" s="261">
        <v>1</v>
      </c>
      <c r="AJ159" s="261">
        <v>1</v>
      </c>
      <c r="AK159" s="261">
        <v>1</v>
      </c>
      <c r="AL159" s="261"/>
      <c r="AM159" s="261">
        <v>2</v>
      </c>
      <c r="AN159" s="261">
        <v>2</v>
      </c>
      <c r="AO159" s="261">
        <v>2</v>
      </c>
      <c r="AQ159" s="261">
        <v>3</v>
      </c>
      <c r="AR159" s="261">
        <v>3</v>
      </c>
      <c r="AS159" s="261">
        <v>3</v>
      </c>
    </row>
    <row r="160" spans="1:47" ht="15.75" thickBot="1">
      <c r="A160" s="194" t="s">
        <v>16</v>
      </c>
      <c r="C160" s="237" t="s">
        <v>141</v>
      </c>
      <c r="D160" s="23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308">
        <f>O$12</f>
        <v>2015</v>
      </c>
      <c r="P160" s="308">
        <f t="shared" ref="P160:V160" si="460">P$12</f>
        <v>2017</v>
      </c>
      <c r="Q160" s="308">
        <f t="shared" si="460"/>
        <v>2019</v>
      </c>
      <c r="R160" s="308">
        <f t="shared" si="460"/>
        <v>2020</v>
      </c>
      <c r="S160" s="308">
        <f t="shared" si="460"/>
        <v>2021</v>
      </c>
      <c r="T160" s="308">
        <f t="shared" si="460"/>
        <v>2030</v>
      </c>
      <c r="U160" s="308">
        <f t="shared" si="460"/>
        <v>2040</v>
      </c>
      <c r="V160" s="308">
        <f t="shared" si="460"/>
        <v>2050</v>
      </c>
      <c r="X160" s="308">
        <f>X$12</f>
        <v>2015</v>
      </c>
      <c r="Y160" s="308">
        <f t="shared" ref="Y160:AE160" si="461">Y$12</f>
        <v>2017</v>
      </c>
      <c r="Z160" s="308">
        <f t="shared" si="461"/>
        <v>2019</v>
      </c>
      <c r="AA160" s="308">
        <f t="shared" si="461"/>
        <v>2020</v>
      </c>
      <c r="AB160" s="308">
        <f t="shared" si="461"/>
        <v>2021</v>
      </c>
      <c r="AC160" s="308">
        <f t="shared" si="461"/>
        <v>2030</v>
      </c>
      <c r="AD160" s="308">
        <f t="shared" si="461"/>
        <v>2040</v>
      </c>
      <c r="AE160" s="308">
        <f t="shared" si="461"/>
        <v>2050</v>
      </c>
      <c r="AI160" s="261">
        <v>2030</v>
      </c>
      <c r="AJ160" s="261">
        <v>2040</v>
      </c>
      <c r="AK160" s="261">
        <v>2050</v>
      </c>
      <c r="AL160" s="261"/>
      <c r="AM160" s="261">
        <v>2030</v>
      </c>
      <c r="AN160" s="261">
        <v>2040</v>
      </c>
      <c r="AO160" s="261">
        <v>2050</v>
      </c>
      <c r="AQ160" s="261">
        <v>2030</v>
      </c>
      <c r="AR160" s="261">
        <v>2040</v>
      </c>
      <c r="AS160" s="261">
        <v>2050</v>
      </c>
    </row>
    <row r="161" spans="1:46">
      <c r="A161" s="194" t="s">
        <v>16</v>
      </c>
      <c r="B161" s="194" t="s">
        <v>128</v>
      </c>
      <c r="C161" s="194" t="s">
        <v>100</v>
      </c>
      <c r="D161" s="194" t="s">
        <v>86</v>
      </c>
      <c r="E161" s="310">
        <f>SUMPRODUCT(E$35:E$38,E$41:E$44,E$54:E$57)*E132</f>
        <v>114.07873981990045</v>
      </c>
      <c r="F161" s="51">
        <f t="shared" ref="F161:F168" si="462">IF($D$4,X161,O161)</f>
        <v>124.74168661290844</v>
      </c>
      <c r="G161" s="51">
        <f t="shared" ref="G161:G168" si="463">IF($D$4,Y161,P161)</f>
        <v>131.87086488719498</v>
      </c>
      <c r="H161" s="51">
        <f t="shared" ref="H161:H168" si="464">IF($D$4,Z161,Q161)</f>
        <v>137.95698930115148</v>
      </c>
      <c r="I161" s="51">
        <f t="shared" ref="I161:I168" si="465">IF($D$4,AA161,R161)</f>
        <v>132.08294064669849</v>
      </c>
      <c r="J161" s="51">
        <f t="shared" ref="J161:J168" si="466">IF($D$4,AB161,S161)</f>
        <v>132.88898445422311</v>
      </c>
      <c r="K161" s="51">
        <f t="shared" ref="K161:K168" si="467">IF($D$4,AC161,T161)</f>
        <v>170.00967027276161</v>
      </c>
      <c r="L161" s="51">
        <f t="shared" ref="L161:L168" si="468">IF($D$4,AD161,U161)</f>
        <v>225.14832408263294</v>
      </c>
      <c r="M161" s="51">
        <f t="shared" ref="M161:M168" si="469">IF($D$4,AE161,V161)</f>
        <v>284.76958855278491</v>
      </c>
      <c r="N161" s="194" t="str">
        <f t="shared" ref="N161:N168" si="470">C161</f>
        <v>Car</v>
      </c>
      <c r="O161" s="10">
        <f>SUMPRODUCT(O$35:O$38,O$41:O$44,O$54:O$57)*O132</f>
        <v>124.74168661290844</v>
      </c>
      <c r="P161" s="10">
        <f t="shared" ref="P161:S161" si="471">SUMPRODUCT(P$35:P$38,P$41:P$44,P$54:P$57)*P132</f>
        <v>131.87086488719498</v>
      </c>
      <c r="Q161" s="10">
        <f t="shared" si="471"/>
        <v>137.95698930115148</v>
      </c>
      <c r="R161" s="10">
        <f t="shared" si="471"/>
        <v>132.08294064669849</v>
      </c>
      <c r="S161" s="10">
        <f t="shared" si="471"/>
        <v>132.88898445422311</v>
      </c>
      <c r="T161" s="318">
        <f t="shared" ref="T161:V163" si="472">SUMPRODUCT(T$35:T$38,T$41:T$44,T$54:T$57)*T132</f>
        <v>170.00967027276161</v>
      </c>
      <c r="U161" s="318">
        <f t="shared" si="472"/>
        <v>225.14832408263294</v>
      </c>
      <c r="V161" s="318">
        <f t="shared" si="472"/>
        <v>284.76958855278491</v>
      </c>
      <c r="X161" s="10">
        <f>O161</f>
        <v>124.74168661290844</v>
      </c>
      <c r="Y161" s="10">
        <f t="shared" ref="Y161:AB161" si="473">P161</f>
        <v>131.87086488719498</v>
      </c>
      <c r="Z161" s="10">
        <f t="shared" si="473"/>
        <v>137.95698930115148</v>
      </c>
      <c r="AA161" s="10">
        <f t="shared" si="473"/>
        <v>132.08294064669849</v>
      </c>
      <c r="AB161" s="10">
        <f t="shared" si="473"/>
        <v>132.88898445422311</v>
      </c>
      <c r="AC161" s="322" t="e" cm="1">
        <f t="array" ref="AC161">T161*INDEX($AI$161:$AS$168,MATCH($C161,$C$161:$C$168,0),MATCH(AC$160&amp;$D$3,$AI$160:$AS$160&amp;$AI$159:$AS$159,0))</f>
        <v>#N/A</v>
      </c>
      <c r="AD161" s="322" t="e">
        <f t="array" ref="AD161">U161*INDEX($AI$161:$AS$168,MATCH($C161,$C$161:$C$168,0),MATCH(AD$160&amp;$D$3,$AI$160:$AS$160&amp;$AI$159:$AS$159,0))</f>
        <v>#N/A</v>
      </c>
      <c r="AE161" s="322" t="e" cm="1">
        <f t="array" ref="AE161">V161*INDEX($AI$161:$AS$168,MATCH($C161,$C$161:$C$168,0),MATCH(AE$160&amp;$D$3,$AI$160:$AS$160&amp;$AI$159:$AS$159,0))</f>
        <v>#N/A</v>
      </c>
      <c r="AI161" s="243">
        <v>0.8</v>
      </c>
      <c r="AJ161" s="243">
        <f>AVERAGE(AI161,AK161)</f>
        <v>0.8</v>
      </c>
      <c r="AK161" s="243">
        <v>0.8</v>
      </c>
      <c r="AL161" s="257"/>
      <c r="AM161" s="243">
        <f>AVERAGE(1,1,AO161)</f>
        <v>0.93333333333333324</v>
      </c>
      <c r="AN161" s="243">
        <f>AVERAGE(AM161,AO161)</f>
        <v>0.8666666666666667</v>
      </c>
      <c r="AO161" s="243">
        <v>0.8</v>
      </c>
      <c r="AQ161" s="243">
        <v>0.8</v>
      </c>
      <c r="AR161" s="243">
        <f>AVERAGE(AS161,AQ161)</f>
        <v>0.75</v>
      </c>
      <c r="AS161" s="243">
        <v>0.7</v>
      </c>
    </row>
    <row r="162" spans="1:46">
      <c r="A162" s="194" t="s">
        <v>16</v>
      </c>
      <c r="B162" s="194" t="s">
        <v>127</v>
      </c>
      <c r="C162" s="194" t="s">
        <v>99</v>
      </c>
      <c r="D162" s="194" t="s">
        <v>86</v>
      </c>
      <c r="E162" s="310">
        <f t="shared" ref="E162:E163" si="474">SUMPRODUCT(E$35:E$38,E$41:E$44,E$54:E$57)*E133</f>
        <v>13.098688807738631</v>
      </c>
      <c r="F162" s="51">
        <f t="shared" si="462"/>
        <v>14.323024052286286</v>
      </c>
      <c r="G162" s="51">
        <f t="shared" si="463"/>
        <v>15.141606794497473</v>
      </c>
      <c r="H162" s="51">
        <f t="shared" si="464"/>
        <v>15.840424557294059</v>
      </c>
      <c r="I162" s="51">
        <f t="shared" si="465"/>
        <v>15.165957645337752</v>
      </c>
      <c r="J162" s="51">
        <f t="shared" si="466"/>
        <v>15.258508781656737</v>
      </c>
      <c r="K162" s="51">
        <f t="shared" si="467"/>
        <v>19.520760561738651</v>
      </c>
      <c r="L162" s="51">
        <f t="shared" si="468"/>
        <v>25.851861945514145</v>
      </c>
      <c r="M162" s="51">
        <f t="shared" si="469"/>
        <v>32.697663282830199</v>
      </c>
      <c r="N162" s="194" t="str">
        <f t="shared" si="470"/>
        <v>SUV</v>
      </c>
      <c r="O162" s="10">
        <f>SUMPRODUCT(O$35:O$38,O$41:O$44,O$54:O$57)*O133</f>
        <v>14.323024052286286</v>
      </c>
      <c r="P162" s="10">
        <f t="shared" ref="P162:S162" si="475">SUMPRODUCT(P$35:P$38,P$41:P$44,P$54:P$57)*P133</f>
        <v>15.141606794497473</v>
      </c>
      <c r="Q162" s="10">
        <f t="shared" si="475"/>
        <v>15.840424557294059</v>
      </c>
      <c r="R162" s="10">
        <f t="shared" si="475"/>
        <v>15.165957645337752</v>
      </c>
      <c r="S162" s="10">
        <f t="shared" si="475"/>
        <v>15.258508781656737</v>
      </c>
      <c r="T162" s="318">
        <f t="shared" si="472"/>
        <v>19.520760561738651</v>
      </c>
      <c r="U162" s="318">
        <f t="shared" si="472"/>
        <v>25.851861945514145</v>
      </c>
      <c r="V162" s="318">
        <f>SUMPRODUCT(V$35:V$38,V$41:V$44,V$54:V$57)*V133</f>
        <v>32.697663282830199</v>
      </c>
      <c r="X162" s="10">
        <f t="shared" ref="X162:X168" si="476">O162</f>
        <v>14.323024052286286</v>
      </c>
      <c r="Y162" s="10">
        <f t="shared" ref="Y162:Y168" si="477">P162</f>
        <v>15.141606794497473</v>
      </c>
      <c r="Z162" s="10">
        <f t="shared" ref="Z162:Z168" si="478">Q162</f>
        <v>15.840424557294059</v>
      </c>
      <c r="AA162" s="10">
        <f t="shared" ref="AA162:AA168" si="479">R162</f>
        <v>15.165957645337752</v>
      </c>
      <c r="AB162" s="10">
        <f t="shared" ref="AB162:AB168" si="480">S162</f>
        <v>15.258508781656737</v>
      </c>
      <c r="AC162" s="322" t="e">
        <f t="array" ref="AC162">T162*INDEX($AI$161:$AS$168,MATCH($C162,$C$161:$C$168,0),MATCH(AC$160&amp;$D$3,$AI$160:$AS$160&amp;$AI$159:$AS$159,0))</f>
        <v>#N/A</v>
      </c>
      <c r="AD162" s="322" t="e">
        <f t="array" ref="AD162">U162*INDEX($AI$161:$AS$168,MATCH($C162,$C$161:$C$168,0),MATCH(AD$160&amp;$D$3,$AI$160:$AS$160&amp;$AI$159:$AS$159,0))</f>
        <v>#N/A</v>
      </c>
      <c r="AE162" s="322" t="e">
        <f t="array" ref="AE162">V162*INDEX($AI$161:$AS$168,MATCH($C162,$C$161:$C$168,0),MATCH(AE$160&amp;$D$3,$AI$160:$AS$160&amp;$AI$159:$AS$159,0))</f>
        <v>#N/A</v>
      </c>
      <c r="AI162" s="243">
        <f>AI161</f>
        <v>0.8</v>
      </c>
      <c r="AJ162" s="243">
        <f t="shared" ref="AJ162:AK162" si="481">AJ161</f>
        <v>0.8</v>
      </c>
      <c r="AK162" s="243">
        <f t="shared" si="481"/>
        <v>0.8</v>
      </c>
      <c r="AL162" s="257"/>
      <c r="AM162" s="243">
        <f>AM161</f>
        <v>0.93333333333333324</v>
      </c>
      <c r="AN162" s="243">
        <f t="shared" ref="AN162:AO162" si="482">AN161</f>
        <v>0.8666666666666667</v>
      </c>
      <c r="AO162" s="243">
        <f t="shared" si="482"/>
        <v>0.8</v>
      </c>
      <c r="AQ162" s="243">
        <f>AQ161</f>
        <v>0.8</v>
      </c>
      <c r="AR162" s="243">
        <f t="shared" ref="AR162:AS162" si="483">AR161</f>
        <v>0.75</v>
      </c>
      <c r="AS162" s="243">
        <f t="shared" si="483"/>
        <v>0.7</v>
      </c>
    </row>
    <row r="163" spans="1:46">
      <c r="A163" s="194" t="s">
        <v>16</v>
      </c>
      <c r="B163" s="194" t="s">
        <v>183</v>
      </c>
      <c r="C163" s="194" t="s">
        <v>212</v>
      </c>
      <c r="D163" s="194" t="s">
        <v>86</v>
      </c>
      <c r="E163" s="310">
        <f t="shared" si="474"/>
        <v>4.4651429083665386</v>
      </c>
      <c r="F163" s="51">
        <f t="shared" si="462"/>
        <v>4.8825000892948616</v>
      </c>
      <c r="G163" s="51">
        <f t="shared" si="463"/>
        <v>5.1615424407809209</v>
      </c>
      <c r="H163" s="51">
        <f t="shared" si="464"/>
        <v>5.3997587404114826</v>
      </c>
      <c r="I163" s="51">
        <f t="shared" si="465"/>
        <v>5.169843273829029</v>
      </c>
      <c r="J163" s="51">
        <f t="shared" si="466"/>
        <v>5.2013925423139664</v>
      </c>
      <c r="K163" s="51">
        <f t="shared" si="467"/>
        <v>6.654329060529566</v>
      </c>
      <c r="L163" s="51">
        <f t="shared" si="468"/>
        <v>8.8125048032201931</v>
      </c>
      <c r="M163" s="51">
        <f t="shared" si="469"/>
        <v>11.146133897098952</v>
      </c>
      <c r="N163" s="194" t="str">
        <f t="shared" si="470"/>
        <v>Motorbike</v>
      </c>
      <c r="O163" s="10">
        <f>SUMPRODUCT(O$35:O$38,O$41:O$44,O$54:O$57)*O134</f>
        <v>4.8825000892948616</v>
      </c>
      <c r="P163" s="10">
        <f t="shared" ref="P163:S163" si="484">SUMPRODUCT(P$35:P$38,P$41:P$44,P$54:P$57)*P134</f>
        <v>5.1615424407809209</v>
      </c>
      <c r="Q163" s="10">
        <f t="shared" si="484"/>
        <v>5.3997587404114826</v>
      </c>
      <c r="R163" s="10">
        <f t="shared" si="484"/>
        <v>5.169843273829029</v>
      </c>
      <c r="S163" s="10">
        <f t="shared" si="484"/>
        <v>5.2013925423139664</v>
      </c>
      <c r="T163" s="318">
        <f t="shared" si="472"/>
        <v>6.654329060529566</v>
      </c>
      <c r="U163" s="318">
        <f t="shared" si="472"/>
        <v>8.8125048032201931</v>
      </c>
      <c r="V163" s="318">
        <f t="shared" si="472"/>
        <v>11.146133897098952</v>
      </c>
      <c r="X163" s="10">
        <f t="shared" si="476"/>
        <v>4.8825000892948616</v>
      </c>
      <c r="Y163" s="10">
        <f t="shared" si="477"/>
        <v>5.1615424407809209</v>
      </c>
      <c r="Z163" s="10">
        <f t="shared" si="478"/>
        <v>5.3997587404114826</v>
      </c>
      <c r="AA163" s="10">
        <f t="shared" si="479"/>
        <v>5.169843273829029</v>
      </c>
      <c r="AB163" s="10">
        <f t="shared" si="480"/>
        <v>5.2013925423139664</v>
      </c>
      <c r="AC163" s="322" t="e">
        <f t="array" ref="AC163">T163*INDEX($AI$161:$AS$168,MATCH($C163,$C$161:$C$168,0),MATCH(AC$160&amp;$D$3,$AI$160:$AS$160&amp;$AI$159:$AS$159,0))</f>
        <v>#N/A</v>
      </c>
      <c r="AD163" s="322" t="e">
        <f t="array" ref="AD163">U163*INDEX($AI$161:$AS$168,MATCH($C163,$C$161:$C$168,0),MATCH(AD$160&amp;$D$3,$AI$160:$AS$160&amp;$AI$159:$AS$159,0))</f>
        <v>#N/A</v>
      </c>
      <c r="AE163" s="322" t="e">
        <f t="array" ref="AE163">V163*INDEX($AI$161:$AS$168,MATCH($C163,$C$161:$C$168,0),MATCH(AE$160&amp;$D$3,$AI$160:$AS$160&amp;$AI$159:$AS$159,0))</f>
        <v>#N/A</v>
      </c>
      <c r="AI163" s="257">
        <v>1</v>
      </c>
      <c r="AJ163" s="257">
        <v>1</v>
      </c>
      <c r="AK163" s="257">
        <v>1</v>
      </c>
      <c r="AL163" s="257"/>
      <c r="AM163" s="257">
        <v>1</v>
      </c>
      <c r="AN163" s="257">
        <v>1</v>
      </c>
      <c r="AO163" s="257">
        <v>1</v>
      </c>
      <c r="AP163" s="257"/>
      <c r="AQ163" s="257">
        <v>1</v>
      </c>
      <c r="AR163" s="257">
        <v>1</v>
      </c>
      <c r="AS163" s="257">
        <v>1</v>
      </c>
    </row>
    <row r="164" spans="1:46">
      <c r="A164" s="194" t="s">
        <v>16</v>
      </c>
      <c r="B164" s="194" t="s">
        <v>129</v>
      </c>
      <c r="C164" s="194" t="s">
        <v>62</v>
      </c>
      <c r="D164" s="194" t="s">
        <v>86</v>
      </c>
      <c r="E164" s="310">
        <f t="shared" ref="E164:E166" si="485">E152*E142</f>
        <v>15.449787242939724</v>
      </c>
      <c r="F164" s="51">
        <f t="shared" si="462"/>
        <v>27.514371206361059</v>
      </c>
      <c r="G164" s="51">
        <f t="shared" si="463"/>
        <v>20.379498709897536</v>
      </c>
      <c r="H164" s="51">
        <f t="shared" si="464"/>
        <v>20.853858870484746</v>
      </c>
      <c r="I164" s="51">
        <f t="shared" si="465"/>
        <v>21.570942866169869</v>
      </c>
      <c r="J164" s="51">
        <f t="shared" si="466"/>
        <v>21.390232987631908</v>
      </c>
      <c r="K164" s="51">
        <f t="shared" si="467"/>
        <v>21.725933098953536</v>
      </c>
      <c r="L164" s="51">
        <f t="shared" si="468"/>
        <v>20.353506480431257</v>
      </c>
      <c r="M164" s="51">
        <f t="shared" si="469"/>
        <v>18.271187540230414</v>
      </c>
      <c r="N164" s="194" t="str">
        <f t="shared" si="470"/>
        <v>Bus</v>
      </c>
      <c r="O164" s="10">
        <f>O152*O142</f>
        <v>27.514371206361059</v>
      </c>
      <c r="P164" s="10">
        <f t="shared" ref="P164:S164" si="486">P152*P142</f>
        <v>20.379498709897536</v>
      </c>
      <c r="Q164" s="10">
        <f t="shared" si="486"/>
        <v>20.853858870484746</v>
      </c>
      <c r="R164" s="10">
        <f t="shared" si="486"/>
        <v>21.570942866169869</v>
      </c>
      <c r="S164" s="10">
        <f t="shared" si="486"/>
        <v>21.390232987631908</v>
      </c>
      <c r="T164" s="318">
        <f t="shared" ref="T164:V166" si="487">T152*T142</f>
        <v>21.725933098953536</v>
      </c>
      <c r="U164" s="318">
        <f t="shared" si="487"/>
        <v>20.353506480431257</v>
      </c>
      <c r="V164" s="318">
        <f t="shared" si="487"/>
        <v>18.271187540230414</v>
      </c>
      <c r="X164" s="10">
        <f t="shared" si="476"/>
        <v>27.514371206361059</v>
      </c>
      <c r="Y164" s="10">
        <f t="shared" si="477"/>
        <v>20.379498709897536</v>
      </c>
      <c r="Z164" s="10">
        <f t="shared" si="478"/>
        <v>20.853858870484746</v>
      </c>
      <c r="AA164" s="10">
        <f t="shared" si="479"/>
        <v>21.570942866169869</v>
      </c>
      <c r="AB164" s="10">
        <f t="shared" si="480"/>
        <v>21.390232987631908</v>
      </c>
      <c r="AC164" s="322" t="e">
        <f t="array" ref="AC164">T164+INDEX($AI$161:$AS$168,MATCH($C164,$C$161:$C$168,0),MATCH(AC$160&amp;$D$3,$AI$160:$AS$160&amp;$AI$159:$AS$159,0))</f>
        <v>#N/A</v>
      </c>
      <c r="AD164" s="322" t="e">
        <f t="array" ref="AD164">U164+INDEX($AI$161:$AS$168,MATCH($C164,$C$161:$C$168,0),MATCH(AD$160&amp;$D$3,$AI$160:$AS$160&amp;$AI$159:$AS$159,0))</f>
        <v>#N/A</v>
      </c>
      <c r="AE164" s="322" t="e">
        <f t="array" ref="AE164">V164+INDEX($AI$161:$AS$168,MATCH($C164,$C$161:$C$168,0),MATCH(AE$160&amp;$D$3,$AI$160:$AS$160&amp;$AI$159:$AS$159,0))</f>
        <v>#N/A</v>
      </c>
      <c r="AI164" s="10">
        <f t="shared" ref="AI164:AK168" si="488">SUM(T$161:T$162)*(1-AI$161) *AI175</f>
        <v>5.0894005794703485</v>
      </c>
      <c r="AJ164" s="10">
        <f t="shared" si="488"/>
        <v>6.7400284302328739</v>
      </c>
      <c r="AK164" s="10">
        <f t="shared" si="488"/>
        <v>8.5248474787982662</v>
      </c>
      <c r="AL164" s="10"/>
      <c r="AM164" s="10">
        <f t="shared" ref="AM164:AO168" si="489">SUM(T$161:T$162)*(1-AM$161) *AM175</f>
        <v>1.6964668598234522</v>
      </c>
      <c r="AN164" s="10">
        <f t="shared" si="489"/>
        <v>4.4933522868219153</v>
      </c>
      <c r="AO164" s="10">
        <f t="shared" si="489"/>
        <v>8.5248474787982662</v>
      </c>
      <c r="AP164" s="10"/>
      <c r="AQ164" s="10">
        <f t="shared" ref="AQ164:AS168" si="490">SUM(T$161:T$162)*(1-AQ$161) *AQ175</f>
        <v>5.0894005794703485</v>
      </c>
      <c r="AR164" s="10">
        <f t="shared" si="490"/>
        <v>8.4250355377910928</v>
      </c>
      <c r="AS164" s="10">
        <f t="shared" si="490"/>
        <v>12.787271218197404</v>
      </c>
    </row>
    <row r="165" spans="1:46">
      <c r="A165" s="194" t="s">
        <v>16</v>
      </c>
      <c r="B165" s="194" t="s">
        <v>130</v>
      </c>
      <c r="C165" s="194" t="s">
        <v>61</v>
      </c>
      <c r="D165" s="194" t="s">
        <v>86</v>
      </c>
      <c r="E165" s="310">
        <f t="shared" si="485"/>
        <v>82.782459287376753</v>
      </c>
      <c r="F165" s="51">
        <f t="shared" si="462"/>
        <v>95.37878219517394</v>
      </c>
      <c r="G165" s="51">
        <f t="shared" si="463"/>
        <v>107.81856412060657</v>
      </c>
      <c r="H165" s="51">
        <f t="shared" si="464"/>
        <v>110.32818578101053</v>
      </c>
      <c r="I165" s="51">
        <f t="shared" si="465"/>
        <v>114.12194773115547</v>
      </c>
      <c r="J165" s="51">
        <f t="shared" si="466"/>
        <v>113.16589479267422</v>
      </c>
      <c r="K165" s="51">
        <f t="shared" si="467"/>
        <v>114.94192984108523</v>
      </c>
      <c r="L165" s="51">
        <f t="shared" si="468"/>
        <v>107.68105117687617</v>
      </c>
      <c r="M165" s="51">
        <f t="shared" si="469"/>
        <v>96.664458405408197</v>
      </c>
      <c r="N165" s="194" t="str">
        <f t="shared" si="470"/>
        <v>Minibus</v>
      </c>
      <c r="O165" s="10">
        <f>O153*O143</f>
        <v>95.37878219517394</v>
      </c>
      <c r="P165" s="10">
        <f t="shared" ref="P165:S165" si="491">P153*P143</f>
        <v>107.81856412060657</v>
      </c>
      <c r="Q165" s="10">
        <f t="shared" si="491"/>
        <v>110.32818578101053</v>
      </c>
      <c r="R165" s="10">
        <f t="shared" si="491"/>
        <v>114.12194773115547</v>
      </c>
      <c r="S165" s="10">
        <f t="shared" si="491"/>
        <v>113.16589479267422</v>
      </c>
      <c r="T165" s="318">
        <f t="shared" si="487"/>
        <v>114.94192984108523</v>
      </c>
      <c r="U165" s="318">
        <f t="shared" si="487"/>
        <v>107.68105117687617</v>
      </c>
      <c r="V165" s="318">
        <f t="shared" si="487"/>
        <v>96.664458405408197</v>
      </c>
      <c r="X165" s="10">
        <f t="shared" si="476"/>
        <v>95.37878219517394</v>
      </c>
      <c r="Y165" s="10">
        <f t="shared" si="477"/>
        <v>107.81856412060657</v>
      </c>
      <c r="Z165" s="10">
        <f t="shared" si="478"/>
        <v>110.32818578101053</v>
      </c>
      <c r="AA165" s="10">
        <f t="shared" si="479"/>
        <v>114.12194773115547</v>
      </c>
      <c r="AB165" s="10">
        <f t="shared" si="480"/>
        <v>113.16589479267422</v>
      </c>
      <c r="AC165" s="322" t="e">
        <f t="array" ref="AC165">T165+INDEX($AI$161:$AS$168,MATCH($C165,$C$161:$C$168,0),MATCH(AC$160&amp;$D$3,$AI$160:$AS$160&amp;$AI$159:$AS$159,0))</f>
        <v>#N/A</v>
      </c>
      <c r="AD165" s="322" t="e">
        <f t="array" ref="AD165">U165+INDEX($AI$161:$AS$168,MATCH($C165,$C$161:$C$168,0),MATCH(AD$160&amp;$D$3,$AI$160:$AS$160&amp;$AI$159:$AS$159,0))</f>
        <v>#N/A</v>
      </c>
      <c r="AE165" s="322" t="e" cm="1">
        <f t="array" ref="AE165">V165+INDEX($AI$161:$AS$168,MATCH($C165,$C$161:$C$168,0),MATCH(AE$160&amp;$D$3,$AI$160:$AS$160&amp;$AI$159:$AS$159,0))</f>
        <v>#N/A</v>
      </c>
      <c r="AI165" s="10">
        <f t="shared" si="488"/>
        <v>26.925680092738389</v>
      </c>
      <c r="AJ165" s="10">
        <f t="shared" si="488"/>
        <v>35.658393654542827</v>
      </c>
      <c r="AK165" s="10">
        <f t="shared" si="488"/>
        <v>45.101051188507029</v>
      </c>
      <c r="AL165" s="10"/>
      <c r="AM165" s="10">
        <f t="shared" si="489"/>
        <v>8.9752266975794779</v>
      </c>
      <c r="AN165" s="10">
        <f t="shared" si="489"/>
        <v>23.772262436361885</v>
      </c>
      <c r="AO165" s="10">
        <f t="shared" si="489"/>
        <v>45.101051188507029</v>
      </c>
      <c r="AP165" s="10"/>
      <c r="AQ165" s="10">
        <f t="shared" si="490"/>
        <v>26.925680092738389</v>
      </c>
      <c r="AR165" s="10">
        <f t="shared" si="490"/>
        <v>44.572992068178543</v>
      </c>
      <c r="AS165" s="10">
        <f t="shared" si="490"/>
        <v>67.651576782760571</v>
      </c>
    </row>
    <row r="166" spans="1:46">
      <c r="A166" s="194" t="s">
        <v>16</v>
      </c>
      <c r="B166" s="194" t="s">
        <v>131</v>
      </c>
      <c r="C166" s="194" t="s">
        <v>63</v>
      </c>
      <c r="D166" s="194" t="s">
        <v>86</v>
      </c>
      <c r="E166" s="310">
        <f t="shared" si="485"/>
        <v>0.52719012107388186</v>
      </c>
      <c r="F166" s="51">
        <f t="shared" si="462"/>
        <v>0.78174288817735449</v>
      </c>
      <c r="G166" s="51">
        <f t="shared" si="463"/>
        <v>1.5729957652498918</v>
      </c>
      <c r="H166" s="51">
        <f t="shared" si="464"/>
        <v>2.5389921778628719</v>
      </c>
      <c r="I166" s="51">
        <f t="shared" si="465"/>
        <v>2.6062673324390282</v>
      </c>
      <c r="J166" s="51">
        <f t="shared" si="466"/>
        <v>7.3436313525543344</v>
      </c>
      <c r="K166" s="51">
        <f t="shared" si="467"/>
        <v>14.194584018267442</v>
      </c>
      <c r="L166" s="51">
        <f t="shared" si="468"/>
        <v>26.985379554214141</v>
      </c>
      <c r="M166" s="51">
        <f t="shared" si="469"/>
        <v>38.864362968764894</v>
      </c>
      <c r="N166" s="194" t="str">
        <f t="shared" si="470"/>
        <v>BRT</v>
      </c>
      <c r="O166" s="10">
        <f>O154*O144</f>
        <v>0.78174288817735449</v>
      </c>
      <c r="P166" s="10">
        <f t="shared" ref="P166:S166" si="492">P154*P144</f>
        <v>1.5729957652498918</v>
      </c>
      <c r="Q166" s="10">
        <f t="shared" si="492"/>
        <v>2.5389921778628719</v>
      </c>
      <c r="R166" s="10">
        <f t="shared" si="492"/>
        <v>2.6062673324390282</v>
      </c>
      <c r="S166" s="10">
        <f t="shared" si="492"/>
        <v>7.3436313525543344</v>
      </c>
      <c r="T166" s="318">
        <f t="shared" si="487"/>
        <v>14.194584018267442</v>
      </c>
      <c r="U166" s="318">
        <f t="shared" si="487"/>
        <v>26.985379554214141</v>
      </c>
      <c r="V166" s="318">
        <f t="shared" si="487"/>
        <v>38.864362968764894</v>
      </c>
      <c r="X166" s="10">
        <f t="shared" si="476"/>
        <v>0.78174288817735449</v>
      </c>
      <c r="Y166" s="10">
        <f t="shared" si="477"/>
        <v>1.5729957652498918</v>
      </c>
      <c r="Z166" s="10">
        <f t="shared" si="478"/>
        <v>2.5389921778628719</v>
      </c>
      <c r="AA166" s="10">
        <f t="shared" si="479"/>
        <v>2.6062673324390282</v>
      </c>
      <c r="AB166" s="10">
        <f t="shared" si="480"/>
        <v>7.3436313525543344</v>
      </c>
      <c r="AC166" s="322" t="e">
        <f t="array" ref="AC166">T166+INDEX($AI$161:$AS$168,MATCH($C166,$C$161:$C$168,0),MATCH(AC$160&amp;$D$3,$AI$160:$AS$160&amp;$AI$159:$AS$159,0))</f>
        <v>#N/A</v>
      </c>
      <c r="AD166" s="322" t="e">
        <f t="array" ref="AD166">U166+INDEX($AI$161:$AS$168,MATCH($C166,$C$161:$C$168,0),MATCH(AD$160&amp;$D$3,$AI$160:$AS$160&amp;$AI$159:$AS$159,0))</f>
        <v>#N/A</v>
      </c>
      <c r="AE166" s="322" t="e">
        <f t="array" ref="AE166">V166+INDEX($AI$161:$AS$168,MATCH($C166,$C$161:$C$168,0),MATCH(AE$160&amp;$D$3,$AI$160:$AS$160&amp;$AI$159:$AS$159,0))</f>
        <v>#N/A</v>
      </c>
      <c r="AI166" s="10">
        <f t="shared" si="488"/>
        <v>3.3251471317193055</v>
      </c>
      <c r="AJ166" s="10">
        <f t="shared" si="488"/>
        <v>4.4035807071071176</v>
      </c>
      <c r="AK166" s="10">
        <f t="shared" si="488"/>
        <v>5.5696877657487516</v>
      </c>
      <c r="AL166" s="10"/>
      <c r="AM166" s="10">
        <f t="shared" si="489"/>
        <v>1.1083823772397703</v>
      </c>
      <c r="AN166" s="10">
        <f t="shared" si="489"/>
        <v>2.9357204714047453</v>
      </c>
      <c r="AO166" s="10">
        <f t="shared" si="489"/>
        <v>5.5696877657487516</v>
      </c>
      <c r="AP166" s="10"/>
      <c r="AQ166" s="10">
        <f t="shared" si="490"/>
        <v>3.3251471317193055</v>
      </c>
      <c r="AR166" s="10">
        <f t="shared" si="490"/>
        <v>5.5044758838838987</v>
      </c>
      <c r="AS166" s="10">
        <f t="shared" si="490"/>
        <v>8.35453164862313</v>
      </c>
    </row>
    <row r="167" spans="1:46">
      <c r="A167" s="194" t="s">
        <v>16</v>
      </c>
      <c r="B167" s="194" t="s">
        <v>132</v>
      </c>
      <c r="C167" s="194" t="s">
        <v>85</v>
      </c>
      <c r="D167" s="194" t="str">
        <f>D166</f>
        <v>billion</v>
      </c>
      <c r="E167" s="310">
        <f t="shared" ref="E167:E168" si="493">E155</f>
        <v>14.377943324329372</v>
      </c>
      <c r="F167" s="51">
        <f t="shared" si="462"/>
        <v>12.045661044795077</v>
      </c>
      <c r="G167" s="51">
        <f t="shared" si="463"/>
        <v>9.5012527769116826</v>
      </c>
      <c r="H167" s="51">
        <f t="shared" si="464"/>
        <v>9.7224071761043689</v>
      </c>
      <c r="I167" s="51">
        <f t="shared" si="465"/>
        <v>10.056723363281892</v>
      </c>
      <c r="J167" s="51">
        <f t="shared" si="466"/>
        <v>9.9724734874770302</v>
      </c>
      <c r="K167" s="51">
        <f t="shared" si="467"/>
        <v>10.128982323160761</v>
      </c>
      <c r="L167" s="51">
        <f t="shared" si="468"/>
        <v>9.4891347780388884</v>
      </c>
      <c r="M167" s="51">
        <f t="shared" si="469"/>
        <v>8.5183239207830912</v>
      </c>
      <c r="N167" s="194" t="str">
        <f t="shared" si="470"/>
        <v>Metro Rail</v>
      </c>
      <c r="O167" s="10">
        <f>O155</f>
        <v>12.045661044795077</v>
      </c>
      <c r="P167" s="10">
        <f t="shared" ref="P167:S167" si="494">P155</f>
        <v>9.5012527769116826</v>
      </c>
      <c r="Q167" s="10">
        <f t="shared" si="494"/>
        <v>9.7224071761043689</v>
      </c>
      <c r="R167" s="10">
        <f t="shared" si="494"/>
        <v>10.056723363281892</v>
      </c>
      <c r="S167" s="10">
        <f t="shared" si="494"/>
        <v>9.9724734874770302</v>
      </c>
      <c r="T167" s="318">
        <f t="shared" ref="T167:V168" si="495">T155</f>
        <v>10.128982323160761</v>
      </c>
      <c r="U167" s="318">
        <f t="shared" si="495"/>
        <v>9.4891347780388884</v>
      </c>
      <c r="V167" s="318">
        <f t="shared" si="495"/>
        <v>8.5183239207830912</v>
      </c>
      <c r="X167" s="10">
        <f t="shared" si="476"/>
        <v>12.045661044795077</v>
      </c>
      <c r="Y167" s="10">
        <f t="shared" si="477"/>
        <v>9.5012527769116826</v>
      </c>
      <c r="Z167" s="10">
        <f t="shared" si="478"/>
        <v>9.7224071761043689</v>
      </c>
      <c r="AA167" s="10">
        <f t="shared" si="479"/>
        <v>10.056723363281892</v>
      </c>
      <c r="AB167" s="10">
        <f t="shared" si="480"/>
        <v>9.9724734874770302</v>
      </c>
      <c r="AC167" s="322" t="e">
        <f t="array" ref="AC167">T167+INDEX($AI$161:$AS$168,MATCH($C167,$C$161:$C$168,0),MATCH(AC$160&amp;$D$3,$AI$160:$AS$160&amp;$AI$159:$AS$159,0))</f>
        <v>#N/A</v>
      </c>
      <c r="AD167" s="322" t="e">
        <f t="array" ref="AD167">U167+INDEX($AI$161:$AS$168,MATCH($C167,$C$161:$C$168,0),MATCH(AD$160&amp;$D$3,$AI$160:$AS$160&amp;$AI$159:$AS$159,0))</f>
        <v>#N/A</v>
      </c>
      <c r="AE167" s="322" t="e">
        <f t="array" ref="AE167">V167+INDEX($AI$161:$AS$168,MATCH($C167,$C$161:$C$168,0),MATCH(AE$160&amp;$D$3,$AI$160:$AS$160&amp;$AI$159:$AS$159,0))</f>
        <v>#N/A</v>
      </c>
      <c r="AI167" s="10">
        <f t="shared" si="488"/>
        <v>2.3727610809692821</v>
      </c>
      <c r="AJ167" s="10">
        <f t="shared" si="488"/>
        <v>3.1423105519328911</v>
      </c>
      <c r="AK167" s="10">
        <f t="shared" si="488"/>
        <v>3.9744221353856743</v>
      </c>
      <c r="AL167" s="10"/>
      <c r="AM167" s="10">
        <f t="shared" si="489"/>
        <v>0.79092036032309521</v>
      </c>
      <c r="AN167" s="10">
        <f t="shared" si="489"/>
        <v>2.0948737012885941</v>
      </c>
      <c r="AO167" s="10">
        <f t="shared" si="489"/>
        <v>3.9744221353856743</v>
      </c>
      <c r="AP167" s="10"/>
      <c r="AQ167" s="10">
        <f t="shared" si="490"/>
        <v>2.3727610809692821</v>
      </c>
      <c r="AR167" s="10">
        <f t="shared" si="490"/>
        <v>3.9278881899161142</v>
      </c>
      <c r="AS167" s="10">
        <f t="shared" si="490"/>
        <v>5.961633203078514</v>
      </c>
    </row>
    <row r="168" spans="1:46">
      <c r="A168" s="194" t="s">
        <v>16</v>
      </c>
      <c r="B168" s="194" t="s">
        <v>133</v>
      </c>
      <c r="C168" s="194" t="s">
        <v>82</v>
      </c>
      <c r="D168" s="194" t="s">
        <v>86</v>
      </c>
      <c r="E168" s="310">
        <f t="shared" si="493"/>
        <v>0.53452578037785492</v>
      </c>
      <c r="F168" s="51">
        <f t="shared" si="462"/>
        <v>0.58840536503250629</v>
      </c>
      <c r="G168" s="51">
        <f t="shared" si="463"/>
        <v>0.62462624083765128</v>
      </c>
      <c r="H168" s="51">
        <f t="shared" si="464"/>
        <v>0.67226296980162004</v>
      </c>
      <c r="I168" s="51">
        <f t="shared" si="465"/>
        <v>0.64616666359533781</v>
      </c>
      <c r="J168" s="51">
        <f t="shared" si="466"/>
        <v>0.64672402075743496</v>
      </c>
      <c r="K168" s="51">
        <f t="shared" si="467"/>
        <v>0.82430505614031691</v>
      </c>
      <c r="L168" s="51">
        <f t="shared" si="468"/>
        <v>1.0556620991476746</v>
      </c>
      <c r="M168" s="51">
        <f t="shared" si="469"/>
        <v>1.2746406348095956</v>
      </c>
      <c r="N168" s="194" t="str">
        <f t="shared" si="470"/>
        <v>Gautrain</v>
      </c>
      <c r="O168" s="10">
        <f>O156</f>
        <v>0.58840536503250629</v>
      </c>
      <c r="P168" s="10">
        <f t="shared" ref="P168:S168" si="496">P156</f>
        <v>0.62462624083765128</v>
      </c>
      <c r="Q168" s="10">
        <f t="shared" si="496"/>
        <v>0.67226296980162004</v>
      </c>
      <c r="R168" s="10">
        <f t="shared" si="496"/>
        <v>0.64616666359533781</v>
      </c>
      <c r="S168" s="10">
        <f t="shared" si="496"/>
        <v>0.64672402075743496</v>
      </c>
      <c r="T168" s="318">
        <f t="shared" si="495"/>
        <v>0.82430505614031691</v>
      </c>
      <c r="U168" s="318">
        <f t="shared" si="495"/>
        <v>1.0556620991476746</v>
      </c>
      <c r="V168" s="318">
        <f t="shared" si="495"/>
        <v>1.2746406348095956</v>
      </c>
      <c r="X168" s="10">
        <f t="shared" si="476"/>
        <v>0.58840536503250629</v>
      </c>
      <c r="Y168" s="10">
        <f t="shared" si="477"/>
        <v>0.62462624083765128</v>
      </c>
      <c r="Z168" s="10">
        <f t="shared" si="478"/>
        <v>0.67226296980162004</v>
      </c>
      <c r="AA168" s="10">
        <f t="shared" si="479"/>
        <v>0.64616666359533781</v>
      </c>
      <c r="AB168" s="10">
        <f t="shared" si="480"/>
        <v>0.64672402075743496</v>
      </c>
      <c r="AC168" s="322" t="e">
        <f t="array" ref="AC168">T168+INDEX($AI$161:$AS$168,MATCH($C168,$C$161:$C$168,0),MATCH(AC$160&amp;$D$3,$AI$160:$AS$160&amp;$AI$159:$AS$159,0))</f>
        <v>#N/A</v>
      </c>
      <c r="AD168" s="322" t="e">
        <f t="array" ref="AD168">U168+INDEX($AI$161:$AS$168,MATCH($C168,$C$161:$C$168,0),MATCH(AD$160&amp;$D$3,$AI$160:$AS$160&amp;$AI$159:$AS$159,0))</f>
        <v>#N/A</v>
      </c>
      <c r="AE168" s="322" t="e">
        <f t="array" ref="AE168">V168+INDEX($AI$161:$AS$168,MATCH($C168,$C$161:$C$168,0),MATCH(AE$160&amp;$D$3,$AI$160:$AS$160&amp;$AI$159:$AS$159,0))</f>
        <v>#N/A</v>
      </c>
      <c r="AI168" s="10">
        <f t="shared" si="488"/>
        <v>0.19309728200272036</v>
      </c>
      <c r="AJ168" s="10">
        <f t="shared" si="488"/>
        <v>0.25572386181369799</v>
      </c>
      <c r="AK168" s="10">
        <f t="shared" si="488"/>
        <v>0.32344179868329404</v>
      </c>
      <c r="AL168" s="10"/>
      <c r="AM168" s="10">
        <f t="shared" si="489"/>
        <v>6.436576066757356E-2</v>
      </c>
      <c r="AN168" s="10">
        <f t="shared" si="489"/>
        <v>0.17048257454246532</v>
      </c>
      <c r="AO168" s="10">
        <f t="shared" si="489"/>
        <v>0.32344179868329404</v>
      </c>
      <c r="AP168" s="10"/>
      <c r="AQ168" s="10">
        <f t="shared" si="490"/>
        <v>0.19309728200272036</v>
      </c>
      <c r="AR168" s="10">
        <f t="shared" si="490"/>
        <v>0.31965482726712252</v>
      </c>
      <c r="AS168" s="10">
        <f t="shared" si="490"/>
        <v>0.48516269802494122</v>
      </c>
    </row>
    <row r="169" spans="1:46">
      <c r="A169" s="194" t="s">
        <v>16</v>
      </c>
      <c r="C169" s="5" t="s">
        <v>5</v>
      </c>
      <c r="E169" s="10">
        <f t="shared" ref="E169:M169" si="497">SUM(E161:E168)</f>
        <v>245.31447729210322</v>
      </c>
      <c r="F169" s="10">
        <f t="shared" si="497"/>
        <v>280.25617345402947</v>
      </c>
      <c r="G169" s="10">
        <f t="shared" si="497"/>
        <v>292.07095173597673</v>
      </c>
      <c r="H169" s="10">
        <f t="shared" si="497"/>
        <v>303.31287957412115</v>
      </c>
      <c r="I169" s="10">
        <f t="shared" si="497"/>
        <v>301.42078952250688</v>
      </c>
      <c r="J169" s="10">
        <f t="shared" si="497"/>
        <v>305.86784241928876</v>
      </c>
      <c r="K169" s="10">
        <f t="shared" si="497"/>
        <v>358.0004942326371</v>
      </c>
      <c r="L169" s="10">
        <f t="shared" si="497"/>
        <v>425.37742492007538</v>
      </c>
      <c r="M169" s="10">
        <f t="shared" si="497"/>
        <v>492.20635920271025</v>
      </c>
      <c r="N169" s="40"/>
      <c r="O169" s="10">
        <f>SUM(O161:O168)</f>
        <v>280.25617345402947</v>
      </c>
      <c r="P169" s="10">
        <f t="shared" ref="P169:S169" si="498">SUM(P161:P168)</f>
        <v>292.07095173597673</v>
      </c>
      <c r="Q169" s="10">
        <f t="shared" si="498"/>
        <v>303.31287957412115</v>
      </c>
      <c r="R169" s="10">
        <f t="shared" si="498"/>
        <v>301.42078952250688</v>
      </c>
      <c r="S169" s="10">
        <f t="shared" si="498"/>
        <v>305.86784241928876</v>
      </c>
      <c r="T169" s="10">
        <f>SUM(T161:T168)</f>
        <v>358.0004942326371</v>
      </c>
      <c r="U169" s="10">
        <f>SUM(U161:U168)</f>
        <v>425.37742492007538</v>
      </c>
      <c r="V169" s="10">
        <f>SUM(V161:V168)</f>
        <v>492.20635920271025</v>
      </c>
      <c r="W169" s="293"/>
      <c r="X169" s="10">
        <f>SUM(X161:X168)</f>
        <v>280.25617345402947</v>
      </c>
      <c r="Y169" s="10">
        <f t="shared" ref="Y169:AB169" si="499">SUM(Y161:Y168)</f>
        <v>292.07095173597673</v>
      </c>
      <c r="Z169" s="10">
        <f t="shared" si="499"/>
        <v>303.31287957412115</v>
      </c>
      <c r="AA169" s="10">
        <f t="shared" si="499"/>
        <v>301.42078952250688</v>
      </c>
      <c r="AB169" s="10">
        <f t="shared" si="499"/>
        <v>305.86784241928876</v>
      </c>
      <c r="AC169" s="10" t="e">
        <f>SUM(AC161:AC168)</f>
        <v>#N/A</v>
      </c>
      <c r="AD169" s="10" t="e">
        <f>SUM(AD161:AD168)</f>
        <v>#N/A</v>
      </c>
      <c r="AE169" s="10" t="e">
        <f>SUM(AE161:AE168)</f>
        <v>#N/A</v>
      </c>
      <c r="AQ169" s="194" t="s">
        <v>626</v>
      </c>
    </row>
    <row r="170" spans="1:46" ht="15.75" thickBot="1">
      <c r="A170" s="194" t="s">
        <v>16</v>
      </c>
      <c r="L170" s="194"/>
      <c r="N170" s="41"/>
      <c r="W170" s="293"/>
      <c r="AE170" s="133"/>
      <c r="AI170" s="261">
        <v>1</v>
      </c>
      <c r="AJ170" s="261">
        <v>1</v>
      </c>
      <c r="AK170" s="261">
        <v>1</v>
      </c>
      <c r="AL170" s="261"/>
      <c r="AM170" s="261">
        <v>2</v>
      </c>
      <c r="AN170" s="261">
        <v>2</v>
      </c>
      <c r="AO170" s="261">
        <v>2</v>
      </c>
      <c r="AQ170" s="261">
        <v>2</v>
      </c>
      <c r="AR170" s="261">
        <v>2</v>
      </c>
      <c r="AS170" s="261">
        <v>2</v>
      </c>
    </row>
    <row r="171" spans="1:46" ht="15.75" thickBot="1">
      <c r="A171" s="194" t="s">
        <v>16</v>
      </c>
      <c r="C171" s="237" t="s">
        <v>143</v>
      </c>
      <c r="D171" s="237"/>
      <c r="E171" s="261">
        <v>2012</v>
      </c>
      <c r="F171" s="261">
        <f>F4</f>
        <v>2015</v>
      </c>
      <c r="G171" s="261">
        <f>G4</f>
        <v>2017</v>
      </c>
      <c r="H171" s="292">
        <f t="shared" ref="H171:J171" si="500">H4</f>
        <v>2019</v>
      </c>
      <c r="I171" s="292">
        <f t="shared" si="500"/>
        <v>2020</v>
      </c>
      <c r="J171" s="292">
        <f t="shared" si="500"/>
        <v>2021</v>
      </c>
      <c r="K171" s="261">
        <v>2030</v>
      </c>
      <c r="L171" s="261">
        <v>2040</v>
      </c>
      <c r="M171" s="261">
        <v>2050</v>
      </c>
      <c r="N171" s="261"/>
      <c r="O171" s="309">
        <f>O160</f>
        <v>2015</v>
      </c>
      <c r="P171" s="309">
        <f t="shared" ref="P171:V171" si="501">P160</f>
        <v>2017</v>
      </c>
      <c r="Q171" s="309">
        <f t="shared" si="501"/>
        <v>2019</v>
      </c>
      <c r="R171" s="309">
        <f t="shared" si="501"/>
        <v>2020</v>
      </c>
      <c r="S171" s="309">
        <f t="shared" si="501"/>
        <v>2021</v>
      </c>
      <c r="T171" s="309">
        <f t="shared" si="501"/>
        <v>2030</v>
      </c>
      <c r="U171" s="309">
        <f t="shared" si="501"/>
        <v>2040</v>
      </c>
      <c r="V171" s="309">
        <f t="shared" si="501"/>
        <v>2050</v>
      </c>
      <c r="W171" s="293"/>
      <c r="X171" s="309">
        <f>X160</f>
        <v>2015</v>
      </c>
      <c r="Y171" s="309">
        <f t="shared" ref="Y171:AE171" si="502">Y160</f>
        <v>2017</v>
      </c>
      <c r="Z171" s="309">
        <f t="shared" si="502"/>
        <v>2019</v>
      </c>
      <c r="AA171" s="309">
        <f t="shared" si="502"/>
        <v>2020</v>
      </c>
      <c r="AB171" s="309">
        <f t="shared" si="502"/>
        <v>2021</v>
      </c>
      <c r="AC171" s="309">
        <f t="shared" si="502"/>
        <v>2030</v>
      </c>
      <c r="AD171" s="309">
        <f t="shared" si="502"/>
        <v>2040</v>
      </c>
      <c r="AE171" s="309">
        <f t="shared" si="502"/>
        <v>2050</v>
      </c>
      <c r="AF171" s="261"/>
      <c r="AI171" s="261">
        <v>2030</v>
      </c>
      <c r="AJ171" s="261">
        <v>2040</v>
      </c>
      <c r="AK171" s="261">
        <v>2050</v>
      </c>
      <c r="AL171" s="261"/>
      <c r="AM171" s="261">
        <v>2030</v>
      </c>
      <c r="AN171" s="261">
        <v>2040</v>
      </c>
      <c r="AO171" s="261">
        <v>2050</v>
      </c>
      <c r="AP171" s="261"/>
      <c r="AQ171" s="261">
        <v>2030</v>
      </c>
      <c r="AR171" s="261">
        <v>2040</v>
      </c>
      <c r="AS171" s="261">
        <v>2050</v>
      </c>
      <c r="AT171" s="261"/>
    </row>
    <row r="172" spans="1:46">
      <c r="A172" s="194" t="s">
        <v>16</v>
      </c>
      <c r="B172" s="194" t="str">
        <f t="shared" ref="B172:C179" si="503">B161</f>
        <v>TPPRCAR</v>
      </c>
      <c r="C172" s="194" t="str">
        <f t="shared" si="503"/>
        <v>Car</v>
      </c>
      <c r="E172" s="251">
        <f t="shared" ref="E172:G179" si="504">E161/E$169</f>
        <v>0.46503060512023314</v>
      </c>
      <c r="F172" s="251">
        <f>F161/F$169</f>
        <v>0.44509880041365035</v>
      </c>
      <c r="G172" s="251">
        <f t="shared" si="504"/>
        <v>0.45150284238605914</v>
      </c>
      <c r="H172" s="251">
        <f>H161/H$169</f>
        <v>0.45483393087314866</v>
      </c>
      <c r="I172" s="251">
        <f t="shared" ref="I172:J172" si="505">I161/I$169</f>
        <v>0.43820116341655307</v>
      </c>
      <c r="J172" s="251">
        <f t="shared" si="505"/>
        <v>0.43446536714394662</v>
      </c>
      <c r="K172" s="251">
        <f t="shared" ref="K172:M179" si="506">K161/K$169</f>
        <v>0.47488669153145174</v>
      </c>
      <c r="L172" s="251">
        <f t="shared" si="506"/>
        <v>0.52929072135160038</v>
      </c>
      <c r="M172" s="251">
        <f t="shared" si="506"/>
        <v>0.57855731285971745</v>
      </c>
      <c r="N172" s="41" t="str">
        <f>C172</f>
        <v>Car</v>
      </c>
      <c r="O172" s="251">
        <f t="shared" ref="O172:O179" si="507">O161/O$169</f>
        <v>0.44509880041365035</v>
      </c>
      <c r="P172" s="251">
        <f t="shared" ref="P172:S172" si="508">P161/P$169</f>
        <v>0.45150284238605914</v>
      </c>
      <c r="Q172" s="251">
        <f t="shared" si="508"/>
        <v>0.45483393087314866</v>
      </c>
      <c r="R172" s="251">
        <f t="shared" si="508"/>
        <v>0.43820116341655307</v>
      </c>
      <c r="S172" s="251">
        <f t="shared" si="508"/>
        <v>0.43446536714394662</v>
      </c>
      <c r="T172" s="319">
        <f t="shared" ref="T172:V179" si="509">T161/T$169</f>
        <v>0.47488669153145174</v>
      </c>
      <c r="U172" s="319">
        <f t="shared" si="509"/>
        <v>0.52929072135160038</v>
      </c>
      <c r="V172" s="319">
        <f t="shared" si="509"/>
        <v>0.57855731285971745</v>
      </c>
      <c r="W172" s="293"/>
      <c r="X172" s="251">
        <f>O172</f>
        <v>0.44509880041365035</v>
      </c>
      <c r="Y172" s="251">
        <f t="shared" ref="Y172:AB172" si="510">P172</f>
        <v>0.45150284238605914</v>
      </c>
      <c r="Z172" s="251">
        <f t="shared" si="510"/>
        <v>0.45483393087314866</v>
      </c>
      <c r="AA172" s="251">
        <f t="shared" si="510"/>
        <v>0.43820116341655307</v>
      </c>
      <c r="AB172" s="251">
        <f t="shared" si="510"/>
        <v>0.43446536714394662</v>
      </c>
      <c r="AC172" s="251" t="e">
        <f t="shared" ref="AC172:AE179" si="511">AC161/AC$169</f>
        <v>#N/A</v>
      </c>
      <c r="AD172" s="251" t="e">
        <f t="shared" si="511"/>
        <v>#N/A</v>
      </c>
      <c r="AE172" s="251" t="e">
        <f t="shared" si="511"/>
        <v>#N/A</v>
      </c>
      <c r="AI172" s="199"/>
      <c r="AJ172" s="199"/>
      <c r="AK172" s="199"/>
      <c r="AM172" s="199"/>
      <c r="AN172" s="199"/>
      <c r="AO172" s="199"/>
      <c r="AQ172" s="243"/>
      <c r="AR172" s="243"/>
      <c r="AS172" s="243"/>
    </row>
    <row r="173" spans="1:46">
      <c r="A173" s="194" t="s">
        <v>16</v>
      </c>
      <c r="B173" s="194" t="str">
        <f t="shared" si="503"/>
        <v>TPPRSUV</v>
      </c>
      <c r="C173" s="194" t="str">
        <f t="shared" si="503"/>
        <v>SUV</v>
      </c>
      <c r="E173" s="251">
        <f t="shared" si="504"/>
        <v>5.3395498514103731E-2</v>
      </c>
      <c r="F173" s="251">
        <f t="shared" si="504"/>
        <v>5.1106899361971402E-2</v>
      </c>
      <c r="G173" s="251">
        <f t="shared" si="504"/>
        <v>5.1842220886742021E-2</v>
      </c>
      <c r="H173" s="251">
        <f t="shared" ref="H173:J173" si="512">H162/H$169</f>
        <v>5.2224701369541097E-2</v>
      </c>
      <c r="I173" s="251">
        <f t="shared" si="512"/>
        <v>5.0314902529990622E-2</v>
      </c>
      <c r="J173" s="251">
        <f t="shared" si="512"/>
        <v>4.9885952903607686E-2</v>
      </c>
      <c r="K173" s="251">
        <f t="shared" si="506"/>
        <v>5.4527188862073479E-2</v>
      </c>
      <c r="L173" s="251">
        <f t="shared" si="506"/>
        <v>6.0773939638126023E-2</v>
      </c>
      <c r="M173" s="251">
        <f t="shared" si="506"/>
        <v>6.643080218588561E-2</v>
      </c>
      <c r="N173" s="41"/>
      <c r="O173" s="251">
        <f t="shared" si="507"/>
        <v>5.1106899361971402E-2</v>
      </c>
      <c r="P173" s="251">
        <f t="shared" ref="P173:S173" si="513">P162/P$169</f>
        <v>5.1842220886742021E-2</v>
      </c>
      <c r="Q173" s="251">
        <f t="shared" si="513"/>
        <v>5.2224701369541097E-2</v>
      </c>
      <c r="R173" s="251">
        <f t="shared" si="513"/>
        <v>5.0314902529990622E-2</v>
      </c>
      <c r="S173" s="251">
        <f t="shared" si="513"/>
        <v>4.9885952903607686E-2</v>
      </c>
      <c r="T173" s="319">
        <f t="shared" si="509"/>
        <v>5.4527188862073479E-2</v>
      </c>
      <c r="U173" s="319">
        <f t="shared" si="509"/>
        <v>6.0773939638126023E-2</v>
      </c>
      <c r="V173" s="319">
        <f t="shared" si="509"/>
        <v>6.643080218588561E-2</v>
      </c>
      <c r="W173" s="293"/>
      <c r="X173" s="251">
        <f t="shared" ref="X173:X182" si="514">O173</f>
        <v>5.1106899361971402E-2</v>
      </c>
      <c r="Y173" s="251">
        <f t="shared" ref="Y173:Y182" si="515">P173</f>
        <v>5.1842220886742021E-2</v>
      </c>
      <c r="Z173" s="251">
        <f t="shared" ref="Z173:Z182" si="516">Q173</f>
        <v>5.2224701369541097E-2</v>
      </c>
      <c r="AA173" s="251">
        <f t="shared" ref="AA173:AA182" si="517">R173</f>
        <v>5.0314902529990622E-2</v>
      </c>
      <c r="AB173" s="251">
        <f t="shared" ref="AB173:AB182" si="518">S173</f>
        <v>4.9885952903607686E-2</v>
      </c>
      <c r="AC173" s="319" t="e">
        <f t="shared" si="511"/>
        <v>#N/A</v>
      </c>
      <c r="AD173" s="319" t="e">
        <f t="shared" si="511"/>
        <v>#N/A</v>
      </c>
      <c r="AE173" s="319" t="e">
        <f t="shared" si="511"/>
        <v>#N/A</v>
      </c>
      <c r="AI173" s="199"/>
      <c r="AJ173" s="199"/>
      <c r="AK173" s="199"/>
      <c r="AM173" s="199"/>
      <c r="AN173" s="199"/>
      <c r="AO173" s="199"/>
      <c r="AQ173" s="243"/>
      <c r="AR173" s="243"/>
      <c r="AS173" s="243"/>
    </row>
    <row r="174" spans="1:46">
      <c r="A174" s="194" t="s">
        <v>16</v>
      </c>
      <c r="B174" s="194" t="str">
        <f t="shared" si="503"/>
        <v>TPPRMOT</v>
      </c>
      <c r="C174" s="194" t="str">
        <f t="shared" si="503"/>
        <v>Motorbike</v>
      </c>
      <c r="E174" s="251">
        <f t="shared" si="504"/>
        <v>1.8201709730525852E-2</v>
      </c>
      <c r="F174" s="251">
        <f t="shared" si="504"/>
        <v>1.7421561242060346E-2</v>
      </c>
      <c r="G174" s="251">
        <f t="shared" si="504"/>
        <v>1.7672221116486787E-2</v>
      </c>
      <c r="H174" s="251">
        <f t="shared" ref="H174:J174" si="519">H163/H$169</f>
        <v>1.7802602869990997E-2</v>
      </c>
      <c r="I174" s="251">
        <f t="shared" si="519"/>
        <v>1.7151581621223908E-2</v>
      </c>
      <c r="J174" s="251">
        <f t="shared" si="519"/>
        <v>1.7005359246572285E-2</v>
      </c>
      <c r="K174" s="251">
        <f t="shared" si="506"/>
        <v>1.858748568152933E-2</v>
      </c>
      <c r="L174" s="251">
        <f t="shared" si="506"/>
        <v>2.0716907590655486E-2</v>
      </c>
      <c r="M174" s="251">
        <f t="shared" si="506"/>
        <v>2.2645245614367468E-2</v>
      </c>
      <c r="N174" s="41"/>
      <c r="O174" s="251">
        <f t="shared" si="507"/>
        <v>1.7421561242060346E-2</v>
      </c>
      <c r="P174" s="251">
        <f t="shared" ref="P174:S174" si="520">P163/P$169</f>
        <v>1.7672221116486787E-2</v>
      </c>
      <c r="Q174" s="251">
        <f t="shared" si="520"/>
        <v>1.7802602869990997E-2</v>
      </c>
      <c r="R174" s="251">
        <f t="shared" si="520"/>
        <v>1.7151581621223908E-2</v>
      </c>
      <c r="S174" s="251">
        <f t="shared" si="520"/>
        <v>1.7005359246572285E-2</v>
      </c>
      <c r="T174" s="319">
        <f t="shared" si="509"/>
        <v>1.858748568152933E-2</v>
      </c>
      <c r="U174" s="319">
        <f t="shared" si="509"/>
        <v>2.0716907590655486E-2</v>
      </c>
      <c r="V174" s="319">
        <f t="shared" si="509"/>
        <v>2.2645245614367468E-2</v>
      </c>
      <c r="W174" s="293"/>
      <c r="X174" s="251">
        <f t="shared" si="514"/>
        <v>1.7421561242060346E-2</v>
      </c>
      <c r="Y174" s="251">
        <f t="shared" si="515"/>
        <v>1.7672221116486787E-2</v>
      </c>
      <c r="Z174" s="251">
        <f t="shared" si="516"/>
        <v>1.7802602869990997E-2</v>
      </c>
      <c r="AA174" s="251">
        <f t="shared" si="517"/>
        <v>1.7151581621223908E-2</v>
      </c>
      <c r="AB174" s="251">
        <f t="shared" si="518"/>
        <v>1.7005359246572285E-2</v>
      </c>
      <c r="AC174" s="319" t="e">
        <f t="shared" si="511"/>
        <v>#N/A</v>
      </c>
      <c r="AD174" s="319" t="e">
        <f t="shared" si="511"/>
        <v>#N/A</v>
      </c>
      <c r="AE174" s="319" t="e">
        <f t="shared" si="511"/>
        <v>#N/A</v>
      </c>
      <c r="AI174" s="199"/>
      <c r="AJ174" s="199"/>
      <c r="AK174" s="199"/>
      <c r="AM174" s="199"/>
      <c r="AN174" s="199"/>
      <c r="AO174" s="199"/>
    </row>
    <row r="175" spans="1:46">
      <c r="A175" s="194" t="s">
        <v>16</v>
      </c>
      <c r="B175" s="194" t="str">
        <f t="shared" si="503"/>
        <v>TPPUBUS</v>
      </c>
      <c r="C175" s="194" t="str">
        <f t="shared" si="503"/>
        <v>Bus</v>
      </c>
      <c r="E175" s="251">
        <f t="shared" si="504"/>
        <v>6.2979516796080506E-2</v>
      </c>
      <c r="F175" s="251">
        <f t="shared" si="504"/>
        <v>9.8175789911276484E-2</v>
      </c>
      <c r="G175" s="251">
        <f t="shared" si="504"/>
        <v>6.9775849288565964E-2</v>
      </c>
      <c r="H175" s="251">
        <f t="shared" ref="H175:J175" si="521">H164/H$169</f>
        <v>6.875362134230982E-2</v>
      </c>
      <c r="I175" s="251">
        <f t="shared" si="521"/>
        <v>7.1564217253698034E-2</v>
      </c>
      <c r="J175" s="251">
        <f t="shared" si="521"/>
        <v>6.9932925339401375E-2</v>
      </c>
      <c r="K175" s="251">
        <f t="shared" si="506"/>
        <v>6.0686880183007559E-2</v>
      </c>
      <c r="L175" s="251">
        <f t="shared" si="506"/>
        <v>4.7848111554710498E-2</v>
      </c>
      <c r="M175" s="251">
        <f t="shared" si="506"/>
        <v>3.7120990411067832E-2</v>
      </c>
      <c r="N175" s="41"/>
      <c r="O175" s="251">
        <f t="shared" si="507"/>
        <v>9.8175789911276484E-2</v>
      </c>
      <c r="P175" s="251">
        <f t="shared" ref="P175:S175" si="522">P164/P$169</f>
        <v>6.9775849288565964E-2</v>
      </c>
      <c r="Q175" s="251">
        <f t="shared" si="522"/>
        <v>6.875362134230982E-2</v>
      </c>
      <c r="R175" s="251">
        <f t="shared" si="522"/>
        <v>7.1564217253698034E-2</v>
      </c>
      <c r="S175" s="251">
        <f t="shared" si="522"/>
        <v>6.9932925339401375E-2</v>
      </c>
      <c r="T175" s="319">
        <f t="shared" si="509"/>
        <v>6.0686880183007559E-2</v>
      </c>
      <c r="U175" s="319">
        <f t="shared" si="509"/>
        <v>4.7848111554710498E-2</v>
      </c>
      <c r="V175" s="319">
        <f t="shared" si="509"/>
        <v>3.7120990411067832E-2</v>
      </c>
      <c r="W175" s="293"/>
      <c r="X175" s="251">
        <f t="shared" si="514"/>
        <v>9.8175789911276484E-2</v>
      </c>
      <c r="Y175" s="251">
        <f t="shared" si="515"/>
        <v>6.9775849288565964E-2</v>
      </c>
      <c r="Z175" s="251">
        <f t="shared" si="516"/>
        <v>6.875362134230982E-2</v>
      </c>
      <c r="AA175" s="251">
        <f t="shared" si="517"/>
        <v>7.1564217253698034E-2</v>
      </c>
      <c r="AB175" s="251">
        <f t="shared" si="518"/>
        <v>6.9932925339401375E-2</v>
      </c>
      <c r="AC175" s="319" t="e">
        <f t="shared" si="511"/>
        <v>#N/A</v>
      </c>
      <c r="AD175" s="319" t="e">
        <f t="shared" si="511"/>
        <v>#N/A</v>
      </c>
      <c r="AE175" s="319" t="e">
        <f t="shared" si="511"/>
        <v>#N/A</v>
      </c>
      <c r="AG175" s="266">
        <f>T175</f>
        <v>6.0686880183007559E-2</v>
      </c>
      <c r="AI175" s="320">
        <f>AG175/$AG$180</f>
        <v>0.13426341503741057</v>
      </c>
      <c r="AJ175" s="320">
        <f>AI175</f>
        <v>0.13426341503741057</v>
      </c>
      <c r="AK175" s="320">
        <f>AJ175</f>
        <v>0.13426341503741057</v>
      </c>
      <c r="AL175" s="321"/>
      <c r="AM175" s="320">
        <f>AI175</f>
        <v>0.13426341503741057</v>
      </c>
      <c r="AN175" s="320">
        <f t="shared" ref="AN175:AO179" si="523">AJ175</f>
        <v>0.13426341503741057</v>
      </c>
      <c r="AO175" s="320">
        <f t="shared" si="523"/>
        <v>0.13426341503741057</v>
      </c>
      <c r="AP175" s="321"/>
      <c r="AQ175" s="320">
        <f>AM175</f>
        <v>0.13426341503741057</v>
      </c>
      <c r="AR175" s="320">
        <f t="shared" ref="AR175:AS179" si="524">AN175</f>
        <v>0.13426341503741057</v>
      </c>
      <c r="AS175" s="320">
        <f t="shared" si="524"/>
        <v>0.13426341503741057</v>
      </c>
    </row>
    <row r="176" spans="1:46">
      <c r="A176" s="194" t="s">
        <v>16</v>
      </c>
      <c r="B176" s="194" t="str">
        <f t="shared" si="503"/>
        <v>TPPUMBT</v>
      </c>
      <c r="C176" s="194" t="str">
        <f t="shared" si="503"/>
        <v>Minibus</v>
      </c>
      <c r="E176" s="251">
        <f t="shared" si="504"/>
        <v>0.33745443889479554</v>
      </c>
      <c r="F176" s="251">
        <f t="shared" si="504"/>
        <v>0.34032714077150905</v>
      </c>
      <c r="G176" s="251">
        <f t="shared" si="504"/>
        <v>0.36915195941180506</v>
      </c>
      <c r="H176" s="251">
        <f t="shared" ref="H176:J176" si="525">H165/H$169</f>
        <v>0.36374382102046354</v>
      </c>
      <c r="I176" s="251">
        <f t="shared" si="525"/>
        <v>0.3786133926327403</v>
      </c>
      <c r="J176" s="251">
        <f t="shared" si="525"/>
        <v>0.36998297662669788</v>
      </c>
      <c r="K176" s="251">
        <f t="shared" si="506"/>
        <v>0.32106639988712771</v>
      </c>
      <c r="L176" s="251">
        <f t="shared" si="506"/>
        <v>0.25314237396850214</v>
      </c>
      <c r="M176" s="251">
        <f t="shared" si="506"/>
        <v>0.196390104674771</v>
      </c>
      <c r="N176" s="41"/>
      <c r="O176" s="251">
        <f t="shared" si="507"/>
        <v>0.34032714077150905</v>
      </c>
      <c r="P176" s="251">
        <f t="shared" ref="P176:S176" si="526">P165/P$169</f>
        <v>0.36915195941180506</v>
      </c>
      <c r="Q176" s="251">
        <f t="shared" si="526"/>
        <v>0.36374382102046354</v>
      </c>
      <c r="R176" s="251">
        <f t="shared" si="526"/>
        <v>0.3786133926327403</v>
      </c>
      <c r="S176" s="251">
        <f t="shared" si="526"/>
        <v>0.36998297662669788</v>
      </c>
      <c r="T176" s="319">
        <f t="shared" si="509"/>
        <v>0.32106639988712771</v>
      </c>
      <c r="U176" s="319">
        <f t="shared" si="509"/>
        <v>0.25314237396850214</v>
      </c>
      <c r="V176" s="319">
        <f t="shared" si="509"/>
        <v>0.196390104674771</v>
      </c>
      <c r="W176" s="293"/>
      <c r="X176" s="251">
        <f t="shared" si="514"/>
        <v>0.34032714077150905</v>
      </c>
      <c r="Y176" s="251">
        <f t="shared" si="515"/>
        <v>0.36915195941180506</v>
      </c>
      <c r="Z176" s="251">
        <f t="shared" si="516"/>
        <v>0.36374382102046354</v>
      </c>
      <c r="AA176" s="251">
        <f t="shared" si="517"/>
        <v>0.3786133926327403</v>
      </c>
      <c r="AB176" s="251">
        <f t="shared" si="518"/>
        <v>0.36998297662669788</v>
      </c>
      <c r="AC176" s="319" t="e">
        <f t="shared" si="511"/>
        <v>#N/A</v>
      </c>
      <c r="AD176" s="319" t="e">
        <f t="shared" si="511"/>
        <v>#N/A</v>
      </c>
      <c r="AE176" s="319" t="e">
        <f t="shared" si="511"/>
        <v>#N/A</v>
      </c>
      <c r="AG176" s="266">
        <f>T176</f>
        <v>0.32106639988712771</v>
      </c>
      <c r="AI176" s="320">
        <f>1-SUM(AI177:AI179,AI175)</f>
        <v>0.71032604036684088</v>
      </c>
      <c r="AJ176" s="320">
        <f t="shared" ref="AJ176:AK176" si="527">1-SUM(AJ177:AJ179,AJ175)</f>
        <v>0.71032604036684088</v>
      </c>
      <c r="AK176" s="320">
        <f t="shared" si="527"/>
        <v>0.71032604036684088</v>
      </c>
      <c r="AL176" s="321"/>
      <c r="AM176" s="320">
        <f t="shared" ref="AM176:AM179" si="528">AI176</f>
        <v>0.71032604036684088</v>
      </c>
      <c r="AN176" s="320">
        <f t="shared" si="523"/>
        <v>0.71032604036684088</v>
      </c>
      <c r="AO176" s="320">
        <f t="shared" si="523"/>
        <v>0.71032604036684088</v>
      </c>
      <c r="AP176" s="321"/>
      <c r="AQ176" s="320">
        <f t="shared" ref="AQ176:AQ178" si="529">AM176</f>
        <v>0.71032604036684088</v>
      </c>
      <c r="AR176" s="320">
        <f t="shared" si="524"/>
        <v>0.71032604036684088</v>
      </c>
      <c r="AS176" s="320">
        <f t="shared" si="524"/>
        <v>0.71032604036684088</v>
      </c>
    </row>
    <row r="177" spans="1:47">
      <c r="A177" s="194" t="s">
        <v>16</v>
      </c>
      <c r="B177" s="194" t="str">
        <f t="shared" si="503"/>
        <v>TPPUBRT</v>
      </c>
      <c r="C177" s="194" t="str">
        <f t="shared" si="503"/>
        <v>BRT</v>
      </c>
      <c r="E177" s="251">
        <f t="shared" si="504"/>
        <v>2.1490379487311747E-3</v>
      </c>
      <c r="F177" s="251">
        <f t="shared" si="504"/>
        <v>2.789386861822632E-3</v>
      </c>
      <c r="G177" s="251">
        <f t="shared" si="504"/>
        <v>5.3856631612986703E-3</v>
      </c>
      <c r="H177" s="251">
        <f t="shared" ref="H177:J177" si="530">H166/H$169</f>
        <v>8.3708683305102234E-3</v>
      </c>
      <c r="I177" s="251">
        <f t="shared" si="530"/>
        <v>8.6466077425108069E-3</v>
      </c>
      <c r="J177" s="251">
        <f t="shared" si="530"/>
        <v>2.4009164528278726E-2</v>
      </c>
      <c r="K177" s="251">
        <f t="shared" si="506"/>
        <v>3.9649621290867465E-2</v>
      </c>
      <c r="L177" s="251">
        <f t="shared" si="506"/>
        <v>6.3438673454014285E-2</v>
      </c>
      <c r="M177" s="251">
        <f t="shared" si="506"/>
        <v>7.895948973865044E-2</v>
      </c>
      <c r="N177" s="41"/>
      <c r="O177" s="251">
        <f t="shared" si="507"/>
        <v>2.789386861822632E-3</v>
      </c>
      <c r="P177" s="251">
        <f t="shared" ref="P177:S177" si="531">P166/P$169</f>
        <v>5.3856631612986703E-3</v>
      </c>
      <c r="Q177" s="251">
        <f t="shared" si="531"/>
        <v>8.3708683305102234E-3</v>
      </c>
      <c r="R177" s="251">
        <f t="shared" si="531"/>
        <v>8.6466077425108069E-3</v>
      </c>
      <c r="S177" s="251">
        <f t="shared" si="531"/>
        <v>2.4009164528278726E-2</v>
      </c>
      <c r="T177" s="319">
        <f t="shared" si="509"/>
        <v>3.9649621290867465E-2</v>
      </c>
      <c r="U177" s="319">
        <f t="shared" si="509"/>
        <v>6.3438673454014285E-2</v>
      </c>
      <c r="V177" s="319">
        <f t="shared" si="509"/>
        <v>7.895948973865044E-2</v>
      </c>
      <c r="W177" s="293"/>
      <c r="X177" s="251">
        <f t="shared" si="514"/>
        <v>2.789386861822632E-3</v>
      </c>
      <c r="Y177" s="251">
        <f t="shared" si="515"/>
        <v>5.3856631612986703E-3</v>
      </c>
      <c r="Z177" s="251">
        <f t="shared" si="516"/>
        <v>8.3708683305102234E-3</v>
      </c>
      <c r="AA177" s="251">
        <f t="shared" si="517"/>
        <v>8.6466077425108069E-3</v>
      </c>
      <c r="AB177" s="251">
        <f t="shared" si="518"/>
        <v>2.4009164528278726E-2</v>
      </c>
      <c r="AC177" s="319" t="e">
        <f t="shared" si="511"/>
        <v>#N/A</v>
      </c>
      <c r="AD177" s="319" t="e">
        <f t="shared" si="511"/>
        <v>#N/A</v>
      </c>
      <c r="AE177" s="319" t="e">
        <f t="shared" si="511"/>
        <v>#N/A</v>
      </c>
      <c r="AG177" s="266">
        <f>T177</f>
        <v>3.9649621290867465E-2</v>
      </c>
      <c r="AI177" s="320">
        <f>AG177/$AG$180</f>
        <v>8.7720666203277287E-2</v>
      </c>
      <c r="AJ177" s="320">
        <f t="shared" ref="AJ177:AK177" si="532">AI177</f>
        <v>8.7720666203277287E-2</v>
      </c>
      <c r="AK177" s="320">
        <f t="shared" si="532"/>
        <v>8.7720666203277287E-2</v>
      </c>
      <c r="AL177" s="321"/>
      <c r="AM177" s="320">
        <f t="shared" si="528"/>
        <v>8.7720666203277287E-2</v>
      </c>
      <c r="AN177" s="320">
        <f t="shared" si="523"/>
        <v>8.7720666203277287E-2</v>
      </c>
      <c r="AO177" s="320">
        <f t="shared" si="523"/>
        <v>8.7720666203277287E-2</v>
      </c>
      <c r="AP177" s="321"/>
      <c r="AQ177" s="320">
        <f t="shared" si="529"/>
        <v>8.7720666203277287E-2</v>
      </c>
      <c r="AR177" s="320">
        <f t="shared" si="524"/>
        <v>8.7720666203277287E-2</v>
      </c>
      <c r="AS177" s="320">
        <f t="shared" si="524"/>
        <v>8.7720666203277287E-2</v>
      </c>
    </row>
    <row r="178" spans="1:47">
      <c r="A178" s="194" t="s">
        <v>16</v>
      </c>
      <c r="B178" s="194" t="str">
        <f t="shared" si="503"/>
        <v>TPPUMER</v>
      </c>
      <c r="C178" s="194" t="str">
        <f t="shared" si="503"/>
        <v>Metro Rail</v>
      </c>
      <c r="D178" s="265">
        <f>INDEX($BK$4:$BK$7,MATCH($D$3,$BB$4:$BB$7,0))</f>
        <v>0</v>
      </c>
      <c r="E178" s="251">
        <f t="shared" si="504"/>
        <v>5.8610251963275406E-2</v>
      </c>
      <c r="F178" s="251">
        <f t="shared" si="504"/>
        <v>4.298089457348183E-2</v>
      </c>
      <c r="G178" s="251">
        <f t="shared" si="504"/>
        <v>3.2530632438588163E-2</v>
      </c>
      <c r="H178" s="251">
        <f t="shared" ref="H178:J178" si="533">H167/H$169</f>
        <v>3.2054053193374156E-2</v>
      </c>
      <c r="I178" s="251">
        <f t="shared" si="533"/>
        <v>3.3364398584494331E-2</v>
      </c>
      <c r="J178" s="251">
        <f t="shared" si="533"/>
        <v>3.2603863840666832E-2</v>
      </c>
      <c r="K178" s="251">
        <f t="shared" si="506"/>
        <v>2.8293207652888633E-2</v>
      </c>
      <c r="L178" s="251">
        <f t="shared" si="506"/>
        <v>2.2307565522128522E-2</v>
      </c>
      <c r="M178" s="251">
        <f t="shared" si="506"/>
        <v>1.7306407691646472E-2</v>
      </c>
      <c r="N178" s="41"/>
      <c r="O178" s="251">
        <f t="shared" si="507"/>
        <v>4.298089457348183E-2</v>
      </c>
      <c r="P178" s="251">
        <f t="shared" ref="P178:S178" si="534">P167/P$169</f>
        <v>3.2530632438588163E-2</v>
      </c>
      <c r="Q178" s="251">
        <f t="shared" si="534"/>
        <v>3.2054053193374156E-2</v>
      </c>
      <c r="R178" s="251">
        <f t="shared" si="534"/>
        <v>3.3364398584494331E-2</v>
      </c>
      <c r="S178" s="251">
        <f t="shared" si="534"/>
        <v>3.2603863840666832E-2</v>
      </c>
      <c r="T178" s="319">
        <f t="shared" si="509"/>
        <v>2.8293207652888633E-2</v>
      </c>
      <c r="U178" s="319">
        <f t="shared" si="509"/>
        <v>2.2307565522128522E-2</v>
      </c>
      <c r="V178" s="319">
        <f t="shared" si="509"/>
        <v>1.7306407691646472E-2</v>
      </c>
      <c r="W178" s="293"/>
      <c r="X178" s="251">
        <f t="shared" si="514"/>
        <v>4.298089457348183E-2</v>
      </c>
      <c r="Y178" s="251">
        <f t="shared" si="515"/>
        <v>3.2530632438588163E-2</v>
      </c>
      <c r="Z178" s="251">
        <f t="shared" si="516"/>
        <v>3.2054053193374156E-2</v>
      </c>
      <c r="AA178" s="251">
        <f t="shared" si="517"/>
        <v>3.3364398584494331E-2</v>
      </c>
      <c r="AB178" s="251">
        <f t="shared" si="518"/>
        <v>3.2603863840666832E-2</v>
      </c>
      <c r="AC178" s="319" t="e">
        <f t="shared" si="511"/>
        <v>#N/A</v>
      </c>
      <c r="AD178" s="319" t="e">
        <f t="shared" si="511"/>
        <v>#N/A</v>
      </c>
      <c r="AE178" s="319" t="e">
        <f t="shared" si="511"/>
        <v>#N/A</v>
      </c>
      <c r="AG178" s="266">
        <f>T178</f>
        <v>2.8293207652888633E-2</v>
      </c>
      <c r="AI178" s="320">
        <f>AG178/$AG$180</f>
        <v>6.2595781335008926E-2</v>
      </c>
      <c r="AJ178" s="320">
        <f>AI178*(1+$D$178)</f>
        <v>6.2595781335008926E-2</v>
      </c>
      <c r="AK178" s="320">
        <f>AJ178*(1+$D$178)</f>
        <v>6.2595781335008926E-2</v>
      </c>
      <c r="AL178" s="321"/>
      <c r="AM178" s="320">
        <f>AI178</f>
        <v>6.2595781335008926E-2</v>
      </c>
      <c r="AN178" s="320">
        <f t="shared" si="523"/>
        <v>6.2595781335008926E-2</v>
      </c>
      <c r="AO178" s="320">
        <f>AK178</f>
        <v>6.2595781335008926E-2</v>
      </c>
      <c r="AP178" s="321"/>
      <c r="AQ178" s="320">
        <f t="shared" si="529"/>
        <v>6.2595781335008926E-2</v>
      </c>
      <c r="AR178" s="320">
        <f t="shared" si="524"/>
        <v>6.2595781335008926E-2</v>
      </c>
      <c r="AS178" s="320">
        <f>AO178</f>
        <v>6.2595781335008926E-2</v>
      </c>
      <c r="AU178" s="286"/>
    </row>
    <row r="179" spans="1:47">
      <c r="A179" s="194" t="s">
        <v>16</v>
      </c>
      <c r="B179" s="194" t="str">
        <f t="shared" si="503"/>
        <v>TPPUGAT</v>
      </c>
      <c r="C179" s="194" t="str">
        <f t="shared" si="503"/>
        <v>Gautrain</v>
      </c>
      <c r="E179" s="251">
        <f t="shared" si="504"/>
        <v>2.1789410322546076E-3</v>
      </c>
      <c r="F179" s="251">
        <f t="shared" si="504"/>
        <v>2.0995268642281049E-3</v>
      </c>
      <c r="G179" s="251">
        <f t="shared" si="504"/>
        <v>2.1386113104540929E-3</v>
      </c>
      <c r="H179" s="251">
        <f t="shared" ref="H179:J179" si="535">H168/H$169</f>
        <v>2.2164010006615557E-3</v>
      </c>
      <c r="I179" s="251">
        <f t="shared" si="535"/>
        <v>2.1437362187888801E-3</v>
      </c>
      <c r="J179" s="251">
        <f t="shared" si="535"/>
        <v>2.1143903708285058E-3</v>
      </c>
      <c r="K179" s="251">
        <f t="shared" si="506"/>
        <v>2.3025249110540731E-3</v>
      </c>
      <c r="L179" s="251">
        <f t="shared" si="506"/>
        <v>2.4817069202626918E-3</v>
      </c>
      <c r="M179" s="251">
        <f t="shared" si="506"/>
        <v>2.5896468238937312E-3</v>
      </c>
      <c r="N179" s="41"/>
      <c r="O179" s="251">
        <f t="shared" si="507"/>
        <v>2.0995268642281049E-3</v>
      </c>
      <c r="P179" s="251">
        <f t="shared" ref="P179:S179" si="536">P168/P$169</f>
        <v>2.1386113104540929E-3</v>
      </c>
      <c r="Q179" s="251">
        <f t="shared" si="536"/>
        <v>2.2164010006615557E-3</v>
      </c>
      <c r="R179" s="251">
        <f t="shared" si="536"/>
        <v>2.1437362187888801E-3</v>
      </c>
      <c r="S179" s="251">
        <f t="shared" si="536"/>
        <v>2.1143903708285058E-3</v>
      </c>
      <c r="T179" s="319">
        <f t="shared" si="509"/>
        <v>2.3025249110540731E-3</v>
      </c>
      <c r="U179" s="319">
        <f t="shared" si="509"/>
        <v>2.4817069202626918E-3</v>
      </c>
      <c r="V179" s="319">
        <f t="shared" si="509"/>
        <v>2.5896468238937312E-3</v>
      </c>
      <c r="W179" s="293"/>
      <c r="X179" s="251">
        <f t="shared" si="514"/>
        <v>2.0995268642281049E-3</v>
      </c>
      <c r="Y179" s="251">
        <f t="shared" si="515"/>
        <v>2.1386113104540929E-3</v>
      </c>
      <c r="Z179" s="251">
        <f t="shared" si="516"/>
        <v>2.2164010006615557E-3</v>
      </c>
      <c r="AA179" s="251">
        <f t="shared" si="517"/>
        <v>2.1437362187888801E-3</v>
      </c>
      <c r="AB179" s="251">
        <f t="shared" si="518"/>
        <v>2.1143903708285058E-3</v>
      </c>
      <c r="AC179" s="319" t="e">
        <f t="shared" si="511"/>
        <v>#N/A</v>
      </c>
      <c r="AD179" s="319" t="e">
        <f t="shared" si="511"/>
        <v>#N/A</v>
      </c>
      <c r="AE179" s="319" t="e">
        <f t="shared" si="511"/>
        <v>#N/A</v>
      </c>
      <c r="AG179" s="266">
        <f>T179</f>
        <v>2.3025249110540731E-3</v>
      </c>
      <c r="AI179" s="320">
        <f>AG179/$AG$180</f>
        <v>5.0940970574623644E-3</v>
      </c>
      <c r="AJ179" s="320">
        <f t="shared" ref="AJ179:AK179" si="537">AI179</f>
        <v>5.0940970574623644E-3</v>
      </c>
      <c r="AK179" s="320">
        <f t="shared" si="537"/>
        <v>5.0940970574623644E-3</v>
      </c>
      <c r="AL179" s="321"/>
      <c r="AM179" s="320">
        <f t="shared" si="528"/>
        <v>5.0940970574623644E-3</v>
      </c>
      <c r="AN179" s="320">
        <f t="shared" si="523"/>
        <v>5.0940970574623644E-3</v>
      </c>
      <c r="AO179" s="320">
        <f t="shared" si="523"/>
        <v>5.0940970574623644E-3</v>
      </c>
      <c r="AP179" s="321"/>
      <c r="AQ179" s="320">
        <f>AM179</f>
        <v>5.0940970574623644E-3</v>
      </c>
      <c r="AR179" s="320">
        <f t="shared" si="524"/>
        <v>5.0940970574623644E-3</v>
      </c>
      <c r="AS179" s="320">
        <f t="shared" si="524"/>
        <v>5.0940970574623644E-3</v>
      </c>
      <c r="AU179" s="286"/>
    </row>
    <row r="180" spans="1:47">
      <c r="A180" s="194" t="s">
        <v>16</v>
      </c>
      <c r="H180" s="293"/>
      <c r="I180" s="293"/>
      <c r="J180" s="293"/>
      <c r="L180" s="194"/>
      <c r="N180" s="41"/>
      <c r="P180" s="293"/>
      <c r="Q180" s="293"/>
      <c r="R180" s="293"/>
      <c r="S180" s="293"/>
      <c r="T180" s="293"/>
      <c r="X180" s="293"/>
      <c r="Y180" s="293"/>
      <c r="Z180" s="293"/>
      <c r="AA180" s="293"/>
      <c r="AB180" s="293"/>
      <c r="AC180" s="293"/>
      <c r="AD180" s="293"/>
      <c r="AG180" s="266">
        <f>SUM(AG175:AG179)</f>
        <v>0.45199863392494544</v>
      </c>
      <c r="AI180" s="34"/>
      <c r="AJ180" s="34"/>
      <c r="AK180" s="34"/>
    </row>
    <row r="181" spans="1:47">
      <c r="A181" s="194" t="s">
        <v>16</v>
      </c>
      <c r="C181" s="194" t="s">
        <v>145</v>
      </c>
      <c r="E181" s="34">
        <f>SUM(E172:E174)</f>
        <v>0.53662781336486265</v>
      </c>
      <c r="F181" s="34">
        <f t="shared" ref="F181:G181" si="538">SUM(F172:F174)</f>
        <v>0.51362726101768208</v>
      </c>
      <c r="G181" s="34">
        <f t="shared" si="538"/>
        <v>0.52101728438928796</v>
      </c>
      <c r="H181" s="34">
        <f t="shared" ref="H181:J181" si="539">SUM(H172:H174)</f>
        <v>0.52486123511268079</v>
      </c>
      <c r="I181" s="34">
        <f t="shared" si="539"/>
        <v>0.50566764756776761</v>
      </c>
      <c r="J181" s="34">
        <f t="shared" si="539"/>
        <v>0.50135667929412664</v>
      </c>
      <c r="K181" s="34">
        <f>SUM(K172:K174)</f>
        <v>0.54800136607505456</v>
      </c>
      <c r="L181" s="34">
        <f>SUM(L172:L174)</f>
        <v>0.61078156858038191</v>
      </c>
      <c r="M181" s="34">
        <f>SUM(M172:M174)</f>
        <v>0.66763336065997048</v>
      </c>
      <c r="N181" s="41"/>
      <c r="O181" s="34">
        <f>SUM(O172:O174)</f>
        <v>0.51362726101768208</v>
      </c>
      <c r="P181" s="34">
        <f t="shared" ref="P181:S181" si="540">SUM(P172:P174)</f>
        <v>0.52101728438928796</v>
      </c>
      <c r="Q181" s="34">
        <f t="shared" si="540"/>
        <v>0.52486123511268079</v>
      </c>
      <c r="R181" s="34">
        <f t="shared" si="540"/>
        <v>0.50566764756776761</v>
      </c>
      <c r="S181" s="34">
        <f t="shared" si="540"/>
        <v>0.50135667929412664</v>
      </c>
      <c r="T181" s="34">
        <f>SUM(T172:T174)</f>
        <v>0.54800136607505456</v>
      </c>
      <c r="U181" s="34">
        <f>SUM(U172:U174)</f>
        <v>0.61078156858038191</v>
      </c>
      <c r="V181" s="34">
        <f>SUM(V172:V174)</f>
        <v>0.66763336065997048</v>
      </c>
      <c r="X181" s="251">
        <f t="shared" si="514"/>
        <v>0.51362726101768208</v>
      </c>
      <c r="Y181" s="251">
        <f t="shared" si="515"/>
        <v>0.52101728438928796</v>
      </c>
      <c r="Z181" s="251">
        <f t="shared" si="516"/>
        <v>0.52486123511268079</v>
      </c>
      <c r="AA181" s="251">
        <f t="shared" si="517"/>
        <v>0.50566764756776761</v>
      </c>
      <c r="AB181" s="251">
        <f t="shared" si="518"/>
        <v>0.50135667929412664</v>
      </c>
      <c r="AC181" s="319" t="e">
        <f>SUM(AC172:AC174)</f>
        <v>#N/A</v>
      </c>
      <c r="AD181" s="319" t="e">
        <f>SUM(AD172:AD174)</f>
        <v>#N/A</v>
      </c>
      <c r="AE181" s="319" t="e">
        <f>SUM(AE172:AE174)</f>
        <v>#N/A</v>
      </c>
    </row>
    <row r="182" spans="1:47">
      <c r="A182" s="194" t="s">
        <v>16</v>
      </c>
      <c r="B182" s="285"/>
      <c r="C182" s="194" t="s">
        <v>146</v>
      </c>
      <c r="E182" s="34">
        <f t="shared" ref="E182:G182" si="541">1-E181</f>
        <v>0.46337218663513735</v>
      </c>
      <c r="F182" s="34">
        <f t="shared" si="541"/>
        <v>0.48637273898231792</v>
      </c>
      <c r="G182" s="34">
        <f t="shared" si="541"/>
        <v>0.47898271561071204</v>
      </c>
      <c r="H182" s="34">
        <f t="shared" ref="H182:J182" si="542">1-H181</f>
        <v>0.47513876488731921</v>
      </c>
      <c r="I182" s="34">
        <f t="shared" si="542"/>
        <v>0.49433235243223239</v>
      </c>
      <c r="J182" s="34">
        <f t="shared" si="542"/>
        <v>0.49864332070587336</v>
      </c>
      <c r="K182" s="34">
        <f>1-K181</f>
        <v>0.45199863392494544</v>
      </c>
      <c r="L182" s="34">
        <f>1-L181</f>
        <v>0.38921843141961809</v>
      </c>
      <c r="M182" s="34">
        <f>1-M181</f>
        <v>0.33236663934002952</v>
      </c>
      <c r="N182" s="41"/>
      <c r="O182" s="34">
        <f>1-O181</f>
        <v>0.48637273898231792</v>
      </c>
      <c r="P182" s="34">
        <f t="shared" ref="P182:S182" si="543">1-P181</f>
        <v>0.47898271561071204</v>
      </c>
      <c r="Q182" s="34">
        <f t="shared" si="543"/>
        <v>0.47513876488731921</v>
      </c>
      <c r="R182" s="34">
        <f t="shared" si="543"/>
        <v>0.49433235243223239</v>
      </c>
      <c r="S182" s="34">
        <f t="shared" si="543"/>
        <v>0.49864332070587336</v>
      </c>
      <c r="T182" s="34">
        <f>1-T181</f>
        <v>0.45199863392494544</v>
      </c>
      <c r="U182" s="34">
        <f>1-U181</f>
        <v>0.38921843141961809</v>
      </c>
      <c r="V182" s="34">
        <f>1-V181</f>
        <v>0.33236663934002952</v>
      </c>
      <c r="X182" s="251">
        <f t="shared" si="514"/>
        <v>0.48637273898231792</v>
      </c>
      <c r="Y182" s="251">
        <f t="shared" si="515"/>
        <v>0.47898271561071204</v>
      </c>
      <c r="Z182" s="251">
        <f t="shared" si="516"/>
        <v>0.47513876488731921</v>
      </c>
      <c r="AA182" s="251">
        <f t="shared" si="517"/>
        <v>0.49433235243223239</v>
      </c>
      <c r="AB182" s="251">
        <f t="shared" si="518"/>
        <v>0.49864332070587336</v>
      </c>
      <c r="AC182" s="319" t="e">
        <f>1-AC181</f>
        <v>#N/A</v>
      </c>
      <c r="AD182" s="319" t="e">
        <f>1-AD181</f>
        <v>#N/A</v>
      </c>
      <c r="AE182" s="319" t="e">
        <f>1-AE181</f>
        <v>#N/A</v>
      </c>
    </row>
    <row r="183" spans="1:47">
      <c r="A183" s="194" t="s">
        <v>16</v>
      </c>
      <c r="B183" s="285"/>
      <c r="L183" s="194"/>
      <c r="N183" s="41"/>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94" t="s">
        <v>16</v>
      </c>
      <c r="L184" s="194"/>
      <c r="N184" s="41"/>
    </row>
    <row r="185" spans="1:47" ht="15.75" thickBot="1">
      <c r="A185" s="194" t="s">
        <v>16</v>
      </c>
      <c r="C185" s="237" t="s">
        <v>204</v>
      </c>
      <c r="E185" s="7">
        <v>2012</v>
      </c>
      <c r="F185" s="7">
        <f>F4</f>
        <v>2015</v>
      </c>
      <c r="G185" s="7">
        <f>G4</f>
        <v>2017</v>
      </c>
      <c r="H185" s="7">
        <f t="shared" ref="H185:J185" si="545">H4</f>
        <v>2019</v>
      </c>
      <c r="I185" s="7">
        <f t="shared" si="545"/>
        <v>2020</v>
      </c>
      <c r="J185" s="7">
        <f t="shared" si="545"/>
        <v>2021</v>
      </c>
      <c r="K185" s="7">
        <v>2030</v>
      </c>
      <c r="L185" s="7">
        <v>2040</v>
      </c>
      <c r="M185" s="7">
        <v>2050</v>
      </c>
      <c r="N185" s="41"/>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94">
        <f>W4</f>
        <v>0</v>
      </c>
      <c r="X185" s="194">
        <f>X4</f>
        <v>0</v>
      </c>
      <c r="Y185" s="293">
        <f t="shared" ref="Y185:AR185" si="547">Y4</f>
        <v>0</v>
      </c>
      <c r="Z185" s="293">
        <f t="shared" si="547"/>
        <v>0</v>
      </c>
      <c r="AA185" s="293">
        <f t="shared" si="547"/>
        <v>0</v>
      </c>
      <c r="AB185" s="293">
        <f t="shared" si="547"/>
        <v>0</v>
      </c>
      <c r="AC185" s="293">
        <f t="shared" si="547"/>
        <v>0</v>
      </c>
      <c r="AD185" s="293">
        <f t="shared" si="547"/>
        <v>0</v>
      </c>
      <c r="AE185" s="293">
        <f t="shared" si="547"/>
        <v>0</v>
      </c>
      <c r="AF185" s="293">
        <f t="shared" si="547"/>
        <v>0</v>
      </c>
      <c r="AG185" s="293">
        <f t="shared" si="547"/>
        <v>0</v>
      </c>
      <c r="AH185" s="293">
        <f t="shared" si="547"/>
        <v>0</v>
      </c>
      <c r="AI185" s="293">
        <f t="shared" si="547"/>
        <v>0</v>
      </c>
      <c r="AJ185" s="293">
        <f t="shared" si="547"/>
        <v>0</v>
      </c>
      <c r="AK185" s="293">
        <f t="shared" si="547"/>
        <v>0</v>
      </c>
      <c r="AL185" s="293">
        <f t="shared" si="547"/>
        <v>0</v>
      </c>
      <c r="AM185" s="293">
        <f t="shared" si="547"/>
        <v>0</v>
      </c>
      <c r="AN185" s="293">
        <f t="shared" si="547"/>
        <v>0</v>
      </c>
      <c r="AO185" s="293">
        <f t="shared" si="547"/>
        <v>0</v>
      </c>
      <c r="AP185" s="293">
        <f t="shared" si="547"/>
        <v>0</v>
      </c>
      <c r="AQ185" s="293">
        <f t="shared" si="547"/>
        <v>0</v>
      </c>
      <c r="AR185" s="293">
        <f t="shared" si="547"/>
        <v>0</v>
      </c>
    </row>
    <row r="186" spans="1:47">
      <c r="A186" s="194" t="s">
        <v>16</v>
      </c>
      <c r="B186" s="194" t="str">
        <f>B149</f>
        <v>TPPRCAR</v>
      </c>
      <c r="C186" s="194" t="str">
        <f>C149</f>
        <v>Car Priv.Veh. Vehicle km</v>
      </c>
      <c r="E186" s="310">
        <f t="shared" ref="E186:G193" si="548">E149</f>
        <v>81.484814157071753</v>
      </c>
      <c r="F186" s="10">
        <f>F149</f>
        <v>89.101204723506044</v>
      </c>
      <c r="G186" s="195">
        <f>G149</f>
        <v>94.193474919425029</v>
      </c>
      <c r="H186" s="195">
        <f>H149</f>
        <v>98.540706643679641</v>
      </c>
      <c r="I186" s="195">
        <f t="shared" ref="I186:J186" si="549">I149</f>
        <v>94.344957604784639</v>
      </c>
      <c r="J186" s="195">
        <f t="shared" si="549"/>
        <v>94.920703181587982</v>
      </c>
      <c r="K186" s="10">
        <f t="shared" ref="K186:M193" si="550">K149</f>
        <v>121.43547876625833</v>
      </c>
      <c r="L186" s="10">
        <f t="shared" si="550"/>
        <v>160.82023148759495</v>
      </c>
      <c r="M186" s="10">
        <f t="shared" si="550"/>
        <v>203.40684896627499</v>
      </c>
      <c r="N186" s="41"/>
      <c r="O186" s="243">
        <f>IF(O$113&lt;=$I$148,($I186-$F186)/10,IF(AND(O$113&gt;$I$148,O$113&lt;=$K$148),($K186-$I186)/10,IF(AND(O$113&gt;$K$148,O$113&lt;=$L$148),($L186-$K186)/2,($M186-$L186)/2)))+E186</f>
        <v>82.00918944519961</v>
      </c>
      <c r="P186" s="243">
        <f>IF(P$148&lt;=$I$148,($I186-$F186)/10,IF(AND(P$148&gt;$I$148,P$148&lt;=$K$148),($K186-$I186)/10,IF(AND(P$148&gt;$K$148,P$148&lt;=$L$148),($L186-$K186)/2,($M186-$L186)/2)))+O186</f>
        <v>82.533564733327466</v>
      </c>
      <c r="Q186" s="243">
        <f t="shared" ref="Q186:V186" si="551">IF(Q$148&lt;=$I$148,($I186-$F186)/10,IF(AND(Q$148&gt;$I$148,Q$148&lt;=$K$148),($K186-$I186)/10,IF(AND(Q$148&gt;$K$148,Q$148&lt;=$L$148),($L186-$K186)/2,($M186-$L186)/2)))+P186</f>
        <v>83.057940021455323</v>
      </c>
      <c r="R186" s="243">
        <f t="shared" si="551"/>
        <v>83.58231530958318</v>
      </c>
      <c r="S186" s="243">
        <f t="shared" si="551"/>
        <v>86.291367425730556</v>
      </c>
      <c r="T186" s="316">
        <f t="shared" si="551"/>
        <v>89.000419541877932</v>
      </c>
      <c r="U186" s="316">
        <f t="shared" si="551"/>
        <v>108.69279590254624</v>
      </c>
      <c r="V186" s="316">
        <f t="shared" si="551"/>
        <v>129.98610464188624</v>
      </c>
      <c r="W186" s="243">
        <f>E186</f>
        <v>81.484814157071753</v>
      </c>
      <c r="X186" s="243">
        <f t="shared" ref="X186:X187" si="552">IF(X$148&lt;=$I$148,($I186-$F186)/10,IF(AND(X$148&gt;$I$148,X$148&lt;=$K$148),($K186-$I186)/10,IF(AND(X$148&gt;$K$148,X$148&lt;=$L$148),($L186-$K186)/2,($M186-$L186)/2)))+W186</f>
        <v>82.00918944519961</v>
      </c>
      <c r="Y186" s="243">
        <f t="shared" ref="Y186:AR186" si="553">IF(Y$148&lt;=$I$148,($I186-$F186)/10,IF(AND(Y$148&gt;$I$148,Y$148&lt;=$K$148),($K186-$I186)/10,IF(AND(Y$148&gt;$K$148,Y$148&lt;=$L$148),($L186-$K186)/2,($M186-$L186)/2)))+X186</f>
        <v>82.533564733327466</v>
      </c>
      <c r="Z186" s="243">
        <f t="shared" si="553"/>
        <v>83.057940021455323</v>
      </c>
      <c r="AA186" s="243">
        <f t="shared" si="553"/>
        <v>83.58231530958318</v>
      </c>
      <c r="AB186" s="243">
        <f t="shared" si="553"/>
        <v>86.291367425730556</v>
      </c>
      <c r="AC186" s="243">
        <f t="shared" si="553"/>
        <v>89.000419541877932</v>
      </c>
      <c r="AD186" s="243">
        <f t="shared" si="553"/>
        <v>108.69279590254624</v>
      </c>
      <c r="AE186" s="243">
        <f t="shared" si="553"/>
        <v>129.98610464188624</v>
      </c>
      <c r="AF186" s="243">
        <f t="shared" si="553"/>
        <v>130.5104799300141</v>
      </c>
      <c r="AG186" s="243">
        <f t="shared" si="553"/>
        <v>131.03485521814196</v>
      </c>
      <c r="AH186" s="243">
        <f t="shared" si="553"/>
        <v>131.55923050626981</v>
      </c>
      <c r="AI186" s="243">
        <f t="shared" si="553"/>
        <v>132.08360579439767</v>
      </c>
      <c r="AJ186" s="243">
        <f t="shared" si="553"/>
        <v>132.60798108252553</v>
      </c>
      <c r="AK186" s="243">
        <f t="shared" si="553"/>
        <v>133.13235637065338</v>
      </c>
      <c r="AL186" s="243">
        <f t="shared" si="553"/>
        <v>133.65673165878124</v>
      </c>
      <c r="AM186" s="243">
        <f t="shared" si="553"/>
        <v>134.1811069469091</v>
      </c>
      <c r="AN186" s="243">
        <f t="shared" si="553"/>
        <v>134.70548223503695</v>
      </c>
      <c r="AO186" s="243">
        <f t="shared" si="553"/>
        <v>135.22985752316481</v>
      </c>
      <c r="AP186" s="243">
        <f t="shared" si="553"/>
        <v>135.75423281129267</v>
      </c>
      <c r="AQ186" s="243">
        <f t="shared" si="553"/>
        <v>136.27860809942052</v>
      </c>
      <c r="AR186" s="243">
        <f t="shared" si="553"/>
        <v>136.80298338754838</v>
      </c>
      <c r="AS186" s="243"/>
      <c r="AT186" s="243"/>
      <c r="AU186" s="243"/>
    </row>
    <row r="187" spans="1:47">
      <c r="A187" s="194" t="s">
        <v>16</v>
      </c>
      <c r="B187" s="194" t="str">
        <f t="shared" ref="B187:C193" si="554">B150</f>
        <v>TPPRSUV</v>
      </c>
      <c r="C187" s="194" t="str">
        <f t="shared" si="554"/>
        <v>SUV Priv.Veh. Vehicle km</v>
      </c>
      <c r="E187" s="310">
        <f t="shared" si="548"/>
        <v>9.3562062912418789</v>
      </c>
      <c r="F187" s="10">
        <f t="shared" si="548"/>
        <v>10.230731465918778</v>
      </c>
      <c r="G187" s="10">
        <f t="shared" si="548"/>
        <v>10.815433424641057</v>
      </c>
      <c r="H187" s="10">
        <f t="shared" ref="H187:J187" si="555">H150</f>
        <v>11.314588969495759</v>
      </c>
      <c r="I187" s="10">
        <f t="shared" si="555"/>
        <v>10.832826889526965</v>
      </c>
      <c r="J187" s="10">
        <f t="shared" si="555"/>
        <v>10.89893484404053</v>
      </c>
      <c r="K187" s="10">
        <f t="shared" si="550"/>
        <v>13.943400401241899</v>
      </c>
      <c r="L187" s="10">
        <f t="shared" si="550"/>
        <v>18.46561567536725</v>
      </c>
      <c r="M187" s="10">
        <f t="shared" si="550"/>
        <v>23.355473773450147</v>
      </c>
      <c r="N187" s="41"/>
      <c r="O187" s="243">
        <f t="shared" ref="O187:O193" si="556">IF(O$113&lt;=$I$148,($I187-$F187)/10,IF(AND(O$113&gt;$I$148,O$113&lt;=$K$148),($K187-$I187)/10,IF(AND(O$113&gt;$K$148,O$113&lt;=$L$148),($L187-$K187)/2,($M187-$L187)/2)))+E187</f>
        <v>9.4164158336026968</v>
      </c>
      <c r="P187" s="243">
        <f t="shared" ref="P187:V193" si="557">IF(P$148&lt;=$I$148,($I187-$F187)/10,IF(AND(P$148&gt;$I$148,P$148&lt;=$K$148),($K187-$I187)/10,IF(AND(P$148&gt;$K$148,P$148&lt;=$L$148),($L187-$K187)/2,($M187-$L187)/2)))+O187</f>
        <v>9.4766253759635148</v>
      </c>
      <c r="Q187" s="243">
        <f t="shared" si="557"/>
        <v>9.5368349183243328</v>
      </c>
      <c r="R187" s="243">
        <f t="shared" si="557"/>
        <v>9.5970444606851508</v>
      </c>
      <c r="S187" s="243">
        <f t="shared" si="557"/>
        <v>9.9081018118566444</v>
      </c>
      <c r="T187" s="316">
        <f t="shared" si="557"/>
        <v>10.219159163028138</v>
      </c>
      <c r="U187" s="316">
        <f t="shared" si="557"/>
        <v>12.480266800090813</v>
      </c>
      <c r="V187" s="316">
        <f t="shared" si="557"/>
        <v>14.925195849132262</v>
      </c>
      <c r="W187" s="243">
        <f t="shared" ref="W187:W193" si="558">E187</f>
        <v>9.3562062912418789</v>
      </c>
      <c r="X187" s="243">
        <f t="shared" si="552"/>
        <v>9.4164158336026968</v>
      </c>
      <c r="Y187" s="243">
        <f t="shared" ref="Y187:AR187" si="559">IF(Y$148&lt;=$I$148,($I187-$F187)/10,IF(AND(Y$148&gt;$I$148,Y$148&lt;=$K$148),($K187-$I187)/10,IF(AND(Y$148&gt;$K$148,Y$148&lt;=$L$148),($L187-$K187)/2,($M187-$L187)/2)))+X187</f>
        <v>9.4766253759635148</v>
      </c>
      <c r="Z187" s="243">
        <f t="shared" si="559"/>
        <v>9.5368349183243328</v>
      </c>
      <c r="AA187" s="243">
        <f t="shared" si="559"/>
        <v>9.5970444606851508</v>
      </c>
      <c r="AB187" s="243">
        <f t="shared" si="559"/>
        <v>9.9081018118566444</v>
      </c>
      <c r="AC187" s="243">
        <f t="shared" si="559"/>
        <v>10.219159163028138</v>
      </c>
      <c r="AD187" s="243">
        <f t="shared" si="559"/>
        <v>12.480266800090813</v>
      </c>
      <c r="AE187" s="243">
        <f t="shared" si="559"/>
        <v>14.925195849132262</v>
      </c>
      <c r="AF187" s="243">
        <f t="shared" si="559"/>
        <v>14.98540539149308</v>
      </c>
      <c r="AG187" s="243">
        <f t="shared" si="559"/>
        <v>15.045614933853898</v>
      </c>
      <c r="AH187" s="243">
        <f t="shared" si="559"/>
        <v>15.105824476214716</v>
      </c>
      <c r="AI187" s="243">
        <f t="shared" si="559"/>
        <v>15.166034018575534</v>
      </c>
      <c r="AJ187" s="243">
        <f t="shared" si="559"/>
        <v>15.226243560936352</v>
      </c>
      <c r="AK187" s="243">
        <f t="shared" si="559"/>
        <v>15.28645310329717</v>
      </c>
      <c r="AL187" s="243">
        <f t="shared" si="559"/>
        <v>15.346662645657988</v>
      </c>
      <c r="AM187" s="243">
        <f t="shared" si="559"/>
        <v>15.406872188018806</v>
      </c>
      <c r="AN187" s="243">
        <f t="shared" si="559"/>
        <v>15.467081730379624</v>
      </c>
      <c r="AO187" s="243">
        <f t="shared" si="559"/>
        <v>15.527291272740442</v>
      </c>
      <c r="AP187" s="243">
        <f t="shared" si="559"/>
        <v>15.58750081510126</v>
      </c>
      <c r="AQ187" s="243">
        <f t="shared" si="559"/>
        <v>15.647710357462078</v>
      </c>
      <c r="AR187" s="243">
        <f t="shared" si="559"/>
        <v>15.707919899822896</v>
      </c>
      <c r="AS187" s="243"/>
      <c r="AT187" s="243"/>
      <c r="AU187" s="243"/>
    </row>
    <row r="188" spans="1:47">
      <c r="A188" s="194" t="s">
        <v>16</v>
      </c>
      <c r="B188" s="194" t="str">
        <f t="shared" si="554"/>
        <v>TPPRMOT</v>
      </c>
      <c r="C188" s="194" t="str">
        <f t="shared" si="554"/>
        <v>Motorbikes Priv.Veh. Vehicle km</v>
      </c>
      <c r="E188" s="310">
        <f t="shared" si="548"/>
        <v>3.1893877916903843</v>
      </c>
      <c r="F188" s="10">
        <f t="shared" si="548"/>
        <v>3.4875000637820444</v>
      </c>
      <c r="G188" s="10">
        <f t="shared" si="548"/>
        <v>3.6868160291292309</v>
      </c>
      <c r="H188" s="10">
        <f t="shared" ref="H188:J188" si="560">H151</f>
        <v>3.8569705288653453</v>
      </c>
      <c r="I188" s="10">
        <f t="shared" si="560"/>
        <v>3.6927451955921633</v>
      </c>
      <c r="J188" s="10">
        <f t="shared" si="560"/>
        <v>3.7152803873671201</v>
      </c>
      <c r="K188" s="10">
        <f t="shared" si="550"/>
        <v>4.753092186092549</v>
      </c>
      <c r="L188" s="10">
        <f t="shared" si="550"/>
        <v>6.2946462880144241</v>
      </c>
      <c r="M188" s="10">
        <f t="shared" si="550"/>
        <v>7.961524212213539</v>
      </c>
      <c r="N188" s="41"/>
      <c r="O188" s="243">
        <f t="shared" si="556"/>
        <v>3.2099123048713962</v>
      </c>
      <c r="P188" s="243">
        <f t="shared" si="557"/>
        <v>3.2304368180524081</v>
      </c>
      <c r="Q188" s="243">
        <f t="shared" si="557"/>
        <v>3.25096133123342</v>
      </c>
      <c r="R188" s="243">
        <f t="shared" si="557"/>
        <v>3.2714858444144319</v>
      </c>
      <c r="S188" s="243">
        <f t="shared" si="557"/>
        <v>3.3775205434644704</v>
      </c>
      <c r="T188" s="316">
        <f t="shared" si="557"/>
        <v>3.4835552425145089</v>
      </c>
      <c r="U188" s="316">
        <f t="shared" si="557"/>
        <v>4.2543322934754464</v>
      </c>
      <c r="V188" s="316">
        <f t="shared" si="557"/>
        <v>5.0877712555750039</v>
      </c>
      <c r="W188" s="243">
        <f t="shared" si="558"/>
        <v>3.1893877916903843</v>
      </c>
      <c r="X188" s="243">
        <f t="shared" ref="X188" si="561">IF(X$148&lt;=$I$148,($I188-$F188)/10,IF(AND(X$148&gt;$I$148,X$148&lt;=$K$148),($K188-$I188)/10,IF(AND(X$148&gt;$K$148,X$148&lt;=$L$148),($L188-$K188)/2,($M188-$L188)/2)))+W188</f>
        <v>3.2099123048713962</v>
      </c>
      <c r="Y188" s="243">
        <f t="shared" ref="Y188:AR188" si="562">IF(Y$148&lt;=$I$148,($I188-$F188)/10,IF(AND(Y$148&gt;$I$148,Y$148&lt;=$K$148),($K188-$I188)/10,IF(AND(Y$148&gt;$K$148,Y$148&lt;=$L$148),($L188-$K188)/2,($M188-$L188)/2)))+X188</f>
        <v>3.2304368180524081</v>
      </c>
      <c r="Z188" s="243">
        <f t="shared" si="562"/>
        <v>3.25096133123342</v>
      </c>
      <c r="AA188" s="243">
        <f t="shared" si="562"/>
        <v>3.2714858444144319</v>
      </c>
      <c r="AB188" s="243">
        <f t="shared" si="562"/>
        <v>3.3775205434644704</v>
      </c>
      <c r="AC188" s="243">
        <f t="shared" si="562"/>
        <v>3.4835552425145089</v>
      </c>
      <c r="AD188" s="243">
        <f t="shared" si="562"/>
        <v>4.2543322934754464</v>
      </c>
      <c r="AE188" s="243">
        <f t="shared" si="562"/>
        <v>5.0877712555750039</v>
      </c>
      <c r="AF188" s="243">
        <f t="shared" si="562"/>
        <v>5.1082957687560153</v>
      </c>
      <c r="AG188" s="243">
        <f t="shared" si="562"/>
        <v>5.1288202819370277</v>
      </c>
      <c r="AH188" s="243">
        <f t="shared" si="562"/>
        <v>5.14934479511804</v>
      </c>
      <c r="AI188" s="243">
        <f t="shared" si="562"/>
        <v>5.1698693082990523</v>
      </c>
      <c r="AJ188" s="243">
        <f t="shared" si="562"/>
        <v>5.1903938214800647</v>
      </c>
      <c r="AK188" s="243">
        <f t="shared" si="562"/>
        <v>5.210918334661077</v>
      </c>
      <c r="AL188" s="243">
        <f t="shared" si="562"/>
        <v>5.2314428478420893</v>
      </c>
      <c r="AM188" s="243">
        <f t="shared" si="562"/>
        <v>5.2519673610231017</v>
      </c>
      <c r="AN188" s="243">
        <f t="shared" si="562"/>
        <v>5.272491874204114</v>
      </c>
      <c r="AO188" s="243">
        <f t="shared" si="562"/>
        <v>5.2930163873851264</v>
      </c>
      <c r="AP188" s="243">
        <f t="shared" si="562"/>
        <v>5.3135409005661387</v>
      </c>
      <c r="AQ188" s="243">
        <f t="shared" si="562"/>
        <v>5.334065413747151</v>
      </c>
      <c r="AR188" s="243">
        <f t="shared" si="562"/>
        <v>5.3545899269281634</v>
      </c>
      <c r="AS188" s="243"/>
      <c r="AT188" s="243"/>
      <c r="AU188" s="243"/>
    </row>
    <row r="189" spans="1:47">
      <c r="A189" s="194" t="s">
        <v>16</v>
      </c>
      <c r="B189" s="194" t="str">
        <f t="shared" si="554"/>
        <v>TPPUBUS</v>
      </c>
      <c r="C189" s="194" t="str">
        <f t="shared" si="554"/>
        <v>Bus vehicle km</v>
      </c>
      <c r="E189" s="310">
        <f t="shared" si="548"/>
        <v>0.61799148971758899</v>
      </c>
      <c r="F189" s="10">
        <f t="shared" si="548"/>
        <v>1.1005748482544424</v>
      </c>
      <c r="G189" s="10">
        <f t="shared" si="548"/>
        <v>0.81517994839590147</v>
      </c>
      <c r="H189" s="10">
        <f t="shared" ref="H189:J189" si="563">H152</f>
        <v>0.83415435481938982</v>
      </c>
      <c r="I189" s="10">
        <f t="shared" si="563"/>
        <v>0.86283771464679471</v>
      </c>
      <c r="J189" s="10">
        <f t="shared" si="563"/>
        <v>0.8556093195052763</v>
      </c>
      <c r="K189" s="10">
        <f t="shared" si="550"/>
        <v>0.86903732395814148</v>
      </c>
      <c r="L189" s="10">
        <f t="shared" si="550"/>
        <v>0.81414025921725031</v>
      </c>
      <c r="M189" s="10">
        <f t="shared" si="550"/>
        <v>0.73084750160921663</v>
      </c>
      <c r="N189" s="41"/>
      <c r="O189" s="243">
        <f t="shared" si="556"/>
        <v>0.59421777635682427</v>
      </c>
      <c r="P189" s="243">
        <f t="shared" si="557"/>
        <v>0.57044406299605954</v>
      </c>
      <c r="Q189" s="243">
        <f t="shared" si="557"/>
        <v>0.54667034963529482</v>
      </c>
      <c r="R189" s="243">
        <f t="shared" si="557"/>
        <v>0.52289663627453009</v>
      </c>
      <c r="S189" s="243">
        <f t="shared" si="557"/>
        <v>0.52351659720566479</v>
      </c>
      <c r="T189" s="316">
        <f t="shared" si="557"/>
        <v>0.52413655813679949</v>
      </c>
      <c r="U189" s="316">
        <f t="shared" si="557"/>
        <v>0.4966880257663539</v>
      </c>
      <c r="V189" s="316">
        <f t="shared" si="557"/>
        <v>0.45504164696233707</v>
      </c>
      <c r="W189" s="243">
        <f t="shared" si="558"/>
        <v>0.61799148971758899</v>
      </c>
      <c r="X189" s="243">
        <f t="shared" ref="X189" si="564">IF(X$148&lt;=$I$148,($I189-$F189)/10,IF(AND(X$148&gt;$I$148,X$148&lt;=$K$148),($K189-$I189)/10,IF(AND(X$148&gt;$K$148,X$148&lt;=$L$148),($L189-$K189)/2,($M189-$L189)/2)))+W189</f>
        <v>0.59421777635682427</v>
      </c>
      <c r="Y189" s="243">
        <f t="shared" ref="Y189:AR189" si="565">IF(Y$148&lt;=$I$148,($I189-$F189)/10,IF(AND(Y$148&gt;$I$148,Y$148&lt;=$K$148),($K189-$I189)/10,IF(AND(Y$148&gt;$K$148,Y$148&lt;=$L$148),($L189-$K189)/2,($M189-$L189)/2)))+X189</f>
        <v>0.57044406299605954</v>
      </c>
      <c r="Z189" s="243">
        <f t="shared" si="565"/>
        <v>0.54667034963529482</v>
      </c>
      <c r="AA189" s="243">
        <f t="shared" si="565"/>
        <v>0.52289663627453009</v>
      </c>
      <c r="AB189" s="243">
        <f t="shared" si="565"/>
        <v>0.52351659720566479</v>
      </c>
      <c r="AC189" s="243">
        <f t="shared" si="565"/>
        <v>0.52413655813679949</v>
      </c>
      <c r="AD189" s="243">
        <f t="shared" si="565"/>
        <v>0.4966880257663539</v>
      </c>
      <c r="AE189" s="243">
        <f t="shared" si="565"/>
        <v>0.45504164696233707</v>
      </c>
      <c r="AF189" s="243">
        <f t="shared" si="565"/>
        <v>0.43126793360157228</v>
      </c>
      <c r="AG189" s="243">
        <f t="shared" si="565"/>
        <v>0.4074942202408075</v>
      </c>
      <c r="AH189" s="243">
        <f t="shared" si="565"/>
        <v>0.38372050688004272</v>
      </c>
      <c r="AI189" s="243">
        <f t="shared" si="565"/>
        <v>0.35994679351927794</v>
      </c>
      <c r="AJ189" s="243">
        <f t="shared" si="565"/>
        <v>0.33617308015851316</v>
      </c>
      <c r="AK189" s="243">
        <f t="shared" si="565"/>
        <v>0.31239936679774838</v>
      </c>
      <c r="AL189" s="243">
        <f t="shared" si="565"/>
        <v>0.2886256534369836</v>
      </c>
      <c r="AM189" s="243">
        <f t="shared" si="565"/>
        <v>0.26485194007621882</v>
      </c>
      <c r="AN189" s="243">
        <f t="shared" si="565"/>
        <v>0.24107822671545404</v>
      </c>
      <c r="AO189" s="243">
        <f t="shared" si="565"/>
        <v>0.21730451335468925</v>
      </c>
      <c r="AP189" s="243">
        <f t="shared" si="565"/>
        <v>0.19353079999392447</v>
      </c>
      <c r="AQ189" s="243">
        <f t="shared" si="565"/>
        <v>0.16975708663315969</v>
      </c>
      <c r="AR189" s="243">
        <f t="shared" si="565"/>
        <v>0.14598337327239491</v>
      </c>
      <c r="AS189" s="243"/>
      <c r="AT189" s="243"/>
      <c r="AU189" s="243"/>
    </row>
    <row r="190" spans="1:47">
      <c r="A190" s="194" t="s">
        <v>16</v>
      </c>
      <c r="B190" s="194" t="str">
        <f t="shared" si="554"/>
        <v>TPPUMBT</v>
      </c>
      <c r="C190" s="194" t="str">
        <f t="shared" si="554"/>
        <v>Minibus vehicle km</v>
      </c>
      <c r="E190" s="310">
        <f t="shared" si="548"/>
        <v>5.9130328062411968</v>
      </c>
      <c r="F190" s="10">
        <f t="shared" si="548"/>
        <v>6.8127701567981385</v>
      </c>
      <c r="G190" s="10">
        <f t="shared" si="548"/>
        <v>7.701326008614755</v>
      </c>
      <c r="H190" s="10">
        <f t="shared" ref="H190:J190" si="566">H153</f>
        <v>7.8805846986436094</v>
      </c>
      <c r="I190" s="10">
        <f t="shared" si="566"/>
        <v>8.1515676950825338</v>
      </c>
      <c r="J190" s="10">
        <f t="shared" si="566"/>
        <v>8.0832781994767302</v>
      </c>
      <c r="K190" s="10">
        <f t="shared" si="550"/>
        <v>8.2101378457918024</v>
      </c>
      <c r="L190" s="10">
        <f t="shared" si="550"/>
        <v>7.6915036554911547</v>
      </c>
      <c r="M190" s="10">
        <f t="shared" si="550"/>
        <v>6.9046041718148716</v>
      </c>
      <c r="N190" s="41"/>
      <c r="O190" s="243">
        <f t="shared" si="556"/>
        <v>6.0469125600696358</v>
      </c>
      <c r="P190" s="243">
        <f t="shared" si="557"/>
        <v>6.1807923138980758</v>
      </c>
      <c r="Q190" s="243">
        <f t="shared" si="557"/>
        <v>6.3146720677265158</v>
      </c>
      <c r="R190" s="243">
        <f t="shared" si="557"/>
        <v>6.4485518215549558</v>
      </c>
      <c r="S190" s="243">
        <f t="shared" si="557"/>
        <v>6.4544088366258823</v>
      </c>
      <c r="T190" s="316">
        <f t="shared" si="557"/>
        <v>6.4602658516968088</v>
      </c>
      <c r="U190" s="316">
        <f t="shared" si="557"/>
        <v>6.2009487565464845</v>
      </c>
      <c r="V190" s="316">
        <f t="shared" si="557"/>
        <v>5.807499014708343</v>
      </c>
      <c r="W190" s="243">
        <f t="shared" si="558"/>
        <v>5.9130328062411968</v>
      </c>
      <c r="X190" s="243">
        <f t="shared" ref="X190" si="567">IF(X$148&lt;=$I$148,($I190-$F190)/10,IF(AND(X$148&gt;$I$148,X$148&lt;=$K$148),($K190-$I190)/10,IF(AND(X$148&gt;$K$148,X$148&lt;=$L$148),($L190-$K190)/2,($M190-$L190)/2)))+W190</f>
        <v>6.0469125600696358</v>
      </c>
      <c r="Y190" s="243">
        <f t="shared" ref="Y190:AR190" si="568">IF(Y$148&lt;=$I$148,($I190-$F190)/10,IF(AND(Y$148&gt;$I$148,Y$148&lt;=$K$148),($K190-$I190)/10,IF(AND(Y$148&gt;$K$148,Y$148&lt;=$L$148),($L190-$K190)/2,($M190-$L190)/2)))+X190</f>
        <v>6.1807923138980758</v>
      </c>
      <c r="Z190" s="243">
        <f t="shared" si="568"/>
        <v>6.3146720677265158</v>
      </c>
      <c r="AA190" s="243">
        <f t="shared" si="568"/>
        <v>6.4485518215549558</v>
      </c>
      <c r="AB190" s="243">
        <f t="shared" si="568"/>
        <v>6.4544088366258823</v>
      </c>
      <c r="AC190" s="243">
        <f t="shared" si="568"/>
        <v>6.4602658516968088</v>
      </c>
      <c r="AD190" s="243">
        <f t="shared" si="568"/>
        <v>6.2009487565464845</v>
      </c>
      <c r="AE190" s="243">
        <f t="shared" si="568"/>
        <v>5.807499014708343</v>
      </c>
      <c r="AF190" s="243">
        <f t="shared" si="568"/>
        <v>5.9413787685367829</v>
      </c>
      <c r="AG190" s="243">
        <f t="shared" si="568"/>
        <v>6.0752585223652229</v>
      </c>
      <c r="AH190" s="243">
        <f t="shared" si="568"/>
        <v>6.2091382761936629</v>
      </c>
      <c r="AI190" s="243">
        <f t="shared" si="568"/>
        <v>6.3430180300221028</v>
      </c>
      <c r="AJ190" s="243">
        <f t="shared" si="568"/>
        <v>6.4768977838505428</v>
      </c>
      <c r="AK190" s="243">
        <f t="shared" si="568"/>
        <v>6.6107775376789828</v>
      </c>
      <c r="AL190" s="243">
        <f t="shared" si="568"/>
        <v>6.7446572915074228</v>
      </c>
      <c r="AM190" s="243">
        <f t="shared" si="568"/>
        <v>6.8785370453358627</v>
      </c>
      <c r="AN190" s="243">
        <f t="shared" si="568"/>
        <v>7.0124167991643027</v>
      </c>
      <c r="AO190" s="243">
        <f t="shared" si="568"/>
        <v>7.1462965529927427</v>
      </c>
      <c r="AP190" s="243">
        <f t="shared" si="568"/>
        <v>7.2801763068211827</v>
      </c>
      <c r="AQ190" s="243">
        <f t="shared" si="568"/>
        <v>7.4140560606496226</v>
      </c>
      <c r="AR190" s="243">
        <f t="shared" si="568"/>
        <v>7.5479358144780626</v>
      </c>
      <c r="AS190" s="243"/>
      <c r="AT190" s="243"/>
      <c r="AU190" s="243"/>
    </row>
    <row r="191" spans="1:47">
      <c r="A191" s="194" t="s">
        <v>16</v>
      </c>
      <c r="B191" s="194" t="str">
        <f t="shared" si="554"/>
        <v>TPPUBRT</v>
      </c>
      <c r="C191" s="194" t="str">
        <f t="shared" si="554"/>
        <v>BRT vehicle km</v>
      </c>
      <c r="E191" s="310">
        <f t="shared" si="548"/>
        <v>2.1087604842955274E-2</v>
      </c>
      <c r="F191" s="10">
        <f t="shared" si="548"/>
        <v>3.1269715527094177E-2</v>
      </c>
      <c r="G191" s="10">
        <f t="shared" si="548"/>
        <v>6.2919830609995675E-2</v>
      </c>
      <c r="H191" s="10">
        <f t="shared" ref="H191:J191" si="569">H154</f>
        <v>0.10155968711451488</v>
      </c>
      <c r="I191" s="10">
        <f t="shared" si="569"/>
        <v>0.10425069329756113</v>
      </c>
      <c r="J191" s="10">
        <f t="shared" si="569"/>
        <v>0.29374525410217339</v>
      </c>
      <c r="K191" s="10">
        <f t="shared" si="550"/>
        <v>0.56778336073069768</v>
      </c>
      <c r="L191" s="10">
        <f t="shared" si="550"/>
        <v>1.0794151821685656</v>
      </c>
      <c r="M191" s="10">
        <f t="shared" si="550"/>
        <v>1.5545745187505957</v>
      </c>
      <c r="N191" s="41"/>
      <c r="O191" s="243">
        <f t="shared" si="556"/>
        <v>2.8385702620001972E-2</v>
      </c>
      <c r="P191" s="243">
        <f t="shared" si="557"/>
        <v>3.5683800397048666E-2</v>
      </c>
      <c r="Q191" s="243">
        <f t="shared" si="557"/>
        <v>4.2981898174095361E-2</v>
      </c>
      <c r="R191" s="243">
        <f t="shared" si="557"/>
        <v>5.0279995951142055E-2</v>
      </c>
      <c r="S191" s="243">
        <f t="shared" si="557"/>
        <v>9.6633262694455713E-2</v>
      </c>
      <c r="T191" s="316">
        <f t="shared" si="557"/>
        <v>0.14298652943776935</v>
      </c>
      <c r="U191" s="316">
        <f t="shared" si="557"/>
        <v>0.3988024401567033</v>
      </c>
      <c r="V191" s="316">
        <f t="shared" si="557"/>
        <v>0.63638210844771836</v>
      </c>
      <c r="W191" s="243">
        <f t="shared" si="558"/>
        <v>2.1087604842955274E-2</v>
      </c>
      <c r="X191" s="243">
        <f t="shared" ref="X191" si="570">IF(X$148&lt;=$I$148,($I191-$F191)/10,IF(AND(X$148&gt;$I$148,X$148&lt;=$K$148),($K191-$I191)/10,IF(AND(X$148&gt;$K$148,X$148&lt;=$L$148),($L191-$K191)/2,($M191-$L191)/2)))+W191</f>
        <v>2.8385702620001972E-2</v>
      </c>
      <c r="Y191" s="243">
        <f t="shared" ref="Y191:AR191" si="571">IF(Y$148&lt;=$I$148,($I191-$F191)/10,IF(AND(Y$148&gt;$I$148,Y$148&lt;=$K$148),($K191-$I191)/10,IF(AND(Y$148&gt;$K$148,Y$148&lt;=$L$148),($L191-$K191)/2,($M191-$L191)/2)))+X191</f>
        <v>3.5683800397048666E-2</v>
      </c>
      <c r="Z191" s="243">
        <f t="shared" si="571"/>
        <v>4.2981898174095361E-2</v>
      </c>
      <c r="AA191" s="243">
        <f t="shared" si="571"/>
        <v>5.0279995951142055E-2</v>
      </c>
      <c r="AB191" s="243">
        <f t="shared" si="571"/>
        <v>9.6633262694455713E-2</v>
      </c>
      <c r="AC191" s="243">
        <f t="shared" si="571"/>
        <v>0.14298652943776935</v>
      </c>
      <c r="AD191" s="243">
        <f t="shared" si="571"/>
        <v>0.3988024401567033</v>
      </c>
      <c r="AE191" s="243">
        <f t="shared" si="571"/>
        <v>0.63638210844771836</v>
      </c>
      <c r="AF191" s="243">
        <f t="shared" si="571"/>
        <v>0.64368020622476507</v>
      </c>
      <c r="AG191" s="243">
        <f t="shared" si="571"/>
        <v>0.65097830400181178</v>
      </c>
      <c r="AH191" s="243">
        <f t="shared" si="571"/>
        <v>0.65827640177885849</v>
      </c>
      <c r="AI191" s="243">
        <f t="shared" si="571"/>
        <v>0.6655744995559052</v>
      </c>
      <c r="AJ191" s="243">
        <f t="shared" si="571"/>
        <v>0.67287259733295191</v>
      </c>
      <c r="AK191" s="243">
        <f t="shared" si="571"/>
        <v>0.68017069510999861</v>
      </c>
      <c r="AL191" s="243">
        <f t="shared" si="571"/>
        <v>0.68746879288704532</v>
      </c>
      <c r="AM191" s="243">
        <f t="shared" si="571"/>
        <v>0.69476689066409203</v>
      </c>
      <c r="AN191" s="243">
        <f t="shared" si="571"/>
        <v>0.70206498844113874</v>
      </c>
      <c r="AO191" s="243">
        <f t="shared" si="571"/>
        <v>0.70936308621818545</v>
      </c>
      <c r="AP191" s="243">
        <f t="shared" si="571"/>
        <v>0.71666118399523215</v>
      </c>
      <c r="AQ191" s="243">
        <f t="shared" si="571"/>
        <v>0.72395928177227886</v>
      </c>
      <c r="AR191" s="243">
        <f t="shared" si="571"/>
        <v>0.73125737954932557</v>
      </c>
      <c r="AS191" s="243"/>
      <c r="AT191" s="243"/>
      <c r="AU191" s="243"/>
    </row>
    <row r="192" spans="1:47">
      <c r="A192" s="194" t="s">
        <v>16</v>
      </c>
      <c r="B192" s="194" t="str">
        <f t="shared" si="554"/>
        <v>TPPUMER</v>
      </c>
      <c r="C192" s="194" t="str">
        <f t="shared" si="554"/>
        <v>Metro Rail pkm</v>
      </c>
      <c r="E192" s="310">
        <f t="shared" si="548"/>
        <v>14.377943324329372</v>
      </c>
      <c r="F192" s="10">
        <f t="shared" si="548"/>
        <v>12.045661044795077</v>
      </c>
      <c r="G192" s="10">
        <f t="shared" si="548"/>
        <v>9.5012527769116826</v>
      </c>
      <c r="H192" s="10">
        <f t="shared" ref="H192:J192" si="572">H155</f>
        <v>9.7224071761043689</v>
      </c>
      <c r="I192" s="10">
        <f t="shared" si="572"/>
        <v>10.056723363281892</v>
      </c>
      <c r="J192" s="10">
        <f t="shared" si="572"/>
        <v>9.9724734874770302</v>
      </c>
      <c r="K192" s="10">
        <f t="shared" si="550"/>
        <v>10.128982323160761</v>
      </c>
      <c r="L192" s="10">
        <f t="shared" si="550"/>
        <v>9.4891347780388884</v>
      </c>
      <c r="M192" s="10">
        <f t="shared" si="550"/>
        <v>8.5183239207830912</v>
      </c>
      <c r="N192" s="41"/>
      <c r="O192" s="243">
        <f t="shared" si="556"/>
        <v>14.179049556178054</v>
      </c>
      <c r="P192" s="243">
        <f t="shared" si="557"/>
        <v>13.980155788026735</v>
      </c>
      <c r="Q192" s="243">
        <f t="shared" si="557"/>
        <v>13.781262019875417</v>
      </c>
      <c r="R192" s="243">
        <f t="shared" si="557"/>
        <v>13.582368251724098</v>
      </c>
      <c r="S192" s="243">
        <f t="shared" si="557"/>
        <v>13.589594147711985</v>
      </c>
      <c r="T192" s="316">
        <f t="shared" si="557"/>
        <v>13.596820043699871</v>
      </c>
      <c r="U192" s="316">
        <f t="shared" si="557"/>
        <v>13.276896271138934</v>
      </c>
      <c r="V192" s="316">
        <f t="shared" si="557"/>
        <v>12.791490842511035</v>
      </c>
      <c r="W192" s="243">
        <f t="shared" si="558"/>
        <v>14.377943324329372</v>
      </c>
      <c r="X192" s="243">
        <f t="shared" ref="X192" si="573">IF(X$148&lt;=$I$148,($I192-$F192)/10,IF(AND(X$148&gt;$I$148,X$148&lt;=$K$148),($K192-$I192)/10,IF(AND(X$148&gt;$K$148,X$148&lt;=$L$148),($L192-$K192)/2,($M192-$L192)/2)))+W192</f>
        <v>14.179049556178054</v>
      </c>
      <c r="Y192" s="243">
        <f t="shared" ref="Y192:AR192" si="574">IF(Y$148&lt;=$I$148,($I192-$F192)/10,IF(AND(Y$148&gt;$I$148,Y$148&lt;=$K$148),($K192-$I192)/10,IF(AND(Y$148&gt;$K$148,Y$148&lt;=$L$148),($L192-$K192)/2,($M192-$L192)/2)))+X192</f>
        <v>13.980155788026735</v>
      </c>
      <c r="Z192" s="243">
        <f t="shared" si="574"/>
        <v>13.781262019875417</v>
      </c>
      <c r="AA192" s="243">
        <f t="shared" si="574"/>
        <v>13.582368251724098</v>
      </c>
      <c r="AB192" s="243">
        <f t="shared" si="574"/>
        <v>13.589594147711985</v>
      </c>
      <c r="AC192" s="243">
        <f t="shared" si="574"/>
        <v>13.596820043699871</v>
      </c>
      <c r="AD192" s="243">
        <f t="shared" si="574"/>
        <v>13.276896271138934</v>
      </c>
      <c r="AE192" s="243">
        <f t="shared" si="574"/>
        <v>12.791490842511035</v>
      </c>
      <c r="AF192" s="243">
        <f t="shared" si="574"/>
        <v>12.592597074359716</v>
      </c>
      <c r="AG192" s="243">
        <f t="shared" si="574"/>
        <v>12.393703306208398</v>
      </c>
      <c r="AH192" s="243">
        <f t="shared" si="574"/>
        <v>12.194809538057079</v>
      </c>
      <c r="AI192" s="243">
        <f t="shared" si="574"/>
        <v>11.995915769905761</v>
      </c>
      <c r="AJ192" s="243">
        <f t="shared" si="574"/>
        <v>11.797022001754442</v>
      </c>
      <c r="AK192" s="243">
        <f t="shared" si="574"/>
        <v>11.598128233603124</v>
      </c>
      <c r="AL192" s="243">
        <f t="shared" si="574"/>
        <v>11.399234465451805</v>
      </c>
      <c r="AM192" s="243">
        <f t="shared" si="574"/>
        <v>11.200340697300486</v>
      </c>
      <c r="AN192" s="243">
        <f t="shared" si="574"/>
        <v>11.001446929149168</v>
      </c>
      <c r="AO192" s="243">
        <f t="shared" si="574"/>
        <v>10.802553160997849</v>
      </c>
      <c r="AP192" s="243">
        <f t="shared" si="574"/>
        <v>10.603659392846531</v>
      </c>
      <c r="AQ192" s="243">
        <f t="shared" si="574"/>
        <v>10.404765624695212</v>
      </c>
      <c r="AR192" s="243">
        <f t="shared" si="574"/>
        <v>10.205871856543894</v>
      </c>
      <c r="AS192" s="243"/>
      <c r="AT192" s="243"/>
      <c r="AU192" s="243"/>
    </row>
    <row r="193" spans="1:61">
      <c r="A193" s="194" t="s">
        <v>16</v>
      </c>
      <c r="B193" s="194" t="str">
        <f t="shared" si="554"/>
        <v>TPPUGAT</v>
      </c>
      <c r="C193" s="194" t="str">
        <f t="shared" si="554"/>
        <v>Gautrain pkm</v>
      </c>
      <c r="E193" s="310">
        <f t="shared" si="548"/>
        <v>0.53452578037785492</v>
      </c>
      <c r="F193" s="10">
        <f t="shared" si="548"/>
        <v>0.58840536503250629</v>
      </c>
      <c r="G193" s="10">
        <f t="shared" si="548"/>
        <v>0.62462624083765128</v>
      </c>
      <c r="H193" s="10">
        <f t="shared" ref="H193:J193" si="575">H156</f>
        <v>0.67226296980162004</v>
      </c>
      <c r="I193" s="10">
        <f t="shared" si="575"/>
        <v>0.64616666359533781</v>
      </c>
      <c r="J193" s="10">
        <f t="shared" si="575"/>
        <v>0.64672402075743496</v>
      </c>
      <c r="K193" s="10">
        <f t="shared" si="550"/>
        <v>0.82430505614031691</v>
      </c>
      <c r="L193" s="10">
        <f t="shared" si="550"/>
        <v>1.0556620991476746</v>
      </c>
      <c r="M193" s="10">
        <f t="shared" si="550"/>
        <v>1.2746406348095956</v>
      </c>
      <c r="N193" s="41"/>
      <c r="O193" s="243">
        <f t="shared" si="556"/>
        <v>0.54030191023413809</v>
      </c>
      <c r="P193" s="243">
        <f t="shared" si="557"/>
        <v>0.54607804009042127</v>
      </c>
      <c r="Q193" s="243">
        <f t="shared" si="557"/>
        <v>0.55185416994670444</v>
      </c>
      <c r="R193" s="243">
        <f t="shared" si="557"/>
        <v>0.55763029980298762</v>
      </c>
      <c r="S193" s="243">
        <f t="shared" si="557"/>
        <v>0.57544413905748548</v>
      </c>
      <c r="T193" s="316">
        <f t="shared" si="557"/>
        <v>0.59325797831198335</v>
      </c>
      <c r="U193" s="316">
        <f t="shared" si="557"/>
        <v>0.7089364998156622</v>
      </c>
      <c r="V193" s="316">
        <f t="shared" si="557"/>
        <v>0.81842576764662267</v>
      </c>
      <c r="W193" s="243">
        <f t="shared" si="558"/>
        <v>0.53452578037785492</v>
      </c>
      <c r="X193" s="243">
        <f t="shared" ref="X193" si="576">IF(X$148&lt;=$I$148,($I193-$F193)/10,IF(AND(X$148&gt;$I$148,X$148&lt;=$K$148),($K193-$I193)/10,IF(AND(X$148&gt;$K$148,X$148&lt;=$L$148),($L193-$K193)/2,($M193-$L193)/2)))+W193</f>
        <v>0.54030191023413809</v>
      </c>
      <c r="Y193" s="243">
        <f t="shared" ref="Y193:AR193" si="577">IF(Y$148&lt;=$I$148,($I193-$F193)/10,IF(AND(Y$148&gt;$I$148,Y$148&lt;=$K$148),($K193-$I193)/10,IF(AND(Y$148&gt;$K$148,Y$148&lt;=$L$148),($L193-$K193)/2,($M193-$L193)/2)))+X193</f>
        <v>0.54607804009042127</v>
      </c>
      <c r="Z193" s="243">
        <f t="shared" si="577"/>
        <v>0.55185416994670444</v>
      </c>
      <c r="AA193" s="243">
        <f t="shared" si="577"/>
        <v>0.55763029980298762</v>
      </c>
      <c r="AB193" s="243">
        <f t="shared" si="577"/>
        <v>0.57544413905748548</v>
      </c>
      <c r="AC193" s="243">
        <f t="shared" si="577"/>
        <v>0.59325797831198335</v>
      </c>
      <c r="AD193" s="243">
        <f t="shared" si="577"/>
        <v>0.7089364998156622</v>
      </c>
      <c r="AE193" s="243">
        <f t="shared" si="577"/>
        <v>0.81842576764662267</v>
      </c>
      <c r="AF193" s="243">
        <f t="shared" si="577"/>
        <v>0.82420189750290584</v>
      </c>
      <c r="AG193" s="243">
        <f t="shared" si="577"/>
        <v>0.82997802735918902</v>
      </c>
      <c r="AH193" s="243">
        <f t="shared" si="577"/>
        <v>0.83575415721547219</v>
      </c>
      <c r="AI193" s="243">
        <f t="shared" si="577"/>
        <v>0.84153028707175537</v>
      </c>
      <c r="AJ193" s="243">
        <f t="shared" si="577"/>
        <v>0.84730641692803854</v>
      </c>
      <c r="AK193" s="243">
        <f t="shared" si="577"/>
        <v>0.85308254678432172</v>
      </c>
      <c r="AL193" s="243">
        <f t="shared" si="577"/>
        <v>0.85885867664060489</v>
      </c>
      <c r="AM193" s="243">
        <f t="shared" si="577"/>
        <v>0.86463480649688806</v>
      </c>
      <c r="AN193" s="243">
        <f t="shared" si="577"/>
        <v>0.87041093635317124</v>
      </c>
      <c r="AO193" s="243">
        <f t="shared" si="577"/>
        <v>0.87618706620945441</v>
      </c>
      <c r="AP193" s="243">
        <f t="shared" si="577"/>
        <v>0.88196319606573759</v>
      </c>
      <c r="AQ193" s="243">
        <f t="shared" si="577"/>
        <v>0.88773932592202076</v>
      </c>
      <c r="AR193" s="243">
        <f t="shared" si="577"/>
        <v>0.89351545577830394</v>
      </c>
      <c r="AS193" s="243"/>
      <c r="AT193" s="243"/>
      <c r="AU193" s="243"/>
    </row>
    <row r="194" spans="1:61">
      <c r="E194" s="10"/>
      <c r="F194" s="10"/>
      <c r="G194" s="10"/>
      <c r="I194" s="10"/>
      <c r="K194" s="10"/>
      <c r="L194" s="10"/>
      <c r="M194" s="10"/>
      <c r="N194" s="41"/>
      <c r="O194" s="243"/>
      <c r="R194" s="243"/>
      <c r="T194" s="243"/>
      <c r="U194" s="243"/>
      <c r="V194" s="243"/>
      <c r="W194" s="243"/>
      <c r="X194" s="243"/>
      <c r="AA194" s="243"/>
      <c r="AB194" s="243"/>
      <c r="AD194" s="243"/>
      <c r="AE194" s="243"/>
      <c r="AF194" s="243"/>
      <c r="AG194" s="243"/>
      <c r="AH194" s="243"/>
      <c r="AI194" s="243"/>
      <c r="AJ194" s="243"/>
      <c r="AK194" s="243"/>
      <c r="AL194" s="243"/>
      <c r="AM194" s="243"/>
      <c r="AN194" s="243"/>
      <c r="AO194" s="243"/>
      <c r="AP194" s="243"/>
      <c r="AQ194" s="243"/>
      <c r="AR194" s="243"/>
      <c r="AS194" s="243"/>
      <c r="AT194" s="243"/>
      <c r="AU194" s="243"/>
    </row>
    <row r="195" spans="1:61" ht="23.25">
      <c r="A195" s="194" t="s">
        <v>16</v>
      </c>
      <c r="B195" s="16" t="s">
        <v>18</v>
      </c>
      <c r="C195" s="16" t="s">
        <v>19</v>
      </c>
      <c r="D195" s="16" t="s">
        <v>20</v>
      </c>
      <c r="E195" s="16" t="s">
        <v>21</v>
      </c>
      <c r="F195" s="16" t="s">
        <v>22</v>
      </c>
      <c r="G195" s="16" t="s">
        <v>23</v>
      </c>
      <c r="H195" s="16" t="s">
        <v>24</v>
      </c>
      <c r="I195" s="16" t="s">
        <v>618</v>
      </c>
      <c r="J195" s="16" t="s">
        <v>653</v>
      </c>
      <c r="K195" s="16" t="s">
        <v>654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200" customFormat="1">
      <c r="A196" s="121" t="s">
        <v>16</v>
      </c>
      <c r="B196" s="200" t="s">
        <v>392</v>
      </c>
      <c r="C196" s="200">
        <v>1</v>
      </c>
      <c r="D196" s="200">
        <v>2012</v>
      </c>
      <c r="E196" s="200">
        <v>2015</v>
      </c>
      <c r="F196" s="200">
        <v>2017</v>
      </c>
      <c r="G196" s="200">
        <v>2019</v>
      </c>
      <c r="H196" s="200">
        <v>2020</v>
      </c>
      <c r="I196" s="200">
        <v>2021</v>
      </c>
      <c r="J196" s="200">
        <v>2030</v>
      </c>
      <c r="K196" s="200">
        <v>2040</v>
      </c>
      <c r="L196" s="247">
        <v>2050</v>
      </c>
      <c r="M196" s="121">
        <f t="shared" ref="M196:AQ196" si="579">MATCH(L$209,$E$185:$M$185,$C196)</f>
        <v>1</v>
      </c>
      <c r="N196" s="121">
        <f t="shared" si="579"/>
        <v>1</v>
      </c>
      <c r="O196" s="121">
        <f t="shared" si="579"/>
        <v>1</v>
      </c>
      <c r="P196" s="121">
        <f t="shared" si="579"/>
        <v>2</v>
      </c>
      <c r="Q196" s="121">
        <f t="shared" si="579"/>
        <v>2</v>
      </c>
      <c r="R196" s="121">
        <f t="shared" si="579"/>
        <v>3</v>
      </c>
      <c r="S196" s="121">
        <f t="shared" si="579"/>
        <v>3</v>
      </c>
      <c r="T196" s="121">
        <f t="shared" si="579"/>
        <v>4</v>
      </c>
      <c r="U196" s="121">
        <f t="shared" si="579"/>
        <v>5</v>
      </c>
      <c r="V196" s="121">
        <f t="shared" si="579"/>
        <v>6</v>
      </c>
      <c r="W196" s="121">
        <f t="shared" si="579"/>
        <v>6</v>
      </c>
      <c r="X196" s="121">
        <f t="shared" si="579"/>
        <v>6</v>
      </c>
      <c r="Y196" s="121">
        <f t="shared" si="579"/>
        <v>6</v>
      </c>
      <c r="Z196" s="121">
        <f t="shared" si="579"/>
        <v>6</v>
      </c>
      <c r="AA196" s="121">
        <f t="shared" si="579"/>
        <v>6</v>
      </c>
      <c r="AB196" s="121">
        <f t="shared" si="579"/>
        <v>6</v>
      </c>
      <c r="AC196" s="121">
        <f t="shared" si="579"/>
        <v>6</v>
      </c>
      <c r="AD196" s="121">
        <f t="shared" si="579"/>
        <v>6</v>
      </c>
      <c r="AE196" s="121">
        <f t="shared" si="579"/>
        <v>7</v>
      </c>
      <c r="AF196" s="121">
        <f t="shared" si="579"/>
        <v>7</v>
      </c>
      <c r="AG196" s="121">
        <f t="shared" si="579"/>
        <v>7</v>
      </c>
      <c r="AH196" s="121">
        <f t="shared" si="579"/>
        <v>7</v>
      </c>
      <c r="AI196" s="121">
        <f t="shared" si="579"/>
        <v>7</v>
      </c>
      <c r="AJ196" s="121">
        <f t="shared" si="579"/>
        <v>7</v>
      </c>
      <c r="AK196" s="121">
        <f t="shared" si="579"/>
        <v>7</v>
      </c>
      <c r="AL196" s="121">
        <f t="shared" si="579"/>
        <v>7</v>
      </c>
      <c r="AM196" s="121">
        <f t="shared" si="579"/>
        <v>7</v>
      </c>
      <c r="AN196" s="121">
        <f t="shared" si="579"/>
        <v>7</v>
      </c>
      <c r="AO196" s="121">
        <f t="shared" si="579"/>
        <v>8</v>
      </c>
      <c r="AP196" s="121">
        <f t="shared" si="579"/>
        <v>8</v>
      </c>
      <c r="AQ196" s="121">
        <f t="shared" si="579"/>
        <v>9</v>
      </c>
      <c r="AR196" s="200">
        <f>MATCH(AQ$209,$C$210:$K$210,$C196)</f>
        <v>9</v>
      </c>
      <c r="AS196" s="200">
        <f>MATCH(AR$209,$C$210:$K$210,$C196)</f>
        <v>9</v>
      </c>
      <c r="BH196" s="121">
        <f>MATCH(BG$209,$C$210:$K$210,$C196)</f>
        <v>1</v>
      </c>
    </row>
    <row r="197" spans="1:61">
      <c r="A197" s="41" t="s">
        <v>16</v>
      </c>
      <c r="B197" s="194" t="s">
        <v>393</v>
      </c>
      <c r="C197" s="194">
        <v>0</v>
      </c>
      <c r="D197" s="194">
        <f>INDEX($D196:$L196,0,COUNT($D196:$L196)-D198)</f>
        <v>2050</v>
      </c>
      <c r="E197" s="293">
        <f t="shared" ref="E197:L197" si="580">INDEX($D196:$L196,0,COUNT($D196:$L196)-E198)</f>
        <v>2040</v>
      </c>
      <c r="F197" s="293">
        <f t="shared" si="580"/>
        <v>2030</v>
      </c>
      <c r="G197" s="293">
        <f t="shared" si="580"/>
        <v>2021</v>
      </c>
      <c r="H197" s="293">
        <f t="shared" si="580"/>
        <v>2020</v>
      </c>
      <c r="I197" s="293">
        <f t="shared" si="580"/>
        <v>2019</v>
      </c>
      <c r="J197" s="293">
        <f t="shared" si="580"/>
        <v>2017</v>
      </c>
      <c r="K197" s="293">
        <f t="shared" si="580"/>
        <v>2015</v>
      </c>
      <c r="L197" s="293">
        <f t="shared" si="580"/>
        <v>2012</v>
      </c>
      <c r="M197" s="41">
        <f t="shared" ref="M197:AQ197" si="581">MATCH(L$209,$E$185:$M$185,$C197)</f>
        <v>1</v>
      </c>
      <c r="N197" s="41" t="e">
        <f t="shared" si="581"/>
        <v>#N/A</v>
      </c>
      <c r="O197" s="41" t="e">
        <f t="shared" si="581"/>
        <v>#N/A</v>
      </c>
      <c r="P197" s="41">
        <f t="shared" si="581"/>
        <v>2</v>
      </c>
      <c r="Q197" s="41" t="e">
        <f t="shared" si="581"/>
        <v>#N/A</v>
      </c>
      <c r="R197" s="41">
        <f t="shared" si="581"/>
        <v>3</v>
      </c>
      <c r="S197" s="41" t="e">
        <f t="shared" si="581"/>
        <v>#N/A</v>
      </c>
      <c r="T197" s="41">
        <f t="shared" si="581"/>
        <v>4</v>
      </c>
      <c r="U197" s="41">
        <f t="shared" si="581"/>
        <v>5</v>
      </c>
      <c r="V197" s="41">
        <f t="shared" si="581"/>
        <v>6</v>
      </c>
      <c r="W197" s="41" t="e">
        <f t="shared" si="581"/>
        <v>#N/A</v>
      </c>
      <c r="X197" s="41" t="e">
        <f t="shared" si="581"/>
        <v>#N/A</v>
      </c>
      <c r="Y197" s="41" t="e">
        <f t="shared" si="581"/>
        <v>#N/A</v>
      </c>
      <c r="Z197" s="41" t="e">
        <f t="shared" si="581"/>
        <v>#N/A</v>
      </c>
      <c r="AA197" s="41" t="e">
        <f t="shared" si="581"/>
        <v>#N/A</v>
      </c>
      <c r="AB197" s="41" t="e">
        <f t="shared" si="581"/>
        <v>#N/A</v>
      </c>
      <c r="AC197" s="41" t="e">
        <f t="shared" si="581"/>
        <v>#N/A</v>
      </c>
      <c r="AD197" s="41" t="e">
        <f t="shared" si="581"/>
        <v>#N/A</v>
      </c>
      <c r="AE197" s="41">
        <f t="shared" si="581"/>
        <v>7</v>
      </c>
      <c r="AF197" s="41" t="e">
        <f t="shared" si="581"/>
        <v>#N/A</v>
      </c>
      <c r="AG197" s="41" t="e">
        <f t="shared" si="581"/>
        <v>#N/A</v>
      </c>
      <c r="AH197" s="41" t="e">
        <f t="shared" si="581"/>
        <v>#N/A</v>
      </c>
      <c r="AI197" s="41" t="e">
        <f t="shared" si="581"/>
        <v>#N/A</v>
      </c>
      <c r="AJ197" s="41" t="e">
        <f t="shared" si="581"/>
        <v>#N/A</v>
      </c>
      <c r="AK197" s="41" t="e">
        <f t="shared" si="581"/>
        <v>#N/A</v>
      </c>
      <c r="AL197" s="41" t="e">
        <f t="shared" si="581"/>
        <v>#N/A</v>
      </c>
      <c r="AM197" s="41" t="e">
        <f t="shared" si="581"/>
        <v>#N/A</v>
      </c>
      <c r="AN197" s="41" t="e">
        <f t="shared" si="581"/>
        <v>#N/A</v>
      </c>
      <c r="AO197" s="41">
        <f t="shared" si="581"/>
        <v>8</v>
      </c>
      <c r="AP197" s="41" t="e">
        <f t="shared" si="581"/>
        <v>#N/A</v>
      </c>
      <c r="AQ197" s="41">
        <f t="shared" si="581"/>
        <v>9</v>
      </c>
      <c r="AR197" s="194" t="e">
        <f>MATCH(AQ$209,$C$210:$K$210,$C197)</f>
        <v>#N/A</v>
      </c>
      <c r="AS197" s="194" t="e">
        <f>MATCH(AR$209,$C$210:$K$210,$C197)</f>
        <v>#N/A</v>
      </c>
      <c r="BH197" s="41">
        <f>MATCH(BG$209,$C$210:$K$210,$C197)</f>
        <v>1</v>
      </c>
    </row>
    <row r="198" spans="1:61">
      <c r="A198" s="41" t="s">
        <v>16</v>
      </c>
      <c r="B198" s="194" t="s">
        <v>391</v>
      </c>
      <c r="C198" s="194">
        <v>-1</v>
      </c>
      <c r="D198" s="194">
        <v>0</v>
      </c>
      <c r="E198" s="293">
        <v>1</v>
      </c>
      <c r="F198" s="293">
        <v>2</v>
      </c>
      <c r="G198" s="293">
        <v>3</v>
      </c>
      <c r="H198" s="293">
        <v>4</v>
      </c>
      <c r="I198" s="293">
        <v>5</v>
      </c>
      <c r="J198" s="293">
        <v>6</v>
      </c>
      <c r="K198" s="293">
        <v>7</v>
      </c>
      <c r="L198" s="293">
        <v>8</v>
      </c>
      <c r="M198" s="194">
        <f>MATCH(L$209,$C$211:$K$211,$C198)</f>
        <v>9</v>
      </c>
      <c r="N198" s="194">
        <f>MATCH(M$209,$D$197:$L$197,$C198)</f>
        <v>8</v>
      </c>
      <c r="O198" s="194">
        <f t="shared" ref="O198:AS198" si="582">MATCH(N$209,$C$211:$K$211,$C198)</f>
        <v>8</v>
      </c>
      <c r="P198" s="194">
        <f t="shared" si="582"/>
        <v>8</v>
      </c>
      <c r="Q198" s="194">
        <f t="shared" si="582"/>
        <v>7</v>
      </c>
      <c r="R198" s="194">
        <f t="shared" si="582"/>
        <v>7</v>
      </c>
      <c r="S198" s="194">
        <f t="shared" si="582"/>
        <v>6</v>
      </c>
      <c r="T198" s="194">
        <f t="shared" si="582"/>
        <v>6</v>
      </c>
      <c r="U198" s="194">
        <f t="shared" si="582"/>
        <v>5</v>
      </c>
      <c r="V198" s="194">
        <f t="shared" si="582"/>
        <v>4</v>
      </c>
      <c r="W198" s="194">
        <f t="shared" si="582"/>
        <v>3</v>
      </c>
      <c r="X198" s="194">
        <f t="shared" si="582"/>
        <v>3</v>
      </c>
      <c r="Y198" s="194">
        <f t="shared" si="582"/>
        <v>3</v>
      </c>
      <c r="Z198" s="194">
        <f t="shared" si="582"/>
        <v>3</v>
      </c>
      <c r="AA198" s="194">
        <f t="shared" si="582"/>
        <v>3</v>
      </c>
      <c r="AB198" s="194">
        <f t="shared" si="582"/>
        <v>3</v>
      </c>
      <c r="AC198" s="194">
        <f t="shared" si="582"/>
        <v>3</v>
      </c>
      <c r="AD198" s="194">
        <f t="shared" si="582"/>
        <v>3</v>
      </c>
      <c r="AE198" s="194">
        <f t="shared" si="582"/>
        <v>3</v>
      </c>
      <c r="AF198" s="194">
        <f t="shared" si="582"/>
        <v>2</v>
      </c>
      <c r="AG198" s="194">
        <f t="shared" si="582"/>
        <v>2</v>
      </c>
      <c r="AH198" s="194">
        <f t="shared" si="582"/>
        <v>2</v>
      </c>
      <c r="AI198" s="194">
        <f t="shared" si="582"/>
        <v>2</v>
      </c>
      <c r="AJ198" s="194">
        <f t="shared" si="582"/>
        <v>2</v>
      </c>
      <c r="AK198" s="194">
        <f t="shared" si="582"/>
        <v>2</v>
      </c>
      <c r="AL198" s="194">
        <f t="shared" si="582"/>
        <v>2</v>
      </c>
      <c r="AM198" s="194">
        <f t="shared" si="582"/>
        <v>2</v>
      </c>
      <c r="AN198" s="194">
        <f t="shared" si="582"/>
        <v>2</v>
      </c>
      <c r="AO198" s="194">
        <f t="shared" si="582"/>
        <v>2</v>
      </c>
      <c r="AP198" s="194">
        <f t="shared" si="582"/>
        <v>1</v>
      </c>
      <c r="AQ198" s="194">
        <f t="shared" si="582"/>
        <v>1</v>
      </c>
      <c r="AR198" s="194" t="e">
        <f t="shared" si="582"/>
        <v>#N/A</v>
      </c>
      <c r="AS198" s="194" t="e">
        <f t="shared" si="582"/>
        <v>#N/A</v>
      </c>
      <c r="BH198" s="194">
        <f>MATCH(BG$209,$C$211:$K$211,$C198)</f>
        <v>9</v>
      </c>
    </row>
    <row r="199" spans="1:61" s="124" customFormat="1">
      <c r="A199" s="123" t="s">
        <v>16</v>
      </c>
      <c r="B199" s="124" t="s">
        <v>394</v>
      </c>
      <c r="L199" s="129"/>
      <c r="M199" s="198">
        <f>IF(ISNA(M196),-1,IF(ISNA(M198),99,IF(ISNA(M197),M196,0)))</f>
        <v>0</v>
      </c>
      <c r="N199" s="198">
        <f>IF(ISNA(N196),-1,IF(ISNA(N198),99,IF(ISNA(N197),N196,0)))</f>
        <v>1</v>
      </c>
      <c r="O199" s="198">
        <f t="shared" ref="O199:AS199" si="583">IF(ISNA(O196),-1,IF(ISNA(O198),99,IF(ISNA(O197),O196,0)))</f>
        <v>1</v>
      </c>
      <c r="P199" s="198">
        <f t="shared" si="583"/>
        <v>0</v>
      </c>
      <c r="Q199" s="198">
        <f t="shared" si="583"/>
        <v>2</v>
      </c>
      <c r="R199" s="198">
        <f t="shared" ref="R199" si="584">IF(ISNA(R196),-1,IF(ISNA(R198),99,IF(ISNA(R197),R196,0)))</f>
        <v>0</v>
      </c>
      <c r="S199" s="198">
        <f t="shared" si="583"/>
        <v>3</v>
      </c>
      <c r="T199" s="198">
        <f t="shared" si="583"/>
        <v>0</v>
      </c>
      <c r="U199" s="198">
        <f t="shared" si="583"/>
        <v>0</v>
      </c>
      <c r="V199" s="198">
        <f t="shared" si="583"/>
        <v>0</v>
      </c>
      <c r="W199" s="198">
        <f t="shared" si="583"/>
        <v>6</v>
      </c>
      <c r="X199" s="198">
        <f t="shared" si="583"/>
        <v>6</v>
      </c>
      <c r="Y199" s="198">
        <f t="shared" si="583"/>
        <v>6</v>
      </c>
      <c r="Z199" s="198">
        <f t="shared" si="583"/>
        <v>6</v>
      </c>
      <c r="AA199" s="198">
        <f t="shared" si="583"/>
        <v>6</v>
      </c>
      <c r="AB199" s="198">
        <f t="shared" si="583"/>
        <v>6</v>
      </c>
      <c r="AC199" s="198">
        <f t="shared" si="583"/>
        <v>6</v>
      </c>
      <c r="AD199" s="198">
        <f t="shared" si="583"/>
        <v>6</v>
      </c>
      <c r="AE199" s="198">
        <f t="shared" si="583"/>
        <v>0</v>
      </c>
      <c r="AF199" s="198">
        <f t="shared" si="583"/>
        <v>7</v>
      </c>
      <c r="AG199" s="198">
        <f t="shared" si="583"/>
        <v>7</v>
      </c>
      <c r="AH199" s="198">
        <f t="shared" si="583"/>
        <v>7</v>
      </c>
      <c r="AI199" s="198">
        <f t="shared" si="583"/>
        <v>7</v>
      </c>
      <c r="AJ199" s="198">
        <f t="shared" si="583"/>
        <v>7</v>
      </c>
      <c r="AK199" s="198">
        <f t="shared" si="583"/>
        <v>7</v>
      </c>
      <c r="AL199" s="198">
        <f t="shared" si="583"/>
        <v>7</v>
      </c>
      <c r="AM199" s="198">
        <f t="shared" si="583"/>
        <v>7</v>
      </c>
      <c r="AN199" s="198">
        <f t="shared" si="583"/>
        <v>7</v>
      </c>
      <c r="AO199" s="198">
        <f t="shared" si="583"/>
        <v>0</v>
      </c>
      <c r="AP199" s="198">
        <f t="shared" si="583"/>
        <v>8</v>
      </c>
      <c r="AQ199" s="198">
        <f t="shared" si="583"/>
        <v>0</v>
      </c>
      <c r="AR199" s="198">
        <f t="shared" si="583"/>
        <v>99</v>
      </c>
      <c r="AS199" s="198">
        <f t="shared" si="583"/>
        <v>99</v>
      </c>
      <c r="AT199" s="198"/>
      <c r="AW199" s="198"/>
      <c r="AX199" s="198"/>
      <c r="BH199" s="198">
        <f>IF(ISNA(BH196),-1,IF(ISNA(BH198),99,IF(ISNA(BH197),BH196,0)))</f>
        <v>0</v>
      </c>
      <c r="BI199" s="198"/>
    </row>
    <row r="200" spans="1:61">
      <c r="A200" s="194" t="s">
        <v>16</v>
      </c>
      <c r="B200" s="22" t="str">
        <f t="shared" ref="B200:B207" si="585">IF(A200="*","","COM_PROJ")</f>
        <v/>
      </c>
      <c r="C200" s="23" t="str">
        <f t="shared" ref="C200:C207" si="586">IF($A200="*","","-")</f>
        <v/>
      </c>
      <c r="D200" s="59" t="str">
        <f t="shared" ref="D200:D207" si="587">B172</f>
        <v>TPPRCAR</v>
      </c>
      <c r="E200" s="23" t="str">
        <f t="shared" ref="E200:K207" si="588">IF($A200="*","","-")</f>
        <v/>
      </c>
      <c r="F200" s="23"/>
      <c r="H200" s="23" t="str">
        <f t="shared" si="588"/>
        <v/>
      </c>
      <c r="J200" s="23" t="str">
        <f t="shared" si="588"/>
        <v/>
      </c>
      <c r="K200" s="23" t="str">
        <f t="shared" si="588"/>
        <v/>
      </c>
      <c r="L200" s="22" t="str">
        <f t="shared" ref="L200:L207" si="589">IF(A200="*","",0)</f>
        <v/>
      </c>
      <c r="M200" s="195">
        <f t="shared" ref="M200:AR200" si="590">IF(M$199=-1,N200,IF(M$199=99,L200,IF(M$199=0,INDEX($E186:$M186,0,M$197),(INDEX($E186:$M186,0,M$199+1)-INDEX($E186:$M186,0,M$199))/(INDEX($E$185:$M$185,0,M$199+1)-INDEX($E$185:$M$185,0,M$199))+L200)))</f>
        <v>81.484814157071753</v>
      </c>
      <c r="N200" s="195">
        <f t="shared" si="590"/>
        <v>84.02361101254985</v>
      </c>
      <c r="O200" s="195">
        <f t="shared" si="590"/>
        <v>86.562407868027947</v>
      </c>
      <c r="P200" s="195">
        <f t="shared" si="590"/>
        <v>89.101204723506044</v>
      </c>
      <c r="Q200" s="195">
        <f t="shared" si="590"/>
        <v>91.647339821465536</v>
      </c>
      <c r="R200" s="195">
        <f t="shared" si="590"/>
        <v>94.193474919425029</v>
      </c>
      <c r="S200" s="195">
        <f t="shared" si="590"/>
        <v>96.367090781552335</v>
      </c>
      <c r="T200" s="195">
        <f t="shared" si="590"/>
        <v>98.540706643679641</v>
      </c>
      <c r="U200" s="195">
        <f t="shared" si="590"/>
        <v>94.344957604784639</v>
      </c>
      <c r="V200" s="195">
        <f t="shared" si="590"/>
        <v>94.920703181587982</v>
      </c>
      <c r="W200" s="195">
        <f t="shared" si="590"/>
        <v>97.866789357662469</v>
      </c>
      <c r="X200" s="195">
        <f t="shared" si="590"/>
        <v>100.81287553373696</v>
      </c>
      <c r="Y200" s="195">
        <f t="shared" si="590"/>
        <v>103.75896170981144</v>
      </c>
      <c r="Z200" s="195">
        <f t="shared" si="590"/>
        <v>106.70504788588593</v>
      </c>
      <c r="AA200" s="195">
        <f t="shared" si="590"/>
        <v>109.65113406196042</v>
      </c>
      <c r="AB200" s="195">
        <f t="shared" si="590"/>
        <v>112.59722023803491</v>
      </c>
      <c r="AC200" s="195">
        <f t="shared" si="590"/>
        <v>115.5433064141094</v>
      </c>
      <c r="AD200" s="195">
        <f t="shared" si="590"/>
        <v>118.48939259018388</v>
      </c>
      <c r="AE200" s="195">
        <f t="shared" si="590"/>
        <v>121.43547876625833</v>
      </c>
      <c r="AF200" s="195">
        <f t="shared" si="590"/>
        <v>125.37395403839199</v>
      </c>
      <c r="AG200" s="195">
        <f t="shared" si="590"/>
        <v>129.31242931052566</v>
      </c>
      <c r="AH200" s="195">
        <f t="shared" si="590"/>
        <v>133.25090458265933</v>
      </c>
      <c r="AI200" s="195">
        <f t="shared" si="590"/>
        <v>137.189379854793</v>
      </c>
      <c r="AJ200" s="195">
        <f t="shared" si="590"/>
        <v>141.12785512692668</v>
      </c>
      <c r="AK200" s="195">
        <f t="shared" si="590"/>
        <v>145.06633039906035</v>
      </c>
      <c r="AL200" s="195">
        <f t="shared" si="590"/>
        <v>149.00480567119402</v>
      </c>
      <c r="AM200" s="195">
        <f t="shared" si="590"/>
        <v>152.94328094332769</v>
      </c>
      <c r="AN200" s="195">
        <f t="shared" si="590"/>
        <v>156.88175621546137</v>
      </c>
      <c r="AO200" s="195">
        <f t="shared" si="590"/>
        <v>160.82023148759495</v>
      </c>
      <c r="AP200" s="195">
        <f t="shared" si="590"/>
        <v>165.07889323546294</v>
      </c>
      <c r="AQ200" s="195">
        <f t="shared" si="590"/>
        <v>203.40684896627499</v>
      </c>
      <c r="AR200" s="195">
        <f t="shared" si="590"/>
        <v>203.40684896627499</v>
      </c>
      <c r="AS200" s="195">
        <f>IF(AS$199=-1,#REF!,IF(AS$199=99,AR200,IF(AS$199=0,INDEX($E186:$M186,0,AS$197),(INDEX($E186:$M186,0,AS$199+1)-INDEX($E186:$M186,0,AS$199))/(INDEX($E$185:$M$185,0,AS$199+1)-INDEX($E$185:$M$185,0,AS$199))+AR200)))</f>
        <v>203.40684896627499</v>
      </c>
      <c r="AT200" s="195"/>
      <c r="AW200" s="195"/>
      <c r="AX200" s="195"/>
      <c r="BH200" s="195">
        <f t="shared" ref="BH200:BH207" si="591">E186</f>
        <v>81.484814157071753</v>
      </c>
      <c r="BI200" s="115">
        <f t="shared" ref="BI200:BI207" si="592">(M200-BH200)/M200</f>
        <v>0</v>
      </c>
    </row>
    <row r="201" spans="1:61">
      <c r="A201" s="194" t="s">
        <v>16</v>
      </c>
      <c r="B201" s="22" t="str">
        <f t="shared" si="585"/>
        <v/>
      </c>
      <c r="C201" s="23" t="str">
        <f t="shared" si="586"/>
        <v/>
      </c>
      <c r="D201" s="59" t="str">
        <f t="shared" si="587"/>
        <v>TPPRSUV</v>
      </c>
      <c r="E201" s="23" t="str">
        <f t="shared" si="588"/>
        <v/>
      </c>
      <c r="F201" s="23"/>
      <c r="H201" s="23" t="str">
        <f t="shared" si="588"/>
        <v/>
      </c>
      <c r="J201" s="23" t="str">
        <f t="shared" si="588"/>
        <v/>
      </c>
      <c r="K201" s="23" t="str">
        <f t="shared" si="588"/>
        <v/>
      </c>
      <c r="L201" s="22" t="str">
        <f t="shared" si="589"/>
        <v/>
      </c>
      <c r="M201" s="195">
        <f t="shared" ref="M201:AR201" si="593">IF(M$199=-1,N201,IF(M$199=99,L201,IF(M$199=0,INDEX($E187:$M187,0,M$197),(INDEX($E187:$M187,0,M$199+1)-INDEX($E187:$M187,0,M$199))/(INDEX($E$185:$M$185,0,M$199+1)-INDEX($E$185:$M$185,0,M$199))+L201)))</f>
        <v>9.3562062912418789</v>
      </c>
      <c r="N201" s="195">
        <f t="shared" si="593"/>
        <v>9.6477146828008458</v>
      </c>
      <c r="O201" s="195">
        <f t="shared" si="593"/>
        <v>9.9392230743598127</v>
      </c>
      <c r="P201" s="195">
        <f t="shared" si="593"/>
        <v>10.230731465918778</v>
      </c>
      <c r="Q201" s="195">
        <f t="shared" si="593"/>
        <v>10.523082445279918</v>
      </c>
      <c r="R201" s="195">
        <f t="shared" si="593"/>
        <v>10.815433424641057</v>
      </c>
      <c r="S201" s="195">
        <f t="shared" si="593"/>
        <v>11.065011197068408</v>
      </c>
      <c r="T201" s="195">
        <f t="shared" si="593"/>
        <v>11.314588969495759</v>
      </c>
      <c r="U201" s="195">
        <f t="shared" si="593"/>
        <v>10.832826889526965</v>
      </c>
      <c r="V201" s="195">
        <f t="shared" si="593"/>
        <v>10.89893484404053</v>
      </c>
      <c r="W201" s="195">
        <f t="shared" si="593"/>
        <v>11.237208794840683</v>
      </c>
      <c r="X201" s="195">
        <f t="shared" si="593"/>
        <v>11.575482745640835</v>
      </c>
      <c r="Y201" s="195">
        <f t="shared" si="593"/>
        <v>11.913756696440988</v>
      </c>
      <c r="Z201" s="195">
        <f t="shared" si="593"/>
        <v>12.25203064724114</v>
      </c>
      <c r="AA201" s="195">
        <f t="shared" si="593"/>
        <v>12.590304598041293</v>
      </c>
      <c r="AB201" s="195">
        <f t="shared" si="593"/>
        <v>12.928578548841445</v>
      </c>
      <c r="AC201" s="195">
        <f t="shared" si="593"/>
        <v>13.266852499641598</v>
      </c>
      <c r="AD201" s="195">
        <f t="shared" si="593"/>
        <v>13.60512645044175</v>
      </c>
      <c r="AE201" s="195">
        <f t="shared" si="593"/>
        <v>13.943400401241899</v>
      </c>
      <c r="AF201" s="195">
        <f t="shared" si="593"/>
        <v>14.395621928654434</v>
      </c>
      <c r="AG201" s="195">
        <f t="shared" si="593"/>
        <v>14.847843456066968</v>
      </c>
      <c r="AH201" s="195">
        <f t="shared" si="593"/>
        <v>15.300064983479503</v>
      </c>
      <c r="AI201" s="195">
        <f t="shared" si="593"/>
        <v>15.752286510892038</v>
      </c>
      <c r="AJ201" s="195">
        <f t="shared" si="593"/>
        <v>16.204508038304574</v>
      </c>
      <c r="AK201" s="195">
        <f t="shared" si="593"/>
        <v>16.656729565717111</v>
      </c>
      <c r="AL201" s="195">
        <f t="shared" si="593"/>
        <v>17.108951093129647</v>
      </c>
      <c r="AM201" s="195">
        <f t="shared" si="593"/>
        <v>17.561172620542184</v>
      </c>
      <c r="AN201" s="195">
        <f t="shared" si="593"/>
        <v>18.01339414795472</v>
      </c>
      <c r="AO201" s="195">
        <f t="shared" si="593"/>
        <v>18.46561567536725</v>
      </c>
      <c r="AP201" s="195">
        <f t="shared" si="593"/>
        <v>18.954601485175541</v>
      </c>
      <c r="AQ201" s="195">
        <f t="shared" si="593"/>
        <v>23.355473773450147</v>
      </c>
      <c r="AR201" s="195">
        <f t="shared" si="593"/>
        <v>23.355473773450147</v>
      </c>
      <c r="AS201" s="195">
        <f>IF(AS$199=-1,#REF!,IF(AS$199=99,AR201,IF(AS$199=0,INDEX($E187:$M187,0,AS$197),(INDEX($E187:$M187,0,AS$199+1)-INDEX($E187:$M187,0,AS$199))/(INDEX($E$185:$M$185,0,AS$199+1)-INDEX($E$185:$M$185,0,AS$199))+AR201)))</f>
        <v>23.355473773450147</v>
      </c>
      <c r="AT201" s="195"/>
      <c r="AW201" s="195"/>
      <c r="AX201" s="195"/>
      <c r="BH201" s="195">
        <f t="shared" si="591"/>
        <v>9.3562062912418789</v>
      </c>
      <c r="BI201" s="115">
        <f t="shared" si="592"/>
        <v>0</v>
      </c>
    </row>
    <row r="202" spans="1:61">
      <c r="A202" s="194" t="s">
        <v>16</v>
      </c>
      <c r="B202" s="22" t="str">
        <f t="shared" si="585"/>
        <v/>
      </c>
      <c r="C202" s="23" t="str">
        <f t="shared" si="586"/>
        <v/>
      </c>
      <c r="D202" s="59" t="str">
        <f t="shared" si="587"/>
        <v>TPPRMOT</v>
      </c>
      <c r="E202" s="23" t="str">
        <f t="shared" si="588"/>
        <v/>
      </c>
      <c r="F202" s="23"/>
      <c r="H202" s="23" t="str">
        <f t="shared" si="588"/>
        <v/>
      </c>
      <c r="J202" s="23" t="str">
        <f t="shared" si="588"/>
        <v/>
      </c>
      <c r="K202" s="23" t="str">
        <f t="shared" si="588"/>
        <v/>
      </c>
      <c r="L202" s="22" t="str">
        <f t="shared" si="589"/>
        <v/>
      </c>
      <c r="M202" s="195">
        <f t="shared" ref="M202:AR202" si="594">IF(M$199=-1,N202,IF(M$199=99,L202,IF(M$199=0,INDEX($E188:$M188,0,M$197),(INDEX($E188:$M188,0,M$199+1)-INDEX($E188:$M188,0,M$199))/(INDEX($E$185:$M$185,0,M$199+1)-INDEX($E$185:$M$185,0,M$199))+L202)))</f>
        <v>3.1893877916903843</v>
      </c>
      <c r="N202" s="195">
        <f t="shared" si="594"/>
        <v>3.288758549054271</v>
      </c>
      <c r="O202" s="195">
        <f t="shared" si="594"/>
        <v>3.3881293064181577</v>
      </c>
      <c r="P202" s="195">
        <f t="shared" si="594"/>
        <v>3.4875000637820444</v>
      </c>
      <c r="Q202" s="195">
        <f t="shared" si="594"/>
        <v>3.5871580464556376</v>
      </c>
      <c r="R202" s="195">
        <f t="shared" si="594"/>
        <v>3.6868160291292309</v>
      </c>
      <c r="S202" s="195">
        <f t="shared" si="594"/>
        <v>3.7718932789972879</v>
      </c>
      <c r="T202" s="195">
        <f t="shared" si="594"/>
        <v>3.8569705288653453</v>
      </c>
      <c r="U202" s="195">
        <f t="shared" si="594"/>
        <v>3.6927451955921633</v>
      </c>
      <c r="V202" s="195">
        <f t="shared" si="594"/>
        <v>3.7152803873671201</v>
      </c>
      <c r="W202" s="195">
        <f t="shared" si="594"/>
        <v>3.8305928094477233</v>
      </c>
      <c r="X202" s="195">
        <f t="shared" si="594"/>
        <v>3.9459052315283265</v>
      </c>
      <c r="Y202" s="195">
        <f t="shared" si="594"/>
        <v>4.0612176536089297</v>
      </c>
      <c r="Z202" s="195">
        <f t="shared" si="594"/>
        <v>4.1765300756895325</v>
      </c>
      <c r="AA202" s="195">
        <f t="shared" si="594"/>
        <v>4.2918424977701353</v>
      </c>
      <c r="AB202" s="195">
        <f t="shared" si="594"/>
        <v>4.407154919850738</v>
      </c>
      <c r="AC202" s="195">
        <f t="shared" si="594"/>
        <v>4.5224673419313408</v>
      </c>
      <c r="AD202" s="195">
        <f t="shared" si="594"/>
        <v>4.6377797640119436</v>
      </c>
      <c r="AE202" s="195">
        <f t="shared" si="594"/>
        <v>4.753092186092549</v>
      </c>
      <c r="AF202" s="195">
        <f t="shared" si="594"/>
        <v>4.9072475962847362</v>
      </c>
      <c r="AG202" s="195">
        <f t="shared" si="594"/>
        <v>5.0614030064769233</v>
      </c>
      <c r="AH202" s="195">
        <f t="shared" si="594"/>
        <v>5.2155584166691105</v>
      </c>
      <c r="AI202" s="195">
        <f t="shared" si="594"/>
        <v>5.3697138268612976</v>
      </c>
      <c r="AJ202" s="195">
        <f t="shared" si="594"/>
        <v>5.5238692370534848</v>
      </c>
      <c r="AK202" s="195">
        <f t="shared" si="594"/>
        <v>5.6780246472456719</v>
      </c>
      <c r="AL202" s="195">
        <f t="shared" si="594"/>
        <v>5.8321800574378591</v>
      </c>
      <c r="AM202" s="195">
        <f t="shared" si="594"/>
        <v>5.9863354676300462</v>
      </c>
      <c r="AN202" s="195">
        <f t="shared" si="594"/>
        <v>6.1404908778222334</v>
      </c>
      <c r="AO202" s="195">
        <f t="shared" si="594"/>
        <v>6.2946462880144241</v>
      </c>
      <c r="AP202" s="195">
        <f t="shared" si="594"/>
        <v>6.4613340804343355</v>
      </c>
      <c r="AQ202" s="195">
        <f t="shared" si="594"/>
        <v>7.961524212213539</v>
      </c>
      <c r="AR202" s="195">
        <f t="shared" si="594"/>
        <v>7.961524212213539</v>
      </c>
      <c r="AS202" s="195">
        <f>IF(AS$199=-1,#REF!,IF(AS$199=99,AR202,IF(AS$199=0,INDEX($E188:$M188,0,AS$197),(INDEX($E188:$M188,0,AS$199+1)-INDEX($E188:$M188,0,AS$199))/(INDEX($E$185:$M$185,0,AS$199+1)-INDEX($E$185:$M$185,0,AS$199))+AR202)))</f>
        <v>7.961524212213539</v>
      </c>
      <c r="AT202" s="195"/>
      <c r="AW202" s="195"/>
      <c r="AX202" s="195"/>
      <c r="BH202" s="195">
        <f t="shared" si="591"/>
        <v>3.1893877916903843</v>
      </c>
      <c r="BI202" s="115">
        <f t="shared" si="592"/>
        <v>0</v>
      </c>
    </row>
    <row r="203" spans="1:61">
      <c r="A203" s="194" t="s">
        <v>16</v>
      </c>
      <c r="B203" s="22" t="str">
        <f t="shared" si="585"/>
        <v/>
      </c>
      <c r="C203" s="23" t="str">
        <f t="shared" si="586"/>
        <v/>
      </c>
      <c r="D203" s="59" t="str">
        <f t="shared" si="587"/>
        <v>TPPUBUS</v>
      </c>
      <c r="E203" s="23" t="str">
        <f t="shared" si="588"/>
        <v/>
      </c>
      <c r="F203" s="23"/>
      <c r="H203" s="23" t="str">
        <f t="shared" si="588"/>
        <v/>
      </c>
      <c r="J203" s="23" t="str">
        <f t="shared" si="588"/>
        <v/>
      </c>
      <c r="K203" s="23" t="str">
        <f t="shared" si="588"/>
        <v/>
      </c>
      <c r="L203" s="22" t="str">
        <f t="shared" si="589"/>
        <v/>
      </c>
      <c r="M203" s="195">
        <f>INDEX('[2]TS BYDem'!J$10:J$59,MATCH($D203,'[2]TS BYDem'!D$10:D$59,0))</f>
        <v>1.4990333520535337</v>
      </c>
      <c r="N203" s="195">
        <f t="shared" ref="N203:AR203" si="595">IF(N$199=-1,O203,IF(N$199=99,M203,IF(N$199=0,INDEX($E189:$M189,0,N$197),(INDEX($E189:$M189,0,N$199+1)-INDEX($E189:$M189,0,N$199))/(INDEX($E$185:$M$185,0,N$199+1)-INDEX($E$185:$M$185,0,N$199))+M203)))</f>
        <v>1.6598944715658182</v>
      </c>
      <c r="O203" s="195">
        <f t="shared" si="595"/>
        <v>1.8207555910781026</v>
      </c>
      <c r="P203" s="195">
        <f t="shared" si="595"/>
        <v>1.1005748482544424</v>
      </c>
      <c r="Q203" s="195">
        <f t="shared" si="595"/>
        <v>0.95787739832517194</v>
      </c>
      <c r="R203" s="195">
        <f t="shared" si="595"/>
        <v>0.81517994839590147</v>
      </c>
      <c r="S203" s="195">
        <f t="shared" si="595"/>
        <v>0.82466715160764559</v>
      </c>
      <c r="T203" s="195">
        <f t="shared" si="595"/>
        <v>0.83415435481938982</v>
      </c>
      <c r="U203" s="195">
        <f t="shared" si="595"/>
        <v>0.86283771464679471</v>
      </c>
      <c r="V203" s="195">
        <f t="shared" si="595"/>
        <v>0.8556093195052763</v>
      </c>
      <c r="W203" s="195">
        <f t="shared" si="595"/>
        <v>0.85710132000003914</v>
      </c>
      <c r="X203" s="195">
        <f t="shared" si="595"/>
        <v>0.85859332049480197</v>
      </c>
      <c r="Y203" s="195">
        <f t="shared" si="595"/>
        <v>0.86008532098956481</v>
      </c>
      <c r="Z203" s="195">
        <f t="shared" si="595"/>
        <v>0.86157732148432764</v>
      </c>
      <c r="AA203" s="195">
        <f t="shared" si="595"/>
        <v>0.86306932197909048</v>
      </c>
      <c r="AB203" s="195">
        <f t="shared" si="595"/>
        <v>0.86456132247385331</v>
      </c>
      <c r="AC203" s="195">
        <f t="shared" si="595"/>
        <v>0.86605332296861615</v>
      </c>
      <c r="AD203" s="195">
        <f t="shared" si="595"/>
        <v>0.86754532346337898</v>
      </c>
      <c r="AE203" s="195">
        <f t="shared" si="595"/>
        <v>0.86903732395814148</v>
      </c>
      <c r="AF203" s="195">
        <f t="shared" si="595"/>
        <v>0.8635476174840524</v>
      </c>
      <c r="AG203" s="195">
        <f t="shared" si="595"/>
        <v>0.85805791100996331</v>
      </c>
      <c r="AH203" s="195">
        <f t="shared" si="595"/>
        <v>0.85256820453587423</v>
      </c>
      <c r="AI203" s="195">
        <f t="shared" si="595"/>
        <v>0.84707849806178515</v>
      </c>
      <c r="AJ203" s="195">
        <f t="shared" si="595"/>
        <v>0.84158879158769606</v>
      </c>
      <c r="AK203" s="195">
        <f t="shared" si="595"/>
        <v>0.83609908511360698</v>
      </c>
      <c r="AL203" s="195">
        <f t="shared" si="595"/>
        <v>0.83060937863951789</v>
      </c>
      <c r="AM203" s="195">
        <f t="shared" si="595"/>
        <v>0.82511967216542881</v>
      </c>
      <c r="AN203" s="195">
        <f t="shared" si="595"/>
        <v>0.81962996569133972</v>
      </c>
      <c r="AO203" s="195">
        <f t="shared" si="595"/>
        <v>0.81414025921725031</v>
      </c>
      <c r="AP203" s="195">
        <f t="shared" si="595"/>
        <v>0.80581098345644697</v>
      </c>
      <c r="AQ203" s="195">
        <f t="shared" si="595"/>
        <v>0.73084750160921663</v>
      </c>
      <c r="AR203" s="195">
        <f t="shared" si="595"/>
        <v>0.73084750160921663</v>
      </c>
      <c r="AS203" s="195">
        <f>IF(AS$199=-1,#REF!,IF(AS$199=99,AR203,IF(AS$199=0,INDEX($E189:$M189,0,AS$197),(INDEX($E189:$M189,0,AS$199+1)-INDEX($E189:$M189,0,AS$199))/(INDEX($E$185:$M$185,0,AS$199+1)-INDEX($E$185:$M$185,0,AS$199))+AR203)))</f>
        <v>0.73084750160921663</v>
      </c>
      <c r="AT203" s="195"/>
      <c r="AW203" s="195"/>
      <c r="AX203" s="195"/>
      <c r="BH203" s="195">
        <f t="shared" si="591"/>
        <v>0.61799148971758899</v>
      </c>
      <c r="BI203" s="115">
        <f t="shared" si="592"/>
        <v>0.5877400000000006</v>
      </c>
    </row>
    <row r="204" spans="1:61">
      <c r="A204" s="194" t="s">
        <v>16</v>
      </c>
      <c r="B204" s="22" t="str">
        <f t="shared" si="585"/>
        <v/>
      </c>
      <c r="C204" s="23" t="str">
        <f t="shared" si="586"/>
        <v/>
      </c>
      <c r="D204" s="59" t="str">
        <f t="shared" si="587"/>
        <v>TPPUMBT</v>
      </c>
      <c r="E204" s="23" t="str">
        <f t="shared" si="588"/>
        <v/>
      </c>
      <c r="F204" s="23"/>
      <c r="H204" s="23" t="str">
        <f t="shared" si="588"/>
        <v/>
      </c>
      <c r="J204" s="23" t="str">
        <f t="shared" si="588"/>
        <v/>
      </c>
      <c r="K204" s="23" t="str">
        <f t="shared" si="588"/>
        <v/>
      </c>
      <c r="L204" s="22" t="str">
        <f t="shared" si="589"/>
        <v/>
      </c>
      <c r="M204" s="195">
        <f>INDEX('[2]TS BYDem'!J$10:J$59,MATCH($D204,'[2]TS BYDem'!D$10:D$59,0))</f>
        <v>6.4978638621089795</v>
      </c>
      <c r="N204" s="195">
        <f t="shared" ref="N204:AR204" si="596">IF(N$199=-1,O204,IF(N$199=99,M204,IF(N$199=0,INDEX($E190:$M190,0,N$197),(INDEX($E190:$M190,0,N$199+1)-INDEX($E190:$M190,0,N$199))/(INDEX($E$185:$M$185,0,N$199+1)-INDEX($E$185:$M$185,0,N$199))+M204)))</f>
        <v>6.7977763122946264</v>
      </c>
      <c r="O204" s="195">
        <f t="shared" si="596"/>
        <v>7.0976887624802734</v>
      </c>
      <c r="P204" s="195">
        <f t="shared" si="596"/>
        <v>6.8127701567981385</v>
      </c>
      <c r="Q204" s="195">
        <f t="shared" si="596"/>
        <v>7.2570480827064472</v>
      </c>
      <c r="R204" s="195">
        <f t="shared" si="596"/>
        <v>7.701326008614755</v>
      </c>
      <c r="S204" s="195">
        <f t="shared" si="596"/>
        <v>7.7909553536291822</v>
      </c>
      <c r="T204" s="195">
        <f t="shared" si="596"/>
        <v>7.8805846986436094</v>
      </c>
      <c r="U204" s="195">
        <f t="shared" si="596"/>
        <v>8.1515676950825338</v>
      </c>
      <c r="V204" s="195">
        <f t="shared" si="596"/>
        <v>8.0832781994767302</v>
      </c>
      <c r="W204" s="195">
        <f t="shared" si="596"/>
        <v>8.0973737157339603</v>
      </c>
      <c r="X204" s="195">
        <f t="shared" si="596"/>
        <v>8.1114692319911903</v>
      </c>
      <c r="Y204" s="195">
        <f t="shared" si="596"/>
        <v>8.1255647482484203</v>
      </c>
      <c r="Z204" s="195">
        <f t="shared" si="596"/>
        <v>8.1396602645056504</v>
      </c>
      <c r="AA204" s="195">
        <f t="shared" si="596"/>
        <v>8.1537557807628804</v>
      </c>
      <c r="AB204" s="195">
        <f t="shared" si="596"/>
        <v>8.1678512970201105</v>
      </c>
      <c r="AC204" s="195">
        <f t="shared" si="596"/>
        <v>8.1819468132773405</v>
      </c>
      <c r="AD204" s="195">
        <f t="shared" si="596"/>
        <v>8.1960423295345706</v>
      </c>
      <c r="AE204" s="195">
        <f t="shared" si="596"/>
        <v>8.2101378457918024</v>
      </c>
      <c r="AF204" s="195">
        <f t="shared" si="596"/>
        <v>8.1582744267617375</v>
      </c>
      <c r="AG204" s="195">
        <f t="shared" si="596"/>
        <v>8.1064110077316727</v>
      </c>
      <c r="AH204" s="195">
        <f t="shared" si="596"/>
        <v>8.0545475887016078</v>
      </c>
      <c r="AI204" s="195">
        <f t="shared" si="596"/>
        <v>8.0026841696715429</v>
      </c>
      <c r="AJ204" s="195">
        <f t="shared" si="596"/>
        <v>7.9508207506414781</v>
      </c>
      <c r="AK204" s="195">
        <f t="shared" si="596"/>
        <v>7.8989573316114132</v>
      </c>
      <c r="AL204" s="195">
        <f t="shared" si="596"/>
        <v>7.8470939125813484</v>
      </c>
      <c r="AM204" s="195">
        <f t="shared" si="596"/>
        <v>7.7952304935512835</v>
      </c>
      <c r="AN204" s="195">
        <f t="shared" si="596"/>
        <v>7.7433670745212186</v>
      </c>
      <c r="AO204" s="195">
        <f t="shared" si="596"/>
        <v>7.6915036554911547</v>
      </c>
      <c r="AP204" s="195">
        <f t="shared" si="596"/>
        <v>7.612813707123526</v>
      </c>
      <c r="AQ204" s="195">
        <f t="shared" si="596"/>
        <v>6.9046041718148716</v>
      </c>
      <c r="AR204" s="195">
        <f t="shared" si="596"/>
        <v>6.9046041718148716</v>
      </c>
      <c r="AS204" s="195">
        <f>IF(AS$199=-1,#REF!,IF(AS$199=99,AR204,IF(AS$199=0,INDEX($E190:$M190,0,AS$197),(INDEX($E190:$M190,0,AS$199+1)-INDEX($E190:$M190,0,AS$199))/(INDEX($E$185:$M$185,0,AS$199+1)-INDEX($E$185:$M$185,0,AS$199))+AR204)))</f>
        <v>6.9046041718148716</v>
      </c>
      <c r="AT204" s="195"/>
      <c r="AW204" s="195"/>
      <c r="AX204" s="195"/>
      <c r="BH204" s="195">
        <f t="shared" si="591"/>
        <v>5.9130328062411968</v>
      </c>
      <c r="BI204" s="115">
        <f t="shared" si="592"/>
        <v>9.0003587067760918E-2</v>
      </c>
    </row>
    <row r="205" spans="1:61">
      <c r="A205" s="194" t="s">
        <v>16</v>
      </c>
      <c r="B205" s="22" t="str">
        <f t="shared" si="585"/>
        <v/>
      </c>
      <c r="C205" s="23" t="str">
        <f t="shared" si="586"/>
        <v/>
      </c>
      <c r="D205" s="59" t="str">
        <f t="shared" si="587"/>
        <v>TPPUBRT</v>
      </c>
      <c r="E205" s="23" t="str">
        <f t="shared" si="588"/>
        <v/>
      </c>
      <c r="F205" s="23"/>
      <c r="H205" s="23" t="str">
        <f t="shared" si="588"/>
        <v/>
      </c>
      <c r="J205" s="23" t="str">
        <f t="shared" si="588"/>
        <v/>
      </c>
      <c r="K205" s="23" t="str">
        <f t="shared" si="588"/>
        <v/>
      </c>
      <c r="L205" s="22" t="str">
        <f t="shared" si="589"/>
        <v/>
      </c>
      <c r="M205" s="195">
        <f>INDEX('[2]TS BYDem'!J$10:J$59,MATCH($D205,'[2]TS BYDem'!D$10:D$59,0))</f>
        <v>0</v>
      </c>
      <c r="N205" s="195">
        <f t="shared" ref="N205:AR205" si="597">IF(N$199=-1,O205,IF(N$199=99,M205,IF(N$199=0,INDEX($E191:$M191,0,N$197),(INDEX($E191:$M191,0,N$199+1)-INDEX($E191:$M191,0,N$199))/(INDEX($E$185:$M$185,0,N$199+1)-INDEX($E$185:$M$185,0,N$199))+M205)))</f>
        <v>3.3940368947129678E-3</v>
      </c>
      <c r="O205" s="195">
        <f t="shared" si="597"/>
        <v>6.7880737894259356E-3</v>
      </c>
      <c r="P205" s="195">
        <f t="shared" si="597"/>
        <v>3.1269715527094177E-2</v>
      </c>
      <c r="Q205" s="195">
        <f t="shared" si="597"/>
        <v>4.7094773068544926E-2</v>
      </c>
      <c r="R205" s="195">
        <f t="shared" si="597"/>
        <v>6.2919830609995675E-2</v>
      </c>
      <c r="S205" s="195">
        <f t="shared" si="597"/>
        <v>8.2239758862255277E-2</v>
      </c>
      <c r="T205" s="195">
        <f t="shared" si="597"/>
        <v>0.10155968711451488</v>
      </c>
      <c r="U205" s="195">
        <f t="shared" si="597"/>
        <v>0.10425069329756113</v>
      </c>
      <c r="V205" s="195">
        <f t="shared" si="597"/>
        <v>0.29374525410217339</v>
      </c>
      <c r="W205" s="195">
        <f t="shared" si="597"/>
        <v>0.32419393261645385</v>
      </c>
      <c r="X205" s="195">
        <f t="shared" si="597"/>
        <v>0.35464261113073431</v>
      </c>
      <c r="Y205" s="195">
        <f t="shared" si="597"/>
        <v>0.38509128964501477</v>
      </c>
      <c r="Z205" s="195">
        <f t="shared" si="597"/>
        <v>0.41553996815929523</v>
      </c>
      <c r="AA205" s="195">
        <f t="shared" si="597"/>
        <v>0.44598864667357568</v>
      </c>
      <c r="AB205" s="195">
        <f t="shared" si="597"/>
        <v>0.47643732518785614</v>
      </c>
      <c r="AC205" s="195">
        <f t="shared" si="597"/>
        <v>0.50688600370213666</v>
      </c>
      <c r="AD205" s="195">
        <f t="shared" si="597"/>
        <v>0.53733468221641711</v>
      </c>
      <c r="AE205" s="195">
        <f t="shared" si="597"/>
        <v>0.56778336073069768</v>
      </c>
      <c r="AF205" s="195">
        <f t="shared" si="597"/>
        <v>0.61894654287448447</v>
      </c>
      <c r="AG205" s="195">
        <f t="shared" si="597"/>
        <v>0.67010972501827126</v>
      </c>
      <c r="AH205" s="195">
        <f t="shared" si="597"/>
        <v>0.72127290716205805</v>
      </c>
      <c r="AI205" s="195">
        <f t="shared" si="597"/>
        <v>0.77243608930584484</v>
      </c>
      <c r="AJ205" s="195">
        <f t="shared" si="597"/>
        <v>0.82359927144963163</v>
      </c>
      <c r="AK205" s="195">
        <f t="shared" si="597"/>
        <v>0.87476245359341842</v>
      </c>
      <c r="AL205" s="195">
        <f t="shared" si="597"/>
        <v>0.92592563573720521</v>
      </c>
      <c r="AM205" s="195">
        <f t="shared" si="597"/>
        <v>0.977088817880992</v>
      </c>
      <c r="AN205" s="195">
        <f t="shared" si="597"/>
        <v>1.0282520000247788</v>
      </c>
      <c r="AO205" s="195">
        <f t="shared" si="597"/>
        <v>1.0794151821685656</v>
      </c>
      <c r="AP205" s="195">
        <f t="shared" si="597"/>
        <v>1.1269311158267685</v>
      </c>
      <c r="AQ205" s="195">
        <f t="shared" si="597"/>
        <v>1.5545745187505957</v>
      </c>
      <c r="AR205" s="195">
        <f t="shared" si="597"/>
        <v>1.5545745187505957</v>
      </c>
      <c r="AS205" s="195">
        <f>IF(AS$199=-1,#REF!,IF(AS$199=99,AR205,IF(AS$199=0,INDEX($E191:$M191,0,AS$197),(INDEX($E191:$M191,0,AS$199+1)-INDEX($E191:$M191,0,AS$199))/(INDEX($E$185:$M$185,0,AS$199+1)-INDEX($E$185:$M$185,0,AS$199))+AR205)))</f>
        <v>1.5545745187505957</v>
      </c>
      <c r="AT205" s="195"/>
      <c r="AW205" s="195"/>
      <c r="AX205" s="195"/>
      <c r="BH205" s="195">
        <f t="shared" si="591"/>
        <v>2.1087604842955274E-2</v>
      </c>
      <c r="BI205" s="115" t="e">
        <f t="shared" si="592"/>
        <v>#DIV/0!</v>
      </c>
    </row>
    <row r="206" spans="1:61">
      <c r="A206" s="194" t="s">
        <v>16</v>
      </c>
      <c r="B206" s="22" t="str">
        <f t="shared" si="585"/>
        <v/>
      </c>
      <c r="C206" s="23" t="str">
        <f t="shared" si="586"/>
        <v/>
      </c>
      <c r="D206" s="59" t="str">
        <f t="shared" si="587"/>
        <v>TPPUMER</v>
      </c>
      <c r="E206" s="23" t="str">
        <f t="shared" si="588"/>
        <v/>
      </c>
      <c r="F206" s="23"/>
      <c r="H206" s="23" t="str">
        <f t="shared" si="588"/>
        <v/>
      </c>
      <c r="J206" s="23" t="str">
        <f t="shared" si="588"/>
        <v/>
      </c>
      <c r="K206" s="23" t="str">
        <f t="shared" si="588"/>
        <v/>
      </c>
      <c r="L206" s="22" t="str">
        <f t="shared" si="589"/>
        <v/>
      </c>
      <c r="M206" s="195">
        <f>INDEX('[2]TS BYDem'!J$10:J$59,MATCH($D206,'[2]TS BYDem'!D$10:D$59,0))</f>
        <v>15.8</v>
      </c>
      <c r="N206" s="195">
        <f t="shared" ref="N206:AR206" si="598">IF(N$199=-1,O206,IF(N$199=99,M206,IF(N$199=0,INDEX($E192:$M192,0,N$197),(INDEX($E192:$M192,0,N$199+1)-INDEX($E192:$M192,0,N$199))/(INDEX($E$185:$M$185,0,N$199+1)-INDEX($E$185:$M$185,0,N$199))+M206)))</f>
        <v>15.022572573488569</v>
      </c>
      <c r="O206" s="195">
        <f t="shared" si="598"/>
        <v>14.245145146977137</v>
      </c>
      <c r="P206" s="195">
        <f t="shared" si="598"/>
        <v>12.045661044795077</v>
      </c>
      <c r="Q206" s="195">
        <f t="shared" si="598"/>
        <v>10.77345691085338</v>
      </c>
      <c r="R206" s="195">
        <f t="shared" si="598"/>
        <v>9.5012527769116826</v>
      </c>
      <c r="S206" s="195">
        <f t="shared" si="598"/>
        <v>9.6118299765080266</v>
      </c>
      <c r="T206" s="195">
        <f t="shared" si="598"/>
        <v>9.7224071761043689</v>
      </c>
      <c r="U206" s="195">
        <f t="shared" si="598"/>
        <v>10.056723363281892</v>
      </c>
      <c r="V206" s="195">
        <f t="shared" si="598"/>
        <v>9.9724734874770302</v>
      </c>
      <c r="W206" s="195">
        <f t="shared" si="598"/>
        <v>9.9898633581085559</v>
      </c>
      <c r="X206" s="195">
        <f t="shared" si="598"/>
        <v>10.007253228740081</v>
      </c>
      <c r="Y206" s="195">
        <f t="shared" si="598"/>
        <v>10.024643099371607</v>
      </c>
      <c r="Z206" s="195">
        <f t="shared" si="598"/>
        <v>10.042032970003133</v>
      </c>
      <c r="AA206" s="195">
        <f t="shared" si="598"/>
        <v>10.059422840634658</v>
      </c>
      <c r="AB206" s="195">
        <f t="shared" si="598"/>
        <v>10.076812711266184</v>
      </c>
      <c r="AC206" s="195">
        <f t="shared" si="598"/>
        <v>10.09420258189771</v>
      </c>
      <c r="AD206" s="195">
        <f t="shared" si="598"/>
        <v>10.111592452529235</v>
      </c>
      <c r="AE206" s="195">
        <f t="shared" si="598"/>
        <v>10.128982323160761</v>
      </c>
      <c r="AF206" s="195">
        <f t="shared" si="598"/>
        <v>10.064997568648574</v>
      </c>
      <c r="AG206" s="195">
        <f t="shared" si="598"/>
        <v>10.001012814136386</v>
      </c>
      <c r="AH206" s="195">
        <f t="shared" si="598"/>
        <v>9.9370280596241987</v>
      </c>
      <c r="AI206" s="195">
        <f t="shared" si="598"/>
        <v>9.8730433051120112</v>
      </c>
      <c r="AJ206" s="195">
        <f t="shared" si="598"/>
        <v>9.8090585505998238</v>
      </c>
      <c r="AK206" s="195">
        <f t="shared" si="598"/>
        <v>9.7450737960876364</v>
      </c>
      <c r="AL206" s="195">
        <f t="shared" si="598"/>
        <v>9.6810890415754489</v>
      </c>
      <c r="AM206" s="195">
        <f t="shared" si="598"/>
        <v>9.6171042870632615</v>
      </c>
      <c r="AN206" s="195">
        <f t="shared" si="598"/>
        <v>9.553119532551074</v>
      </c>
      <c r="AO206" s="195">
        <f t="shared" si="598"/>
        <v>9.4891347780388884</v>
      </c>
      <c r="AP206" s="195">
        <f t="shared" si="598"/>
        <v>9.3920536923133078</v>
      </c>
      <c r="AQ206" s="195">
        <f t="shared" si="598"/>
        <v>8.5183239207830912</v>
      </c>
      <c r="AR206" s="195">
        <f t="shared" si="598"/>
        <v>8.5183239207830912</v>
      </c>
      <c r="AS206" s="195">
        <f>IF(AS$199=-1,#REF!,IF(AS$199=99,AR206,IF(AS$199=0,INDEX($E192:$M192,0,AS$197),(INDEX($E192:$M192,0,AS$199+1)-INDEX($E192:$M192,0,AS$199))/(INDEX($E$185:$M$185,0,AS$199+1)-INDEX($E$185:$M$185,0,AS$199))+AR206)))</f>
        <v>8.5183239207830912</v>
      </c>
      <c r="AT206" s="195"/>
      <c r="AW206" s="195"/>
      <c r="AX206" s="195"/>
      <c r="BH206" s="195">
        <f t="shared" si="591"/>
        <v>14.377943324329372</v>
      </c>
      <c r="BI206" s="115">
        <f t="shared" si="592"/>
        <v>9.0003587067761279E-2</v>
      </c>
    </row>
    <row r="207" spans="1:61">
      <c r="A207" s="194" t="s">
        <v>16</v>
      </c>
      <c r="B207" s="22" t="str">
        <f t="shared" si="585"/>
        <v/>
      </c>
      <c r="C207" s="23" t="str">
        <f t="shared" si="586"/>
        <v/>
      </c>
      <c r="D207" s="59" t="str">
        <f t="shared" si="587"/>
        <v>TPPUGAT</v>
      </c>
      <c r="E207" s="23" t="str">
        <f t="shared" si="588"/>
        <v/>
      </c>
      <c r="F207" s="23"/>
      <c r="H207" s="23" t="str">
        <f t="shared" si="588"/>
        <v/>
      </c>
      <c r="J207" s="23" t="str">
        <f t="shared" si="588"/>
        <v/>
      </c>
      <c r="K207" s="23" t="str">
        <f t="shared" si="588"/>
        <v/>
      </c>
      <c r="L207" s="22" t="str">
        <f t="shared" si="589"/>
        <v/>
      </c>
      <c r="M207" s="195">
        <f>INDEX('[2]TS BYDem'!J$10:J$59,MATCH($D207,'[2]TS BYDem'!D$10:D$59,0))</f>
        <v>0</v>
      </c>
      <c r="N207" s="195">
        <f t="shared" ref="N207:AR207" si="599">IF(N$199=-1,O207,IF(N$199=99,M207,IF(N$199=0,INDEX($E193:$M193,0,N$197),(INDEX($E193:$M193,0,N$199+1)-INDEX($E193:$M193,0,N$199))/(INDEX($E$185:$M$185,0,N$199+1)-INDEX($E$185:$M$185,0,N$199))+M207)))</f>
        <v>1.7959861551550455E-2</v>
      </c>
      <c r="O207" s="195">
        <f t="shared" si="599"/>
        <v>3.591972310310091E-2</v>
      </c>
      <c r="P207" s="195">
        <f t="shared" si="599"/>
        <v>0.58840536503250629</v>
      </c>
      <c r="Q207" s="195">
        <f t="shared" si="599"/>
        <v>0.60651580293507878</v>
      </c>
      <c r="R207" s="195">
        <f t="shared" si="599"/>
        <v>0.62462624083765128</v>
      </c>
      <c r="S207" s="195">
        <f t="shared" si="599"/>
        <v>0.64844460531963566</v>
      </c>
      <c r="T207" s="195">
        <f t="shared" si="599"/>
        <v>0.67226296980162004</v>
      </c>
      <c r="U207" s="195">
        <f t="shared" si="599"/>
        <v>0.64616666359533781</v>
      </c>
      <c r="V207" s="195">
        <f t="shared" si="599"/>
        <v>0.64672402075743496</v>
      </c>
      <c r="W207" s="195">
        <f t="shared" si="599"/>
        <v>0.66645524691108848</v>
      </c>
      <c r="X207" s="195">
        <f t="shared" si="599"/>
        <v>0.68618647306474201</v>
      </c>
      <c r="Y207" s="195">
        <f t="shared" si="599"/>
        <v>0.70591769921839553</v>
      </c>
      <c r="Z207" s="195">
        <f t="shared" si="599"/>
        <v>0.72564892537204906</v>
      </c>
      <c r="AA207" s="195">
        <f t="shared" si="599"/>
        <v>0.74538015152570258</v>
      </c>
      <c r="AB207" s="195">
        <f t="shared" si="599"/>
        <v>0.76511137767935611</v>
      </c>
      <c r="AC207" s="195">
        <f t="shared" si="599"/>
        <v>0.78484260383300963</v>
      </c>
      <c r="AD207" s="195">
        <f t="shared" si="599"/>
        <v>0.80457382998666316</v>
      </c>
      <c r="AE207" s="195">
        <f t="shared" si="599"/>
        <v>0.82430505614031691</v>
      </c>
      <c r="AF207" s="195">
        <f t="shared" si="599"/>
        <v>0.84744076044105265</v>
      </c>
      <c r="AG207" s="195">
        <f t="shared" si="599"/>
        <v>0.8705764647417884</v>
      </c>
      <c r="AH207" s="195">
        <f t="shared" si="599"/>
        <v>0.89371216904252415</v>
      </c>
      <c r="AI207" s="195">
        <f t="shared" si="599"/>
        <v>0.9168478733432599</v>
      </c>
      <c r="AJ207" s="195">
        <f t="shared" si="599"/>
        <v>0.93998357764399565</v>
      </c>
      <c r="AK207" s="195">
        <f t="shared" si="599"/>
        <v>0.9631192819447314</v>
      </c>
      <c r="AL207" s="195">
        <f t="shared" si="599"/>
        <v>0.98625498624546715</v>
      </c>
      <c r="AM207" s="195">
        <f t="shared" si="599"/>
        <v>1.0093906905462029</v>
      </c>
      <c r="AN207" s="195">
        <f t="shared" si="599"/>
        <v>1.0325263948469388</v>
      </c>
      <c r="AO207" s="195">
        <f t="shared" si="599"/>
        <v>1.0556620991476746</v>
      </c>
      <c r="AP207" s="195">
        <f t="shared" si="599"/>
        <v>1.0775599527138666</v>
      </c>
      <c r="AQ207" s="195">
        <f t="shared" si="599"/>
        <v>1.2746406348095956</v>
      </c>
      <c r="AR207" s="195">
        <f t="shared" si="599"/>
        <v>1.2746406348095956</v>
      </c>
      <c r="AS207" s="195">
        <f>IF(AS$199=-1,#REF!,IF(AS$199=99,AR207,IF(AS$199=0,INDEX($E193:$M193,0,AS$197),(INDEX($E193:$M193,0,AS$199+1)-INDEX($E193:$M193,0,AS$199))/(INDEX($E$185:$M$185,0,AS$199+1)-INDEX($E$185:$M$185,0,AS$199))+AR207)))</f>
        <v>1.2746406348095956</v>
      </c>
      <c r="AT207" s="195"/>
      <c r="AW207" s="195"/>
      <c r="AX207" s="195"/>
      <c r="BH207" s="195">
        <f t="shared" si="591"/>
        <v>0.53452578037785492</v>
      </c>
      <c r="BI207" s="115" t="e">
        <f t="shared" si="592"/>
        <v>#DIV/0!</v>
      </c>
    </row>
    <row r="208" spans="1:61">
      <c r="A208" s="194" t="s">
        <v>16</v>
      </c>
      <c r="G208" s="195"/>
      <c r="H208" s="195"/>
      <c r="I208" s="195"/>
      <c r="L208" s="195"/>
      <c r="M208" s="41"/>
      <c r="N208" s="243"/>
    </row>
    <row r="209" spans="1:60" ht="23.25">
      <c r="A209" s="194" t="s">
        <v>16</v>
      </c>
      <c r="B209" s="16" t="s">
        <v>19</v>
      </c>
      <c r="C209" s="16" t="s">
        <v>20</v>
      </c>
      <c r="D209" s="16" t="s">
        <v>21</v>
      </c>
      <c r="E209" s="16" t="s">
        <v>22</v>
      </c>
      <c r="F209" s="16" t="s">
        <v>23</v>
      </c>
      <c r="G209" s="16" t="s">
        <v>24</v>
      </c>
      <c r="H209" s="16" t="s">
        <v>618</v>
      </c>
      <c r="I209" s="16" t="s">
        <v>653</v>
      </c>
      <c r="J209" s="16" t="s">
        <v>654</v>
      </c>
      <c r="K209" s="17" t="s">
        <v>25</v>
      </c>
      <c r="L209" s="18">
        <v>2012</v>
      </c>
      <c r="M209" s="18">
        <f t="shared" ref="M209:AN209" si="600">1+L209</f>
        <v>2013</v>
      </c>
      <c r="N209" s="18">
        <f t="shared" si="600"/>
        <v>2014</v>
      </c>
      <c r="O209" s="18">
        <f t="shared" si="600"/>
        <v>2015</v>
      </c>
      <c r="P209" s="18">
        <f t="shared" si="600"/>
        <v>2016</v>
      </c>
      <c r="Q209" s="18">
        <f t="shared" si="600"/>
        <v>2017</v>
      </c>
      <c r="R209" s="18">
        <f t="shared" si="600"/>
        <v>2018</v>
      </c>
      <c r="S209" s="18">
        <f t="shared" si="600"/>
        <v>2019</v>
      </c>
      <c r="T209" s="18">
        <f t="shared" si="600"/>
        <v>2020</v>
      </c>
      <c r="U209" s="18">
        <f t="shared" si="600"/>
        <v>2021</v>
      </c>
      <c r="V209" s="18">
        <f t="shared" si="600"/>
        <v>2022</v>
      </c>
      <c r="W209" s="18">
        <f t="shared" si="600"/>
        <v>2023</v>
      </c>
      <c r="X209" s="18">
        <f t="shared" si="600"/>
        <v>2024</v>
      </c>
      <c r="Y209" s="18">
        <f t="shared" si="600"/>
        <v>2025</v>
      </c>
      <c r="Z209" s="18">
        <f t="shared" si="600"/>
        <v>2026</v>
      </c>
      <c r="AA209" s="18">
        <f t="shared" si="600"/>
        <v>2027</v>
      </c>
      <c r="AB209" s="18">
        <f t="shared" si="600"/>
        <v>2028</v>
      </c>
      <c r="AC209" s="18">
        <f t="shared" si="600"/>
        <v>2029</v>
      </c>
      <c r="AD209" s="18">
        <f t="shared" si="600"/>
        <v>2030</v>
      </c>
      <c r="AE209" s="18">
        <f t="shared" si="600"/>
        <v>2031</v>
      </c>
      <c r="AF209" s="18">
        <f t="shared" si="600"/>
        <v>2032</v>
      </c>
      <c r="AG209" s="18">
        <f t="shared" si="600"/>
        <v>2033</v>
      </c>
      <c r="AH209" s="18">
        <f t="shared" si="600"/>
        <v>2034</v>
      </c>
      <c r="AI209" s="18">
        <f t="shared" si="600"/>
        <v>2035</v>
      </c>
      <c r="AJ209" s="18">
        <f t="shared" si="600"/>
        <v>2036</v>
      </c>
      <c r="AK209" s="18">
        <f t="shared" si="600"/>
        <v>2037</v>
      </c>
      <c r="AL209" s="18">
        <f t="shared" si="600"/>
        <v>2038</v>
      </c>
      <c r="AM209" s="18">
        <f t="shared" si="600"/>
        <v>2039</v>
      </c>
      <c r="AN209" s="18">
        <f t="shared" si="600"/>
        <v>2040</v>
      </c>
      <c r="AO209" s="18">
        <v>2045</v>
      </c>
      <c r="AP209" s="18">
        <v>2050</v>
      </c>
      <c r="AQ209" s="18">
        <v>2060</v>
      </c>
      <c r="AR209" s="18">
        <v>2070</v>
      </c>
      <c r="AS209" s="18"/>
      <c r="AV209" s="18"/>
      <c r="AW209" s="18"/>
      <c r="BG209" s="18">
        <v>2012</v>
      </c>
      <c r="BH209" s="18"/>
    </row>
    <row r="210" spans="1:60" s="200" customFormat="1">
      <c r="A210" s="121" t="s">
        <v>16</v>
      </c>
      <c r="B210" s="200">
        <v>1</v>
      </c>
      <c r="C210" s="200">
        <v>2012</v>
      </c>
      <c r="D210" s="200">
        <f>F4</f>
        <v>2015</v>
      </c>
      <c r="E210" s="200">
        <v>2017</v>
      </c>
      <c r="F210" s="200">
        <v>2019</v>
      </c>
      <c r="G210" s="200">
        <v>2020</v>
      </c>
      <c r="H210" s="200">
        <v>2021</v>
      </c>
      <c r="I210" s="200">
        <v>2030</v>
      </c>
      <c r="J210" s="200">
        <v>2040</v>
      </c>
      <c r="K210" s="247">
        <v>2050</v>
      </c>
      <c r="L210" s="121">
        <f t="shared" ref="L210:U211" si="601">MATCH(L$209,$C$210:$K$210,$B210)</f>
        <v>1</v>
      </c>
      <c r="M210" s="200">
        <f t="shared" si="601"/>
        <v>1</v>
      </c>
      <c r="N210" s="200">
        <f t="shared" si="601"/>
        <v>1</v>
      </c>
      <c r="O210" s="200">
        <f t="shared" si="601"/>
        <v>2</v>
      </c>
      <c r="P210" s="200">
        <f t="shared" si="601"/>
        <v>2</v>
      </c>
      <c r="Q210" s="200">
        <f t="shared" si="601"/>
        <v>3</v>
      </c>
      <c r="R210" s="200">
        <f t="shared" si="601"/>
        <v>3</v>
      </c>
      <c r="S210" s="200">
        <f t="shared" si="601"/>
        <v>4</v>
      </c>
      <c r="T210" s="200">
        <f t="shared" si="601"/>
        <v>5</v>
      </c>
      <c r="U210" s="200">
        <f t="shared" si="601"/>
        <v>6</v>
      </c>
      <c r="V210" s="200">
        <f t="shared" ref="V210:AE211" si="602">MATCH(V$209,$C$210:$K$210,$B210)</f>
        <v>6</v>
      </c>
      <c r="W210" s="200">
        <f t="shared" si="602"/>
        <v>6</v>
      </c>
      <c r="X210" s="200">
        <f t="shared" si="602"/>
        <v>6</v>
      </c>
      <c r="Y210" s="200">
        <f t="shared" si="602"/>
        <v>6</v>
      </c>
      <c r="Z210" s="200">
        <f t="shared" si="602"/>
        <v>6</v>
      </c>
      <c r="AA210" s="200">
        <f t="shared" si="602"/>
        <v>6</v>
      </c>
      <c r="AB210" s="200">
        <f t="shared" si="602"/>
        <v>6</v>
      </c>
      <c r="AC210" s="200">
        <f t="shared" si="602"/>
        <v>6</v>
      </c>
      <c r="AD210" s="200">
        <f t="shared" si="602"/>
        <v>7</v>
      </c>
      <c r="AE210" s="200">
        <f t="shared" si="602"/>
        <v>7</v>
      </c>
      <c r="AF210" s="200">
        <f t="shared" ref="AF210:AR211" si="603">MATCH(AF$209,$C$210:$K$210,$B210)</f>
        <v>7</v>
      </c>
      <c r="AG210" s="200">
        <f t="shared" si="603"/>
        <v>7</v>
      </c>
      <c r="AH210" s="200">
        <f t="shared" si="603"/>
        <v>7</v>
      </c>
      <c r="AI210" s="200">
        <f t="shared" si="603"/>
        <v>7</v>
      </c>
      <c r="AJ210" s="200">
        <f t="shared" si="603"/>
        <v>7</v>
      </c>
      <c r="AK210" s="200">
        <f t="shared" si="603"/>
        <v>7</v>
      </c>
      <c r="AL210" s="200">
        <f t="shared" si="603"/>
        <v>7</v>
      </c>
      <c r="AM210" s="200">
        <f t="shared" si="603"/>
        <v>7</v>
      </c>
      <c r="AN210" s="200">
        <f t="shared" si="603"/>
        <v>8</v>
      </c>
      <c r="AO210" s="200">
        <f t="shared" si="603"/>
        <v>8</v>
      </c>
      <c r="AP210" s="200">
        <f t="shared" si="603"/>
        <v>9</v>
      </c>
      <c r="AQ210" s="200">
        <f t="shared" si="603"/>
        <v>9</v>
      </c>
      <c r="AR210" s="200">
        <f t="shared" si="603"/>
        <v>9</v>
      </c>
      <c r="BG210" s="121">
        <f>MATCH(BG$209,$C$210:$K$210,$B210)</f>
        <v>1</v>
      </c>
    </row>
    <row r="211" spans="1:60">
      <c r="A211" s="41" t="s">
        <v>16</v>
      </c>
      <c r="B211" s="194">
        <v>0</v>
      </c>
      <c r="C211" s="194">
        <f>INDEX($C210:$K210,0,COUNT($C210:$K210)-C212)</f>
        <v>2050</v>
      </c>
      <c r="D211" s="293">
        <f t="shared" ref="D211:K211" si="604">INDEX($C210:$K210,0,COUNT($C210:$K210)-D212)</f>
        <v>2040</v>
      </c>
      <c r="E211" s="293">
        <f t="shared" si="604"/>
        <v>2030</v>
      </c>
      <c r="F211" s="293">
        <f t="shared" si="604"/>
        <v>2021</v>
      </c>
      <c r="G211" s="293">
        <f t="shared" si="604"/>
        <v>2020</v>
      </c>
      <c r="H211" s="293">
        <f t="shared" si="604"/>
        <v>2019</v>
      </c>
      <c r="I211" s="293">
        <f t="shared" si="604"/>
        <v>2017</v>
      </c>
      <c r="J211" s="293">
        <f t="shared" si="604"/>
        <v>2015</v>
      </c>
      <c r="K211" s="293">
        <f t="shared" si="604"/>
        <v>2012</v>
      </c>
      <c r="L211" s="41">
        <f t="shared" si="601"/>
        <v>1</v>
      </c>
      <c r="M211" s="194" t="e">
        <f t="shared" si="601"/>
        <v>#N/A</v>
      </c>
      <c r="N211" s="194" t="e">
        <f t="shared" si="601"/>
        <v>#N/A</v>
      </c>
      <c r="O211" s="194">
        <f t="shared" si="601"/>
        <v>2</v>
      </c>
      <c r="P211" s="194" t="e">
        <f t="shared" si="601"/>
        <v>#N/A</v>
      </c>
      <c r="Q211" s="194">
        <f t="shared" si="601"/>
        <v>3</v>
      </c>
      <c r="R211" s="194" t="e">
        <f t="shared" si="601"/>
        <v>#N/A</v>
      </c>
      <c r="S211" s="194">
        <f t="shared" si="601"/>
        <v>4</v>
      </c>
      <c r="T211" s="194">
        <f t="shared" si="601"/>
        <v>5</v>
      </c>
      <c r="U211" s="194">
        <f t="shared" si="601"/>
        <v>6</v>
      </c>
      <c r="V211" s="194" t="e">
        <f t="shared" si="602"/>
        <v>#N/A</v>
      </c>
      <c r="W211" s="194" t="e">
        <f t="shared" si="602"/>
        <v>#N/A</v>
      </c>
      <c r="X211" s="194" t="e">
        <f t="shared" si="602"/>
        <v>#N/A</v>
      </c>
      <c r="Y211" s="194" t="e">
        <f t="shared" si="602"/>
        <v>#N/A</v>
      </c>
      <c r="Z211" s="194" t="e">
        <f t="shared" si="602"/>
        <v>#N/A</v>
      </c>
      <c r="AA211" s="194" t="e">
        <f t="shared" si="602"/>
        <v>#N/A</v>
      </c>
      <c r="AB211" s="194" t="e">
        <f t="shared" si="602"/>
        <v>#N/A</v>
      </c>
      <c r="AC211" s="194" t="e">
        <f t="shared" si="602"/>
        <v>#N/A</v>
      </c>
      <c r="AD211" s="194">
        <f t="shared" si="602"/>
        <v>7</v>
      </c>
      <c r="AE211" s="194" t="e">
        <f t="shared" si="602"/>
        <v>#N/A</v>
      </c>
      <c r="AF211" s="194" t="e">
        <f t="shared" si="603"/>
        <v>#N/A</v>
      </c>
      <c r="AG211" s="194" t="e">
        <f t="shared" si="603"/>
        <v>#N/A</v>
      </c>
      <c r="AH211" s="194" t="e">
        <f t="shared" si="603"/>
        <v>#N/A</v>
      </c>
      <c r="AI211" s="194" t="e">
        <f t="shared" si="603"/>
        <v>#N/A</v>
      </c>
      <c r="AJ211" s="194" t="e">
        <f t="shared" si="603"/>
        <v>#N/A</v>
      </c>
      <c r="AK211" s="194" t="e">
        <f t="shared" si="603"/>
        <v>#N/A</v>
      </c>
      <c r="AL211" s="194" t="e">
        <f t="shared" si="603"/>
        <v>#N/A</v>
      </c>
      <c r="AM211" s="194" t="e">
        <f t="shared" si="603"/>
        <v>#N/A</v>
      </c>
      <c r="AN211" s="194">
        <f t="shared" si="603"/>
        <v>8</v>
      </c>
      <c r="AO211" s="194" t="e">
        <f t="shared" si="603"/>
        <v>#N/A</v>
      </c>
      <c r="AP211" s="194">
        <f t="shared" si="603"/>
        <v>9</v>
      </c>
      <c r="AQ211" s="194" t="e">
        <f t="shared" si="603"/>
        <v>#N/A</v>
      </c>
      <c r="AR211" s="194" t="e">
        <f t="shared" si="603"/>
        <v>#N/A</v>
      </c>
      <c r="BG211" s="41">
        <f>MATCH(BG$209,$C$210:$K$210,$B211)</f>
        <v>1</v>
      </c>
    </row>
    <row r="212" spans="1:60">
      <c r="A212" s="41" t="s">
        <v>16</v>
      </c>
      <c r="B212" s="194">
        <v>-1</v>
      </c>
      <c r="C212" s="194">
        <v>0</v>
      </c>
      <c r="D212" s="293">
        <v>1</v>
      </c>
      <c r="E212" s="293">
        <v>2</v>
      </c>
      <c r="F212" s="293">
        <v>3</v>
      </c>
      <c r="G212" s="293">
        <v>4</v>
      </c>
      <c r="H212" s="293">
        <v>5</v>
      </c>
      <c r="I212" s="293">
        <v>6</v>
      </c>
      <c r="J212" s="293">
        <v>7</v>
      </c>
      <c r="K212" s="293">
        <v>8</v>
      </c>
      <c r="L212" s="194">
        <f t="shared" ref="L212:AR212" si="605">MATCH(L$209,$C$211:$K$211,$B212)</f>
        <v>9</v>
      </c>
      <c r="M212" s="194">
        <f t="shared" si="605"/>
        <v>8</v>
      </c>
      <c r="N212" s="194">
        <f t="shared" si="605"/>
        <v>8</v>
      </c>
      <c r="O212" s="194">
        <f t="shared" si="605"/>
        <v>8</v>
      </c>
      <c r="P212" s="194">
        <f t="shared" si="605"/>
        <v>7</v>
      </c>
      <c r="Q212" s="194">
        <f t="shared" si="605"/>
        <v>7</v>
      </c>
      <c r="R212" s="194">
        <f t="shared" si="605"/>
        <v>6</v>
      </c>
      <c r="S212" s="194">
        <f t="shared" si="605"/>
        <v>6</v>
      </c>
      <c r="T212" s="194">
        <f t="shared" si="605"/>
        <v>5</v>
      </c>
      <c r="U212" s="194">
        <f t="shared" si="605"/>
        <v>4</v>
      </c>
      <c r="V212" s="194">
        <f t="shared" si="605"/>
        <v>3</v>
      </c>
      <c r="W212" s="194">
        <f t="shared" si="605"/>
        <v>3</v>
      </c>
      <c r="X212" s="194">
        <f t="shared" si="605"/>
        <v>3</v>
      </c>
      <c r="Y212" s="194">
        <f t="shared" si="605"/>
        <v>3</v>
      </c>
      <c r="Z212" s="194">
        <f t="shared" si="605"/>
        <v>3</v>
      </c>
      <c r="AA212" s="194">
        <f t="shared" si="605"/>
        <v>3</v>
      </c>
      <c r="AB212" s="194">
        <f t="shared" si="605"/>
        <v>3</v>
      </c>
      <c r="AC212" s="194">
        <f t="shared" si="605"/>
        <v>3</v>
      </c>
      <c r="AD212" s="194">
        <f t="shared" si="605"/>
        <v>3</v>
      </c>
      <c r="AE212" s="194">
        <f t="shared" si="605"/>
        <v>2</v>
      </c>
      <c r="AF212" s="194">
        <f t="shared" si="605"/>
        <v>2</v>
      </c>
      <c r="AG212" s="194">
        <f t="shared" si="605"/>
        <v>2</v>
      </c>
      <c r="AH212" s="194">
        <f t="shared" si="605"/>
        <v>2</v>
      </c>
      <c r="AI212" s="194">
        <f t="shared" si="605"/>
        <v>2</v>
      </c>
      <c r="AJ212" s="194">
        <f t="shared" si="605"/>
        <v>2</v>
      </c>
      <c r="AK212" s="194">
        <f t="shared" si="605"/>
        <v>2</v>
      </c>
      <c r="AL212" s="194">
        <f t="shared" si="605"/>
        <v>2</v>
      </c>
      <c r="AM212" s="194">
        <f t="shared" si="605"/>
        <v>2</v>
      </c>
      <c r="AN212" s="194">
        <f t="shared" si="605"/>
        <v>2</v>
      </c>
      <c r="AO212" s="194">
        <f t="shared" si="605"/>
        <v>1</v>
      </c>
      <c r="AP212" s="194">
        <f t="shared" si="605"/>
        <v>1</v>
      </c>
      <c r="AQ212" s="194" t="e">
        <f t="shared" si="605"/>
        <v>#N/A</v>
      </c>
      <c r="AR212" s="194" t="e">
        <f t="shared" si="605"/>
        <v>#N/A</v>
      </c>
      <c r="BG212" s="194">
        <f>MATCH(BG$209,$C$211:$K$211,$B212)</f>
        <v>9</v>
      </c>
    </row>
    <row r="213" spans="1:60" s="124" customFormat="1">
      <c r="A213" s="123" t="s">
        <v>16</v>
      </c>
      <c r="K213" s="129"/>
      <c r="L213" s="198">
        <f t="shared" ref="L213:AR213" si="606">IF(ISNA(L210),-1,IF(ISNA(L212),99,IF(ISNA(L211),L210,0)))</f>
        <v>0</v>
      </c>
      <c r="M213" s="198">
        <f t="shared" si="606"/>
        <v>1</v>
      </c>
      <c r="N213" s="198">
        <f t="shared" si="606"/>
        <v>1</v>
      </c>
      <c r="O213" s="198">
        <f t="shared" si="606"/>
        <v>0</v>
      </c>
      <c r="P213" s="198">
        <f t="shared" si="606"/>
        <v>2</v>
      </c>
      <c r="Q213" s="198">
        <f t="shared" si="606"/>
        <v>0</v>
      </c>
      <c r="R213" s="198">
        <f t="shared" si="606"/>
        <v>3</v>
      </c>
      <c r="S213" s="198">
        <f t="shared" si="606"/>
        <v>0</v>
      </c>
      <c r="T213" s="198">
        <f t="shared" si="606"/>
        <v>0</v>
      </c>
      <c r="U213" s="198">
        <f t="shared" si="606"/>
        <v>0</v>
      </c>
      <c r="V213" s="198">
        <f t="shared" si="606"/>
        <v>6</v>
      </c>
      <c r="W213" s="198">
        <f t="shared" si="606"/>
        <v>6</v>
      </c>
      <c r="X213" s="198">
        <f t="shared" si="606"/>
        <v>6</v>
      </c>
      <c r="Y213" s="198">
        <f t="shared" si="606"/>
        <v>6</v>
      </c>
      <c r="Z213" s="198">
        <f t="shared" si="606"/>
        <v>6</v>
      </c>
      <c r="AA213" s="198">
        <f t="shared" si="606"/>
        <v>6</v>
      </c>
      <c r="AB213" s="198">
        <f t="shared" si="606"/>
        <v>6</v>
      </c>
      <c r="AC213" s="198">
        <f t="shared" si="606"/>
        <v>6</v>
      </c>
      <c r="AD213" s="198">
        <f t="shared" si="606"/>
        <v>0</v>
      </c>
      <c r="AE213" s="198">
        <f t="shared" si="606"/>
        <v>7</v>
      </c>
      <c r="AF213" s="198">
        <f t="shared" si="606"/>
        <v>7</v>
      </c>
      <c r="AG213" s="198">
        <f t="shared" si="606"/>
        <v>7</v>
      </c>
      <c r="AH213" s="198">
        <f t="shared" si="606"/>
        <v>7</v>
      </c>
      <c r="AI213" s="198">
        <f t="shared" si="606"/>
        <v>7</v>
      </c>
      <c r="AJ213" s="198">
        <f t="shared" si="606"/>
        <v>7</v>
      </c>
      <c r="AK213" s="198">
        <f t="shared" si="606"/>
        <v>7</v>
      </c>
      <c r="AL213" s="198">
        <f t="shared" si="606"/>
        <v>7</v>
      </c>
      <c r="AM213" s="198">
        <f t="shared" si="606"/>
        <v>7</v>
      </c>
      <c r="AN213" s="198">
        <f t="shared" si="606"/>
        <v>0</v>
      </c>
      <c r="AO213" s="198">
        <f t="shared" si="606"/>
        <v>8</v>
      </c>
      <c r="AP213" s="198">
        <f t="shared" si="606"/>
        <v>0</v>
      </c>
      <c r="AQ213" s="198">
        <f t="shared" si="606"/>
        <v>99</v>
      </c>
      <c r="AR213" s="198">
        <f t="shared" si="606"/>
        <v>99</v>
      </c>
      <c r="AS213" s="198"/>
      <c r="AV213" s="198"/>
      <c r="AW213" s="198"/>
      <c r="BG213" s="198">
        <f>IF(ISNA(BG210),-1,IF(ISNA(BG212),99,IF(ISNA(BG211),BG210,0)))</f>
        <v>0</v>
      </c>
      <c r="BH213" s="198"/>
    </row>
    <row r="214" spans="1:60">
      <c r="B214" s="22" t="str">
        <f t="shared" ref="B214:B221" si="607">IF(A214="*","","COM_PROJ")</f>
        <v>COM_PROJ</v>
      </c>
      <c r="C214" s="23" t="str">
        <f t="shared" ref="C214:C221" si="608">IF($A214="*","","-")</f>
        <v>-</v>
      </c>
      <c r="D214" s="59" t="str">
        <f t="shared" ref="D214:D221" si="609">B186</f>
        <v>TPPRCAR</v>
      </c>
      <c r="E214" s="23" t="str">
        <f t="shared" ref="E214:J221" si="610">IF($A214="*","","-")</f>
        <v>-</v>
      </c>
      <c r="G214" s="23" t="str">
        <f t="shared" si="610"/>
        <v>-</v>
      </c>
      <c r="I214" s="23" t="str">
        <f t="shared" si="610"/>
        <v>-</v>
      </c>
      <c r="J214" s="23" t="str">
        <f t="shared" si="610"/>
        <v>-</v>
      </c>
      <c r="K214" s="22">
        <f t="shared" ref="K214:K221" si="611">IF(A214="*","",0)</f>
        <v>0</v>
      </c>
      <c r="L214" s="195">
        <f t="shared" ref="L214:M216" si="612">IF(L$213=-1,M214,IF(L$213=99,BF214,IF(L$213=0,INDEX($E186:$M186,0,L$211),(INDEX($E186:$M186,0,L$213+1)-INDEX($E186:$M186,0,L$213))/(INDEX($E$185:$M$185,0,L$213+1)-INDEX($E$185:$M$185,0,L$213))+BF214)))</f>
        <v>81.484814157071753</v>
      </c>
      <c r="M214" s="195">
        <f t="shared" si="612"/>
        <v>84.02361101254985</v>
      </c>
      <c r="N214" s="195">
        <f t="shared" ref="N214:AN214" si="613">IF(N$213=-1,O214,IF(N$213=99,M214,IF(N$213=0,INDEX($E186:$M186,0,N$211),(INDEX($E186:$M186,0,N$213+1)-INDEX($E186:$M186,0,N$213))/(INDEX($E$185:$M$185,0,N$213+1)-INDEX($E$185:$M$185,0,N$213))+M214)))</f>
        <v>86.562407868027947</v>
      </c>
      <c r="O214" s="195">
        <f t="shared" si="613"/>
        <v>89.101204723506044</v>
      </c>
      <c r="P214" s="195">
        <f t="shared" si="613"/>
        <v>91.647339821465536</v>
      </c>
      <c r="Q214" s="195">
        <f t="shared" si="613"/>
        <v>94.193474919425029</v>
      </c>
      <c r="R214" s="195">
        <f t="shared" si="613"/>
        <v>96.367090781552335</v>
      </c>
      <c r="S214" s="195">
        <f t="shared" si="613"/>
        <v>98.540706643679641</v>
      </c>
      <c r="T214" s="195">
        <f t="shared" si="613"/>
        <v>94.344957604784639</v>
      </c>
      <c r="U214" s="195">
        <f t="shared" si="613"/>
        <v>94.920703181587982</v>
      </c>
      <c r="V214" s="195">
        <f t="shared" si="613"/>
        <v>97.866789357662469</v>
      </c>
      <c r="W214" s="195">
        <f t="shared" si="613"/>
        <v>100.81287553373696</v>
      </c>
      <c r="X214" s="195">
        <f t="shared" si="613"/>
        <v>103.75896170981144</v>
      </c>
      <c r="Y214" s="195">
        <f t="shared" si="613"/>
        <v>106.70504788588593</v>
      </c>
      <c r="Z214" s="195">
        <f t="shared" si="613"/>
        <v>109.65113406196042</v>
      </c>
      <c r="AA214" s="195">
        <f t="shared" si="613"/>
        <v>112.59722023803491</v>
      </c>
      <c r="AB214" s="195">
        <f t="shared" si="613"/>
        <v>115.5433064141094</v>
      </c>
      <c r="AC214" s="195">
        <f t="shared" si="613"/>
        <v>118.48939259018388</v>
      </c>
      <c r="AD214" s="195">
        <f t="shared" si="613"/>
        <v>121.43547876625833</v>
      </c>
      <c r="AE214" s="195">
        <f t="shared" si="613"/>
        <v>125.37395403839199</v>
      </c>
      <c r="AF214" s="195">
        <f t="shared" si="613"/>
        <v>129.31242931052566</v>
      </c>
      <c r="AG214" s="195">
        <f t="shared" si="613"/>
        <v>133.25090458265933</v>
      </c>
      <c r="AH214" s="195">
        <f t="shared" si="613"/>
        <v>137.189379854793</v>
      </c>
      <c r="AI214" s="195">
        <f t="shared" si="613"/>
        <v>141.12785512692668</v>
      </c>
      <c r="AJ214" s="195">
        <f t="shared" si="613"/>
        <v>145.06633039906035</v>
      </c>
      <c r="AK214" s="195">
        <f t="shared" si="613"/>
        <v>149.00480567119402</v>
      </c>
      <c r="AL214" s="195">
        <f t="shared" si="613"/>
        <v>152.94328094332769</v>
      </c>
      <c r="AM214" s="195">
        <f t="shared" si="613"/>
        <v>156.88175621546137</v>
      </c>
      <c r="AN214" s="195">
        <f t="shared" si="613"/>
        <v>160.82023148759495</v>
      </c>
      <c r="AO214" s="311">
        <f>(AN214+AP214)/2</f>
        <v>182.11354022693496</v>
      </c>
      <c r="AP214" s="195">
        <f t="shared" ref="AP214:AQ221" si="614">IF(AP$213=-1,AQ214,IF(AP$213=99,AO214,IF(AP$213=0,INDEX($E186:$M186,0,AP$211),(INDEX($E186:$M186,0,AP$213+1)-INDEX($E186:$M186,0,AP$213))/(INDEX($E$185:$M$185,0,AP$213+1)-INDEX($E$185:$M$185,0,AP$213))+AO214)))</f>
        <v>203.40684896627499</v>
      </c>
      <c r="AQ214" s="195">
        <f t="shared" si="614"/>
        <v>203.40684896627499</v>
      </c>
      <c r="AR214" s="195">
        <f>IF(AR$213=-1,#REF!,IF(AR$213=99,AQ214,IF(AR$213=0,INDEX($E186:$M186,0,AR$211),(INDEX($E186:$M186,0,AR$213+1)-INDEX($E186:$M186,0,AR$213))/(INDEX($E$185:$M$185,0,AR$213+1)-INDEX($E$185:$M$185,0,AR$213))+AQ214)))</f>
        <v>203.40684896627499</v>
      </c>
      <c r="AS214" s="195"/>
      <c r="AV214" s="195"/>
      <c r="AW214" s="195"/>
      <c r="BG214" s="195">
        <f t="shared" ref="BG214:BG221" si="615">E186</f>
        <v>81.484814157071753</v>
      </c>
      <c r="BH214" s="115">
        <f t="shared" ref="BH214:BH221" si="616">(L214-BG214)/L214</f>
        <v>0</v>
      </c>
    </row>
    <row r="215" spans="1:60">
      <c r="B215" s="22" t="str">
        <f t="shared" si="607"/>
        <v>COM_PROJ</v>
      </c>
      <c r="C215" s="23" t="str">
        <f t="shared" si="608"/>
        <v>-</v>
      </c>
      <c r="D215" s="59" t="str">
        <f t="shared" si="609"/>
        <v>TPPRSUV</v>
      </c>
      <c r="E215" s="23" t="str">
        <f t="shared" si="610"/>
        <v>-</v>
      </c>
      <c r="G215" s="23" t="str">
        <f t="shared" si="610"/>
        <v>-</v>
      </c>
      <c r="I215" s="23" t="str">
        <f t="shared" si="610"/>
        <v>-</v>
      </c>
      <c r="J215" s="23" t="str">
        <f t="shared" si="610"/>
        <v>-</v>
      </c>
      <c r="K215" s="22">
        <f t="shared" si="611"/>
        <v>0</v>
      </c>
      <c r="L215" s="195">
        <f t="shared" si="612"/>
        <v>9.3562062912418789</v>
      </c>
      <c r="M215" s="195">
        <f t="shared" si="612"/>
        <v>9.6477146828008458</v>
      </c>
      <c r="N215" s="195">
        <f t="shared" ref="N215:AN215" si="617">IF(N$213=-1,O215,IF(N$213=99,M215,IF(N$213=0,INDEX($E187:$M187,0,N$211),(INDEX($E187:$M187,0,N$213+1)-INDEX($E187:$M187,0,N$213))/(INDEX($E$185:$M$185,0,N$213+1)-INDEX($E$185:$M$185,0,N$213))+M215)))</f>
        <v>9.9392230743598127</v>
      </c>
      <c r="O215" s="195">
        <f t="shared" si="617"/>
        <v>10.230731465918778</v>
      </c>
      <c r="P215" s="195">
        <f t="shared" si="617"/>
        <v>10.523082445279918</v>
      </c>
      <c r="Q215" s="195">
        <f t="shared" si="617"/>
        <v>10.815433424641057</v>
      </c>
      <c r="R215" s="195">
        <f t="shared" si="617"/>
        <v>11.065011197068408</v>
      </c>
      <c r="S215" s="195">
        <f t="shared" si="617"/>
        <v>11.314588969495759</v>
      </c>
      <c r="T215" s="195">
        <f t="shared" si="617"/>
        <v>10.832826889526965</v>
      </c>
      <c r="U215" s="195">
        <f t="shared" si="617"/>
        <v>10.89893484404053</v>
      </c>
      <c r="V215" s="195">
        <f t="shared" si="617"/>
        <v>11.237208794840683</v>
      </c>
      <c r="W215" s="195">
        <f t="shared" si="617"/>
        <v>11.575482745640835</v>
      </c>
      <c r="X215" s="195">
        <f t="shared" si="617"/>
        <v>11.913756696440988</v>
      </c>
      <c r="Y215" s="195">
        <f t="shared" si="617"/>
        <v>12.25203064724114</v>
      </c>
      <c r="Z215" s="195">
        <f t="shared" si="617"/>
        <v>12.590304598041293</v>
      </c>
      <c r="AA215" s="195">
        <f t="shared" si="617"/>
        <v>12.928578548841445</v>
      </c>
      <c r="AB215" s="195">
        <f t="shared" si="617"/>
        <v>13.266852499641598</v>
      </c>
      <c r="AC215" s="195">
        <f t="shared" si="617"/>
        <v>13.60512645044175</v>
      </c>
      <c r="AD215" s="195">
        <f t="shared" si="617"/>
        <v>13.943400401241899</v>
      </c>
      <c r="AE215" s="195">
        <f t="shared" si="617"/>
        <v>14.395621928654434</v>
      </c>
      <c r="AF215" s="195">
        <f t="shared" si="617"/>
        <v>14.847843456066968</v>
      </c>
      <c r="AG215" s="195">
        <f t="shared" si="617"/>
        <v>15.300064983479503</v>
      </c>
      <c r="AH215" s="195">
        <f t="shared" si="617"/>
        <v>15.752286510892038</v>
      </c>
      <c r="AI215" s="195">
        <f t="shared" si="617"/>
        <v>16.204508038304574</v>
      </c>
      <c r="AJ215" s="195">
        <f t="shared" si="617"/>
        <v>16.656729565717111</v>
      </c>
      <c r="AK215" s="195">
        <f t="shared" si="617"/>
        <v>17.108951093129647</v>
      </c>
      <c r="AL215" s="195">
        <f t="shared" si="617"/>
        <v>17.561172620542184</v>
      </c>
      <c r="AM215" s="195">
        <f t="shared" si="617"/>
        <v>18.01339414795472</v>
      </c>
      <c r="AN215" s="195">
        <f t="shared" si="617"/>
        <v>18.46561567536725</v>
      </c>
      <c r="AO215" s="311">
        <f t="shared" ref="AO215:AO221" si="618">(AN215+AP215)/2</f>
        <v>20.910544724408698</v>
      </c>
      <c r="AP215" s="195">
        <f t="shared" si="614"/>
        <v>23.355473773450147</v>
      </c>
      <c r="AQ215" s="195">
        <f t="shared" si="614"/>
        <v>23.355473773450147</v>
      </c>
      <c r="AR215" s="195">
        <f>IF(AR$213=-1,#REF!,IF(AR$213=99,AQ215,IF(AR$213=0,INDEX($E187:$M187,0,AR$211),(INDEX($E187:$M187,0,AR$213+1)-INDEX($E187:$M187,0,AR$213))/(INDEX($E$185:$M$185,0,AR$213+1)-INDEX($E$185:$M$185,0,AR$213))+AQ215)))</f>
        <v>23.355473773450147</v>
      </c>
      <c r="AS215" s="195"/>
      <c r="AV215" s="195"/>
      <c r="AW215" s="195"/>
      <c r="BG215" s="195">
        <f t="shared" si="615"/>
        <v>9.3562062912418789</v>
      </c>
      <c r="BH215" s="115">
        <f t="shared" si="616"/>
        <v>0</v>
      </c>
    </row>
    <row r="216" spans="1:60">
      <c r="B216" s="22" t="str">
        <f t="shared" si="607"/>
        <v>COM_PROJ</v>
      </c>
      <c r="C216" s="23" t="str">
        <f t="shared" si="608"/>
        <v>-</v>
      </c>
      <c r="D216" s="59" t="str">
        <f t="shared" si="609"/>
        <v>TPPRMOT</v>
      </c>
      <c r="E216" s="23" t="str">
        <f t="shared" si="610"/>
        <v>-</v>
      </c>
      <c r="G216" s="23" t="str">
        <f t="shared" si="610"/>
        <v>-</v>
      </c>
      <c r="I216" s="23" t="str">
        <f t="shared" si="610"/>
        <v>-</v>
      </c>
      <c r="J216" s="23" t="str">
        <f t="shared" si="610"/>
        <v>-</v>
      </c>
      <c r="K216" s="22">
        <f t="shared" si="611"/>
        <v>0</v>
      </c>
      <c r="L216" s="195">
        <f t="shared" si="612"/>
        <v>3.1893877916903843</v>
      </c>
      <c r="M216" s="195">
        <f t="shared" si="612"/>
        <v>3.288758549054271</v>
      </c>
      <c r="N216" s="195">
        <f t="shared" ref="N216:AN216" si="619">IF(N$213=-1,O216,IF(N$213=99,M216,IF(N$213=0,INDEX($E188:$M188,0,N$211),(INDEX($E188:$M188,0,N$213+1)-INDEX($E188:$M188,0,N$213))/(INDEX($E$185:$M$185,0,N$213+1)-INDEX($E$185:$M$185,0,N$213))+M216)))</f>
        <v>3.3881293064181577</v>
      </c>
      <c r="O216" s="195">
        <f t="shared" si="619"/>
        <v>3.4875000637820444</v>
      </c>
      <c r="P216" s="195">
        <f t="shared" si="619"/>
        <v>3.5871580464556376</v>
      </c>
      <c r="Q216" s="195">
        <f t="shared" si="619"/>
        <v>3.6868160291292309</v>
      </c>
      <c r="R216" s="195">
        <f t="shared" si="619"/>
        <v>3.7718932789972879</v>
      </c>
      <c r="S216" s="195">
        <f t="shared" si="619"/>
        <v>3.8569705288653453</v>
      </c>
      <c r="T216" s="195">
        <f t="shared" si="619"/>
        <v>3.6927451955921633</v>
      </c>
      <c r="U216" s="195">
        <f t="shared" si="619"/>
        <v>3.7152803873671201</v>
      </c>
      <c r="V216" s="195">
        <f t="shared" si="619"/>
        <v>3.8305928094477233</v>
      </c>
      <c r="W216" s="195">
        <f t="shared" si="619"/>
        <v>3.9459052315283265</v>
      </c>
      <c r="X216" s="195">
        <f t="shared" si="619"/>
        <v>4.0612176536089297</v>
      </c>
      <c r="Y216" s="195">
        <f t="shared" si="619"/>
        <v>4.1765300756895325</v>
      </c>
      <c r="Z216" s="195">
        <f t="shared" si="619"/>
        <v>4.2918424977701353</v>
      </c>
      <c r="AA216" s="195">
        <f t="shared" si="619"/>
        <v>4.407154919850738</v>
      </c>
      <c r="AB216" s="195">
        <f t="shared" si="619"/>
        <v>4.5224673419313408</v>
      </c>
      <c r="AC216" s="195">
        <f t="shared" si="619"/>
        <v>4.6377797640119436</v>
      </c>
      <c r="AD216" s="195">
        <f t="shared" si="619"/>
        <v>4.753092186092549</v>
      </c>
      <c r="AE216" s="195">
        <f t="shared" si="619"/>
        <v>4.9072475962847362</v>
      </c>
      <c r="AF216" s="195">
        <f t="shared" si="619"/>
        <v>5.0614030064769233</v>
      </c>
      <c r="AG216" s="195">
        <f t="shared" si="619"/>
        <v>5.2155584166691105</v>
      </c>
      <c r="AH216" s="195">
        <f t="shared" si="619"/>
        <v>5.3697138268612976</v>
      </c>
      <c r="AI216" s="195">
        <f t="shared" si="619"/>
        <v>5.5238692370534848</v>
      </c>
      <c r="AJ216" s="195">
        <f t="shared" si="619"/>
        <v>5.6780246472456719</v>
      </c>
      <c r="AK216" s="195">
        <f t="shared" si="619"/>
        <v>5.8321800574378591</v>
      </c>
      <c r="AL216" s="195">
        <f t="shared" si="619"/>
        <v>5.9863354676300462</v>
      </c>
      <c r="AM216" s="195">
        <f t="shared" si="619"/>
        <v>6.1404908778222334</v>
      </c>
      <c r="AN216" s="195">
        <f t="shared" si="619"/>
        <v>6.2946462880144241</v>
      </c>
      <c r="AO216" s="311">
        <f t="shared" si="618"/>
        <v>7.1280852501139815</v>
      </c>
      <c r="AP216" s="195">
        <f t="shared" si="614"/>
        <v>7.961524212213539</v>
      </c>
      <c r="AQ216" s="195">
        <f t="shared" si="614"/>
        <v>7.961524212213539</v>
      </c>
      <c r="AR216" s="195">
        <f>IF(AR$213=-1,#REF!,IF(AR$213=99,AQ216,IF(AR$213=0,INDEX($E188:$M188,0,AR$211),(INDEX($E188:$M188,0,AR$213+1)-INDEX($E188:$M188,0,AR$213))/(INDEX($E$185:$M$185,0,AR$213+1)-INDEX($E$185:$M$185,0,AR$213))+AQ216)))</f>
        <v>7.961524212213539</v>
      </c>
      <c r="AS216" s="195"/>
      <c r="AV216" s="195"/>
      <c r="AW216" s="195"/>
      <c r="BG216" s="195">
        <f t="shared" si="615"/>
        <v>3.1893877916903843</v>
      </c>
      <c r="BH216" s="115">
        <f t="shared" si="616"/>
        <v>0</v>
      </c>
    </row>
    <row r="217" spans="1:60">
      <c r="B217" s="22" t="str">
        <f t="shared" si="607"/>
        <v>COM_PROJ</v>
      </c>
      <c r="C217" s="23" t="str">
        <f t="shared" si="608"/>
        <v>-</v>
      </c>
      <c r="D217" s="59" t="str">
        <f t="shared" si="609"/>
        <v>TPPUBUS</v>
      </c>
      <c r="E217" s="23" t="str">
        <f t="shared" si="610"/>
        <v>-</v>
      </c>
      <c r="G217" s="23" t="str">
        <f t="shared" si="610"/>
        <v>-</v>
      </c>
      <c r="I217" s="23" t="str">
        <f t="shared" si="610"/>
        <v>-</v>
      </c>
      <c r="J217" s="23" t="str">
        <f t="shared" si="610"/>
        <v>-</v>
      </c>
      <c r="K217" s="22">
        <f t="shared" si="611"/>
        <v>0</v>
      </c>
      <c r="L217" s="195">
        <f>INDEX('[2]TS BYDem'!J$10:J$59,MATCH($D217,'[2]TS BYDem'!D$10:D$59,0))</f>
        <v>1.4990333520535337</v>
      </c>
      <c r="M217" s="195">
        <f>IF(M$213=-1,N217,IF(M$213=99,BG217,IF(M$213=0,INDEX($E189:$M189,0,M$211),(INDEX($E189:$M189,0,M$213+1)-INDEX($E189:$M189,0,M$213))/(INDEX($E$185:$M$185,0,M$213+1)-INDEX($E$185:$M$185,0,M$213))+BG217)))</f>
        <v>0.77885260922987343</v>
      </c>
      <c r="N217" s="195">
        <f t="shared" ref="N217:AN217" si="620">IF(N$213=-1,O217,IF(N$213=99,M217,IF(N$213=0,INDEX($E189:$M189,0,N$211),(INDEX($E189:$M189,0,N$213+1)-INDEX($E189:$M189,0,N$213))/(INDEX($E$185:$M$185,0,N$213+1)-INDEX($E$185:$M$185,0,N$213))+M217)))</f>
        <v>0.93971372874215786</v>
      </c>
      <c r="O217" s="195">
        <f t="shared" si="620"/>
        <v>1.1005748482544424</v>
      </c>
      <c r="P217" s="195">
        <f t="shared" si="620"/>
        <v>0.95787739832517194</v>
      </c>
      <c r="Q217" s="195">
        <f t="shared" si="620"/>
        <v>0.81517994839590147</v>
      </c>
      <c r="R217" s="195">
        <f t="shared" si="620"/>
        <v>0.82466715160764559</v>
      </c>
      <c r="S217" s="195">
        <f t="shared" si="620"/>
        <v>0.83415435481938982</v>
      </c>
      <c r="T217" s="195">
        <f t="shared" si="620"/>
        <v>0.86283771464679471</v>
      </c>
      <c r="U217" s="195">
        <f t="shared" si="620"/>
        <v>0.8556093195052763</v>
      </c>
      <c r="V217" s="195">
        <f t="shared" si="620"/>
        <v>0.85710132000003914</v>
      </c>
      <c r="W217" s="195">
        <f t="shared" si="620"/>
        <v>0.85859332049480197</v>
      </c>
      <c r="X217" s="195">
        <f t="shared" si="620"/>
        <v>0.86008532098956481</v>
      </c>
      <c r="Y217" s="195">
        <f t="shared" si="620"/>
        <v>0.86157732148432764</v>
      </c>
      <c r="Z217" s="195">
        <f t="shared" si="620"/>
        <v>0.86306932197909048</v>
      </c>
      <c r="AA217" s="195">
        <f t="shared" si="620"/>
        <v>0.86456132247385331</v>
      </c>
      <c r="AB217" s="195">
        <f t="shared" si="620"/>
        <v>0.86605332296861615</v>
      </c>
      <c r="AC217" s="195">
        <f t="shared" si="620"/>
        <v>0.86754532346337898</v>
      </c>
      <c r="AD217" s="195">
        <f t="shared" si="620"/>
        <v>0.86903732395814148</v>
      </c>
      <c r="AE217" s="195">
        <f t="shared" si="620"/>
        <v>0.8635476174840524</v>
      </c>
      <c r="AF217" s="195">
        <f t="shared" si="620"/>
        <v>0.85805791100996331</v>
      </c>
      <c r="AG217" s="195">
        <f t="shared" si="620"/>
        <v>0.85256820453587423</v>
      </c>
      <c r="AH217" s="195">
        <f t="shared" si="620"/>
        <v>0.84707849806178515</v>
      </c>
      <c r="AI217" s="195">
        <f t="shared" si="620"/>
        <v>0.84158879158769606</v>
      </c>
      <c r="AJ217" s="195">
        <f t="shared" si="620"/>
        <v>0.83609908511360698</v>
      </c>
      <c r="AK217" s="195">
        <f t="shared" si="620"/>
        <v>0.83060937863951789</v>
      </c>
      <c r="AL217" s="195">
        <f t="shared" si="620"/>
        <v>0.82511967216542881</v>
      </c>
      <c r="AM217" s="195">
        <f t="shared" si="620"/>
        <v>0.81962996569133972</v>
      </c>
      <c r="AN217" s="195">
        <f t="shared" si="620"/>
        <v>0.81414025921725031</v>
      </c>
      <c r="AO217" s="311">
        <f t="shared" si="618"/>
        <v>0.77249388041323352</v>
      </c>
      <c r="AP217" s="195">
        <f t="shared" si="614"/>
        <v>0.73084750160921663</v>
      </c>
      <c r="AQ217" s="195">
        <f t="shared" si="614"/>
        <v>0.73084750160921663</v>
      </c>
      <c r="AR217" s="195">
        <f>IF(AR$213=-1,#REF!,IF(AR$213=99,AQ217,IF(AR$213=0,INDEX($E189:$M189,0,AR$211),(INDEX($E189:$M189,0,AR$213+1)-INDEX($E189:$M189,0,AR$213))/(INDEX($E$185:$M$185,0,AR$213+1)-INDEX($E$185:$M$185,0,AR$213))+AQ217)))</f>
        <v>0.73084750160921663</v>
      </c>
      <c r="AS217" s="195"/>
      <c r="AV217" s="195"/>
      <c r="AW217" s="195"/>
      <c r="BG217" s="195">
        <f t="shared" si="615"/>
        <v>0.61799148971758899</v>
      </c>
      <c r="BH217" s="115">
        <f t="shared" si="616"/>
        <v>0.5877400000000006</v>
      </c>
    </row>
    <row r="218" spans="1:60">
      <c r="B218" s="22" t="str">
        <f t="shared" si="607"/>
        <v>COM_PROJ</v>
      </c>
      <c r="C218" s="23" t="str">
        <f t="shared" si="608"/>
        <v>-</v>
      </c>
      <c r="D218" s="59" t="str">
        <f t="shared" si="609"/>
        <v>TPPUMBT</v>
      </c>
      <c r="E218" s="23" t="str">
        <f t="shared" si="610"/>
        <v>-</v>
      </c>
      <c r="G218" s="23" t="str">
        <f t="shared" si="610"/>
        <v>-</v>
      </c>
      <c r="I218" s="23" t="str">
        <f t="shared" si="610"/>
        <v>-</v>
      </c>
      <c r="J218" s="23" t="str">
        <f t="shared" si="610"/>
        <v>-</v>
      </c>
      <c r="K218" s="22">
        <f t="shared" si="611"/>
        <v>0</v>
      </c>
      <c r="L218" s="195">
        <f>INDEX('[2]TS BYDem'!J$10:J$59,MATCH($D218,'[2]TS BYDem'!D$10:D$59,0))</f>
        <v>6.4978638621089795</v>
      </c>
      <c r="M218" s="195">
        <f>IF(M$213=-1,N218,IF(M$213=99,BG218,IF(M$213=0,INDEX($E190:$M190,0,M$211),(INDEX($E190:$M190,0,M$213+1)-INDEX($E190:$M190,0,M$213))/(INDEX($E$185:$M$185,0,M$213+1)-INDEX($E$185:$M$185,0,M$213))+BG218)))</f>
        <v>6.2129452564268437</v>
      </c>
      <c r="N218" s="195">
        <f t="shared" ref="N218:AN218" si="621">IF(N$213=-1,O218,IF(N$213=99,M218,IF(N$213=0,INDEX($E190:$M190,0,N$211),(INDEX($E190:$M190,0,N$213+1)-INDEX($E190:$M190,0,N$213))/(INDEX($E$185:$M$185,0,N$213+1)-INDEX($E$185:$M$185,0,N$213))+M218)))</f>
        <v>6.5128577066124906</v>
      </c>
      <c r="O218" s="195">
        <f t="shared" si="621"/>
        <v>6.8127701567981385</v>
      </c>
      <c r="P218" s="195">
        <f t="shared" si="621"/>
        <v>7.2570480827064472</v>
      </c>
      <c r="Q218" s="195">
        <f t="shared" si="621"/>
        <v>7.701326008614755</v>
      </c>
      <c r="R218" s="195">
        <f t="shared" si="621"/>
        <v>7.7909553536291822</v>
      </c>
      <c r="S218" s="195">
        <f t="shared" si="621"/>
        <v>7.8805846986436094</v>
      </c>
      <c r="T218" s="195">
        <f t="shared" si="621"/>
        <v>8.1515676950825338</v>
      </c>
      <c r="U218" s="195">
        <f t="shared" si="621"/>
        <v>8.0832781994767302</v>
      </c>
      <c r="V218" s="195">
        <f t="shared" si="621"/>
        <v>8.0973737157339603</v>
      </c>
      <c r="W218" s="195">
        <f t="shared" si="621"/>
        <v>8.1114692319911903</v>
      </c>
      <c r="X218" s="195">
        <f t="shared" si="621"/>
        <v>8.1255647482484203</v>
      </c>
      <c r="Y218" s="195">
        <f t="shared" si="621"/>
        <v>8.1396602645056504</v>
      </c>
      <c r="Z218" s="195">
        <f t="shared" si="621"/>
        <v>8.1537557807628804</v>
      </c>
      <c r="AA218" s="195">
        <f t="shared" si="621"/>
        <v>8.1678512970201105</v>
      </c>
      <c r="AB218" s="195">
        <f t="shared" si="621"/>
        <v>8.1819468132773405</v>
      </c>
      <c r="AC218" s="195">
        <f t="shared" si="621"/>
        <v>8.1960423295345706</v>
      </c>
      <c r="AD218" s="195">
        <f t="shared" si="621"/>
        <v>8.2101378457918024</v>
      </c>
      <c r="AE218" s="195">
        <f t="shared" si="621"/>
        <v>8.1582744267617375</v>
      </c>
      <c r="AF218" s="195">
        <f t="shared" si="621"/>
        <v>8.1064110077316727</v>
      </c>
      <c r="AG218" s="195">
        <f t="shared" si="621"/>
        <v>8.0545475887016078</v>
      </c>
      <c r="AH218" s="195">
        <f t="shared" si="621"/>
        <v>8.0026841696715429</v>
      </c>
      <c r="AI218" s="195">
        <f t="shared" si="621"/>
        <v>7.9508207506414781</v>
      </c>
      <c r="AJ218" s="195">
        <f t="shared" si="621"/>
        <v>7.8989573316114132</v>
      </c>
      <c r="AK218" s="195">
        <f t="shared" si="621"/>
        <v>7.8470939125813484</v>
      </c>
      <c r="AL218" s="195">
        <f t="shared" si="621"/>
        <v>7.7952304935512835</v>
      </c>
      <c r="AM218" s="195">
        <f t="shared" si="621"/>
        <v>7.7433670745212186</v>
      </c>
      <c r="AN218" s="195">
        <f t="shared" si="621"/>
        <v>7.6915036554911547</v>
      </c>
      <c r="AO218" s="311">
        <f t="shared" si="618"/>
        <v>7.2980539136530131</v>
      </c>
      <c r="AP218" s="195">
        <f t="shared" si="614"/>
        <v>6.9046041718148716</v>
      </c>
      <c r="AQ218" s="195">
        <f t="shared" si="614"/>
        <v>6.9046041718148716</v>
      </c>
      <c r="AR218" s="195">
        <f>IF(AR$213=-1,#REF!,IF(AR$213=99,AQ218,IF(AR$213=0,INDEX($E190:$M190,0,AR$211),(INDEX($E190:$M190,0,AR$213+1)-INDEX($E190:$M190,0,AR$213))/(INDEX($E$185:$M$185,0,AR$213+1)-INDEX($E$185:$M$185,0,AR$213))+AQ218)))</f>
        <v>6.9046041718148716</v>
      </c>
      <c r="AS218" s="195"/>
      <c r="AV218" s="195"/>
      <c r="AW218" s="195"/>
      <c r="BG218" s="195">
        <f t="shared" si="615"/>
        <v>5.9130328062411968</v>
      </c>
      <c r="BH218" s="115">
        <f t="shared" si="616"/>
        <v>9.0003587067760918E-2</v>
      </c>
    </row>
    <row r="219" spans="1:60">
      <c r="B219" s="22" t="str">
        <f t="shared" si="607"/>
        <v>COM_PROJ</v>
      </c>
      <c r="C219" s="23" t="str">
        <f t="shared" si="608"/>
        <v>-</v>
      </c>
      <c r="D219" s="59" t="str">
        <f t="shared" si="609"/>
        <v>TPPUBRT</v>
      </c>
      <c r="E219" s="23" t="str">
        <f t="shared" si="610"/>
        <v>-</v>
      </c>
      <c r="G219" s="23" t="str">
        <f t="shared" si="610"/>
        <v>-</v>
      </c>
      <c r="I219" s="23" t="str">
        <f t="shared" si="610"/>
        <v>-</v>
      </c>
      <c r="J219" s="23" t="str">
        <f t="shared" si="610"/>
        <v>-</v>
      </c>
      <c r="K219" s="22">
        <f t="shared" si="611"/>
        <v>0</v>
      </c>
      <c r="L219" s="195">
        <f>INDEX('[2]TS BYDem'!J$10:J$59,MATCH($D219,'[2]TS BYDem'!D$10:D$59,0))</f>
        <v>0</v>
      </c>
      <c r="M219" s="195">
        <f>IF(M$213=-1,N219,IF(M$213=99,BG219,IF(M$213=0,INDEX($E191:$M191,0,M$211),(INDEX($E191:$M191,0,M$213+1)-INDEX($E191:$M191,0,M$213))/(INDEX($E$185:$M$185,0,M$213+1)-INDEX($E$185:$M$185,0,M$213))+BG219)))</f>
        <v>2.4481641737668241E-2</v>
      </c>
      <c r="N219" s="195">
        <f t="shared" ref="N219:AN219" si="622">IF(N$213=-1,O219,IF(N$213=99,M219,IF(N$213=0,INDEX($E191:$M191,0,N$211),(INDEX($E191:$M191,0,N$213+1)-INDEX($E191:$M191,0,N$213))/(INDEX($E$185:$M$185,0,N$213+1)-INDEX($E$185:$M$185,0,N$213))+M219)))</f>
        <v>2.7875678632381207E-2</v>
      </c>
      <c r="O219" s="195">
        <f t="shared" si="622"/>
        <v>3.1269715527094177E-2</v>
      </c>
      <c r="P219" s="195">
        <f t="shared" si="622"/>
        <v>4.7094773068544926E-2</v>
      </c>
      <c r="Q219" s="195">
        <f t="shared" si="622"/>
        <v>6.2919830609995675E-2</v>
      </c>
      <c r="R219" s="195">
        <f t="shared" si="622"/>
        <v>8.2239758862255277E-2</v>
      </c>
      <c r="S219" s="195">
        <f t="shared" si="622"/>
        <v>0.10155968711451488</v>
      </c>
      <c r="T219" s="195">
        <f t="shared" si="622"/>
        <v>0.10425069329756113</v>
      </c>
      <c r="U219" s="195">
        <f t="shared" si="622"/>
        <v>0.29374525410217339</v>
      </c>
      <c r="V219" s="195">
        <f t="shared" si="622"/>
        <v>0.32419393261645385</v>
      </c>
      <c r="W219" s="195">
        <f t="shared" si="622"/>
        <v>0.35464261113073431</v>
      </c>
      <c r="X219" s="195">
        <f t="shared" si="622"/>
        <v>0.38509128964501477</v>
      </c>
      <c r="Y219" s="195">
        <f t="shared" si="622"/>
        <v>0.41553996815929523</v>
      </c>
      <c r="Z219" s="195">
        <f t="shared" si="622"/>
        <v>0.44598864667357568</v>
      </c>
      <c r="AA219" s="195">
        <f t="shared" si="622"/>
        <v>0.47643732518785614</v>
      </c>
      <c r="AB219" s="195">
        <f t="shared" si="622"/>
        <v>0.50688600370213666</v>
      </c>
      <c r="AC219" s="195">
        <f t="shared" si="622"/>
        <v>0.53733468221641711</v>
      </c>
      <c r="AD219" s="195">
        <f t="shared" si="622"/>
        <v>0.56778336073069768</v>
      </c>
      <c r="AE219" s="195">
        <f t="shared" si="622"/>
        <v>0.61894654287448447</v>
      </c>
      <c r="AF219" s="195">
        <f t="shared" si="622"/>
        <v>0.67010972501827126</v>
      </c>
      <c r="AG219" s="195">
        <f t="shared" si="622"/>
        <v>0.72127290716205805</v>
      </c>
      <c r="AH219" s="195">
        <f t="shared" si="622"/>
        <v>0.77243608930584484</v>
      </c>
      <c r="AI219" s="195">
        <f t="shared" si="622"/>
        <v>0.82359927144963163</v>
      </c>
      <c r="AJ219" s="195">
        <f t="shared" si="622"/>
        <v>0.87476245359341842</v>
      </c>
      <c r="AK219" s="195">
        <f t="shared" si="622"/>
        <v>0.92592563573720521</v>
      </c>
      <c r="AL219" s="195">
        <f t="shared" si="622"/>
        <v>0.977088817880992</v>
      </c>
      <c r="AM219" s="195">
        <f t="shared" si="622"/>
        <v>1.0282520000247788</v>
      </c>
      <c r="AN219" s="195">
        <f t="shared" si="622"/>
        <v>1.0794151821685656</v>
      </c>
      <c r="AO219" s="311">
        <f t="shared" si="618"/>
        <v>1.3169948504595808</v>
      </c>
      <c r="AP219" s="195">
        <f t="shared" si="614"/>
        <v>1.5545745187505957</v>
      </c>
      <c r="AQ219" s="195">
        <f t="shared" si="614"/>
        <v>1.5545745187505957</v>
      </c>
      <c r="AR219" s="195">
        <f>IF(AR$213=-1,#REF!,IF(AR$213=99,AQ219,IF(AR$213=0,INDEX($E191:$M191,0,AR$211),(INDEX($E191:$M191,0,AR$213+1)-INDEX($E191:$M191,0,AR$213))/(INDEX($E$185:$M$185,0,AR$213+1)-INDEX($E$185:$M$185,0,AR$213))+AQ219)))</f>
        <v>1.5545745187505957</v>
      </c>
      <c r="AS219" s="195"/>
      <c r="AV219" s="195"/>
      <c r="AW219" s="195"/>
      <c r="BG219" s="195">
        <f t="shared" si="615"/>
        <v>2.1087604842955274E-2</v>
      </c>
      <c r="BH219" s="115" t="e">
        <f t="shared" si="616"/>
        <v>#DIV/0!</v>
      </c>
    </row>
    <row r="220" spans="1:60">
      <c r="B220" s="22" t="str">
        <f t="shared" si="607"/>
        <v>COM_PROJ</v>
      </c>
      <c r="C220" s="23" t="str">
        <f t="shared" si="608"/>
        <v>-</v>
      </c>
      <c r="D220" s="59" t="str">
        <f t="shared" si="609"/>
        <v>TPPUMER</v>
      </c>
      <c r="E220" s="23" t="str">
        <f t="shared" si="610"/>
        <v>-</v>
      </c>
      <c r="G220" s="23" t="str">
        <f t="shared" si="610"/>
        <v>-</v>
      </c>
      <c r="I220" s="23" t="str">
        <f t="shared" si="610"/>
        <v>-</v>
      </c>
      <c r="J220" s="23" t="str">
        <f t="shared" si="610"/>
        <v>-</v>
      </c>
      <c r="K220" s="22">
        <f t="shared" si="611"/>
        <v>0</v>
      </c>
      <c r="L220" s="195">
        <f>INDEX('[2]TS BYDem'!J$10:J$59,MATCH($D220,'[2]TS BYDem'!D$10:D$59,0))</f>
        <v>15.8</v>
      </c>
      <c r="M220" s="195">
        <f>IF(M$213=-1,N220,IF(M$213=99,BG220,IF(M$213=0,INDEX($E192:$M192,0,M$211),(INDEX($E192:$M192,0,M$213+1)-INDEX($E192:$M192,0,M$213))/(INDEX($E$185:$M$185,0,M$213+1)-INDEX($E$185:$M$185,0,M$213))+BG220)))</f>
        <v>13.600515897817941</v>
      </c>
      <c r="N220" s="195">
        <f t="shared" ref="N220:AN220" si="623">IF(N$213=-1,O220,IF(N$213=99,M220,IF(N$213=0,INDEX($E192:$M192,0,N$211),(INDEX($E192:$M192,0,N$213+1)-INDEX($E192:$M192,0,N$213))/(INDEX($E$185:$M$185,0,N$213+1)-INDEX($E$185:$M$185,0,N$213))+M220)))</f>
        <v>12.823088471306509</v>
      </c>
      <c r="O220" s="195">
        <f t="shared" si="623"/>
        <v>12.045661044795077</v>
      </c>
      <c r="P220" s="195">
        <f t="shared" si="623"/>
        <v>10.77345691085338</v>
      </c>
      <c r="Q220" s="195">
        <f t="shared" si="623"/>
        <v>9.5012527769116826</v>
      </c>
      <c r="R220" s="195">
        <f t="shared" si="623"/>
        <v>9.6118299765080266</v>
      </c>
      <c r="S220" s="195">
        <f t="shared" si="623"/>
        <v>9.7224071761043689</v>
      </c>
      <c r="T220" s="195">
        <f t="shared" si="623"/>
        <v>10.056723363281892</v>
      </c>
      <c r="U220" s="195">
        <f t="shared" si="623"/>
        <v>9.9724734874770302</v>
      </c>
      <c r="V220" s="195">
        <f t="shared" si="623"/>
        <v>9.9898633581085559</v>
      </c>
      <c r="W220" s="195">
        <f t="shared" si="623"/>
        <v>10.007253228740081</v>
      </c>
      <c r="X220" s="195">
        <f t="shared" si="623"/>
        <v>10.024643099371607</v>
      </c>
      <c r="Y220" s="195">
        <f t="shared" si="623"/>
        <v>10.042032970003133</v>
      </c>
      <c r="Z220" s="195">
        <f t="shared" si="623"/>
        <v>10.059422840634658</v>
      </c>
      <c r="AA220" s="195">
        <f t="shared" si="623"/>
        <v>10.076812711266184</v>
      </c>
      <c r="AB220" s="195">
        <f t="shared" si="623"/>
        <v>10.09420258189771</v>
      </c>
      <c r="AC220" s="195">
        <f t="shared" si="623"/>
        <v>10.111592452529235</v>
      </c>
      <c r="AD220" s="195">
        <f t="shared" si="623"/>
        <v>10.128982323160761</v>
      </c>
      <c r="AE220" s="195">
        <f t="shared" si="623"/>
        <v>10.064997568648574</v>
      </c>
      <c r="AF220" s="195">
        <f t="shared" si="623"/>
        <v>10.001012814136386</v>
      </c>
      <c r="AG220" s="195">
        <f t="shared" si="623"/>
        <v>9.9370280596241987</v>
      </c>
      <c r="AH220" s="195">
        <f t="shared" si="623"/>
        <v>9.8730433051120112</v>
      </c>
      <c r="AI220" s="195">
        <f t="shared" si="623"/>
        <v>9.8090585505998238</v>
      </c>
      <c r="AJ220" s="195">
        <f t="shared" si="623"/>
        <v>9.7450737960876364</v>
      </c>
      <c r="AK220" s="195">
        <f t="shared" si="623"/>
        <v>9.6810890415754489</v>
      </c>
      <c r="AL220" s="195">
        <f t="shared" si="623"/>
        <v>9.6171042870632615</v>
      </c>
      <c r="AM220" s="195">
        <f t="shared" si="623"/>
        <v>9.553119532551074</v>
      </c>
      <c r="AN220" s="195">
        <f t="shared" si="623"/>
        <v>9.4891347780388884</v>
      </c>
      <c r="AO220" s="311">
        <f t="shared" si="618"/>
        <v>9.0037293494109889</v>
      </c>
      <c r="AP220" s="195">
        <f t="shared" si="614"/>
        <v>8.5183239207830912</v>
      </c>
      <c r="AQ220" s="195">
        <f t="shared" si="614"/>
        <v>8.5183239207830912</v>
      </c>
      <c r="AR220" s="195">
        <f>IF(AR$213=-1,#REF!,IF(AR$213=99,AQ220,IF(AR$213=0,INDEX($E192:$M192,0,AR$211),(INDEX($E192:$M192,0,AR$213+1)-INDEX($E192:$M192,0,AR$213))/(INDEX($E$185:$M$185,0,AR$213+1)-INDEX($E$185:$M$185,0,AR$213))+AQ220)))</f>
        <v>8.5183239207830912</v>
      </c>
      <c r="AS220" s="195"/>
      <c r="AV220" s="195"/>
      <c r="AW220" s="195"/>
      <c r="BG220" s="195">
        <f t="shared" si="615"/>
        <v>14.377943324329372</v>
      </c>
      <c r="BH220" s="115">
        <f t="shared" si="616"/>
        <v>9.0003587067761279E-2</v>
      </c>
    </row>
    <row r="221" spans="1:60">
      <c r="B221" s="22" t="str">
        <f t="shared" si="607"/>
        <v>COM_PROJ</v>
      </c>
      <c r="C221" s="23" t="str">
        <f t="shared" si="608"/>
        <v>-</v>
      </c>
      <c r="D221" s="59" t="str">
        <f t="shared" si="609"/>
        <v>TPPUGAT</v>
      </c>
      <c r="E221" s="23" t="str">
        <f t="shared" si="610"/>
        <v>-</v>
      </c>
      <c r="G221" s="23" t="str">
        <f t="shared" si="610"/>
        <v>-</v>
      </c>
      <c r="I221" s="23" t="str">
        <f t="shared" si="610"/>
        <v>-</v>
      </c>
      <c r="J221" s="23" t="str">
        <f t="shared" si="610"/>
        <v>-</v>
      </c>
      <c r="K221" s="22">
        <f t="shared" si="611"/>
        <v>0</v>
      </c>
      <c r="L221" s="195">
        <f>INDEX('[2]TS BYDem'!J$10:J$59,MATCH($D221,'[2]TS BYDem'!D$10:D$59,0))</f>
        <v>0</v>
      </c>
      <c r="M221" s="195">
        <f>IF(M$213=-1,N221,IF(M$213=99,BG221,IF(M$213=0,INDEX($E193:$M193,0,M$211),(INDEX($E193:$M193,0,M$213+1)-INDEX($E193:$M193,0,M$213))/(INDEX($E$185:$M$185,0,M$213+1)-INDEX($E$185:$M$185,0,M$213))+BG221)))</f>
        <v>0.55248564192940541</v>
      </c>
      <c r="N221" s="195">
        <f t="shared" ref="N221:AN221" si="624">IF(N$213=-1,O221,IF(N$213=99,M221,IF(N$213=0,INDEX($E193:$M193,0,N$211),(INDEX($E193:$M193,0,N$213+1)-INDEX($E193:$M193,0,N$213))/(INDEX($E$185:$M$185,0,N$213+1)-INDEX($E$185:$M$185,0,N$213))+M221)))</f>
        <v>0.57044550348095591</v>
      </c>
      <c r="O221" s="195">
        <f t="shared" si="624"/>
        <v>0.58840536503250629</v>
      </c>
      <c r="P221" s="195">
        <f t="shared" si="624"/>
        <v>0.60651580293507878</v>
      </c>
      <c r="Q221" s="195">
        <f t="shared" si="624"/>
        <v>0.62462624083765128</v>
      </c>
      <c r="R221" s="195">
        <f t="shared" si="624"/>
        <v>0.64844460531963566</v>
      </c>
      <c r="S221" s="195">
        <f t="shared" si="624"/>
        <v>0.67226296980162004</v>
      </c>
      <c r="T221" s="195">
        <f t="shared" si="624"/>
        <v>0.64616666359533781</v>
      </c>
      <c r="U221" s="195">
        <f t="shared" si="624"/>
        <v>0.64672402075743496</v>
      </c>
      <c r="V221" s="195">
        <f t="shared" si="624"/>
        <v>0.66645524691108848</v>
      </c>
      <c r="W221" s="195">
        <f t="shared" si="624"/>
        <v>0.68618647306474201</v>
      </c>
      <c r="X221" s="195">
        <f t="shared" si="624"/>
        <v>0.70591769921839553</v>
      </c>
      <c r="Y221" s="195">
        <f t="shared" si="624"/>
        <v>0.72564892537204906</v>
      </c>
      <c r="Z221" s="195">
        <f t="shared" si="624"/>
        <v>0.74538015152570258</v>
      </c>
      <c r="AA221" s="195">
        <f t="shared" si="624"/>
        <v>0.76511137767935611</v>
      </c>
      <c r="AB221" s="195">
        <f t="shared" si="624"/>
        <v>0.78484260383300963</v>
      </c>
      <c r="AC221" s="195">
        <f t="shared" si="624"/>
        <v>0.80457382998666316</v>
      </c>
      <c r="AD221" s="195">
        <f t="shared" si="624"/>
        <v>0.82430505614031691</v>
      </c>
      <c r="AE221" s="195">
        <f t="shared" si="624"/>
        <v>0.84744076044105265</v>
      </c>
      <c r="AF221" s="195">
        <f t="shared" si="624"/>
        <v>0.8705764647417884</v>
      </c>
      <c r="AG221" s="195">
        <f t="shared" si="624"/>
        <v>0.89371216904252415</v>
      </c>
      <c r="AH221" s="195">
        <f t="shared" si="624"/>
        <v>0.9168478733432599</v>
      </c>
      <c r="AI221" s="195">
        <f t="shared" si="624"/>
        <v>0.93998357764399565</v>
      </c>
      <c r="AJ221" s="195">
        <f t="shared" si="624"/>
        <v>0.9631192819447314</v>
      </c>
      <c r="AK221" s="195">
        <f t="shared" si="624"/>
        <v>0.98625498624546715</v>
      </c>
      <c r="AL221" s="195">
        <f t="shared" si="624"/>
        <v>1.0093906905462029</v>
      </c>
      <c r="AM221" s="195">
        <f t="shared" si="624"/>
        <v>1.0325263948469388</v>
      </c>
      <c r="AN221" s="195">
        <f t="shared" si="624"/>
        <v>1.0556620991476746</v>
      </c>
      <c r="AO221" s="311">
        <f t="shared" si="618"/>
        <v>1.1651513669786351</v>
      </c>
      <c r="AP221" s="195">
        <f t="shared" si="614"/>
        <v>1.2746406348095956</v>
      </c>
      <c r="AQ221" s="195">
        <f t="shared" si="614"/>
        <v>1.2746406348095956</v>
      </c>
      <c r="AR221" s="195">
        <f>IF(AR$213=-1,#REF!,IF(AR$213=99,AQ221,IF(AR$213=0,INDEX($E193:$M193,0,AR$211),(INDEX($E193:$M193,0,AR$213+1)-INDEX($E193:$M193,0,AR$213))/(INDEX($E$185:$M$185,0,AR$213+1)-INDEX($E$185:$M$185,0,AR$213))+AQ221)))</f>
        <v>1.2746406348095956</v>
      </c>
      <c r="AS221" s="195"/>
      <c r="AV221" s="195"/>
      <c r="AW221" s="195"/>
      <c r="BG221" s="195">
        <f t="shared" si="615"/>
        <v>0.53452578037785492</v>
      </c>
      <c r="BH221" s="115" t="e">
        <f t="shared" si="616"/>
        <v>#DIV/0!</v>
      </c>
    </row>
    <row r="222" spans="1:60">
      <c r="A222" s="194" t="s">
        <v>16</v>
      </c>
      <c r="L222" s="194"/>
      <c r="O222" s="41"/>
    </row>
    <row r="223" spans="1:60" s="200" customFormat="1">
      <c r="A223" s="121" t="s">
        <v>16</v>
      </c>
      <c r="B223" s="200" t="s">
        <v>392</v>
      </c>
      <c r="C223" s="200">
        <v>1</v>
      </c>
      <c r="D223" s="200">
        <v>2006</v>
      </c>
      <c r="E223" s="200">
        <f>F4</f>
        <v>2015</v>
      </c>
      <c r="F223" s="200">
        <v>2017</v>
      </c>
      <c r="G223" s="200">
        <v>2020</v>
      </c>
      <c r="H223" s="200">
        <v>2030</v>
      </c>
      <c r="I223" s="200">
        <v>2040</v>
      </c>
      <c r="J223" s="247">
        <v>2050</v>
      </c>
      <c r="K223" s="121">
        <f>MATCH(L$209,$C$210:$K$210,$C223)</f>
        <v>1</v>
      </c>
      <c r="L223" s="200">
        <f t="shared" ref="L223:AY223" si="625">MATCH(K$227,$D$223:$J$223,$C223)</f>
        <v>1</v>
      </c>
      <c r="M223" s="200">
        <f t="shared" si="625"/>
        <v>1</v>
      </c>
      <c r="N223" s="200">
        <f t="shared" si="625"/>
        <v>2</v>
      </c>
      <c r="O223" s="200">
        <f t="shared" si="625"/>
        <v>2</v>
      </c>
      <c r="P223" s="200">
        <f t="shared" si="625"/>
        <v>3</v>
      </c>
      <c r="Q223" s="200">
        <f t="shared" si="625"/>
        <v>3</v>
      </c>
      <c r="R223" s="200">
        <f t="shared" si="625"/>
        <v>3</v>
      </c>
      <c r="S223" s="200">
        <f t="shared" si="625"/>
        <v>4</v>
      </c>
      <c r="T223" s="200">
        <f t="shared" si="625"/>
        <v>4</v>
      </c>
      <c r="U223" s="200">
        <f t="shared" si="625"/>
        <v>4</v>
      </c>
      <c r="V223" s="200">
        <f t="shared" si="625"/>
        <v>4</v>
      </c>
      <c r="W223" s="200">
        <f t="shared" si="625"/>
        <v>4</v>
      </c>
      <c r="X223" s="200">
        <f t="shared" si="625"/>
        <v>4</v>
      </c>
      <c r="Y223" s="200">
        <f t="shared" si="625"/>
        <v>4</v>
      </c>
      <c r="Z223" s="200">
        <f t="shared" si="625"/>
        <v>4</v>
      </c>
      <c r="AA223" s="200">
        <f t="shared" si="625"/>
        <v>4</v>
      </c>
      <c r="AB223" s="200">
        <f t="shared" si="625"/>
        <v>4</v>
      </c>
      <c r="AC223" s="200">
        <f t="shared" si="625"/>
        <v>5</v>
      </c>
      <c r="AD223" s="200">
        <f t="shared" si="625"/>
        <v>5</v>
      </c>
      <c r="AE223" s="200">
        <f t="shared" si="625"/>
        <v>5</v>
      </c>
      <c r="AF223" s="200">
        <f t="shared" si="625"/>
        <v>5</v>
      </c>
      <c r="AG223" s="200">
        <f t="shared" si="625"/>
        <v>5</v>
      </c>
      <c r="AH223" s="200">
        <f t="shared" si="625"/>
        <v>5</v>
      </c>
      <c r="AI223" s="200">
        <f t="shared" si="625"/>
        <v>5</v>
      </c>
      <c r="AJ223" s="200">
        <f t="shared" si="625"/>
        <v>5</v>
      </c>
      <c r="AK223" s="200">
        <f t="shared" si="625"/>
        <v>5</v>
      </c>
      <c r="AL223" s="200">
        <f t="shared" si="625"/>
        <v>5</v>
      </c>
      <c r="AM223" s="200">
        <f t="shared" si="625"/>
        <v>6</v>
      </c>
      <c r="AN223" s="200">
        <f t="shared" si="625"/>
        <v>6</v>
      </c>
      <c r="AO223" s="200">
        <f t="shared" si="625"/>
        <v>6</v>
      </c>
      <c r="AP223" s="200">
        <f t="shared" si="625"/>
        <v>6</v>
      </c>
      <c r="AQ223" s="200">
        <f t="shared" si="625"/>
        <v>6</v>
      </c>
      <c r="AR223" s="200">
        <f t="shared" si="625"/>
        <v>6</v>
      </c>
      <c r="AS223" s="200">
        <f t="shared" si="625"/>
        <v>6</v>
      </c>
      <c r="AT223" s="200">
        <f t="shared" si="625"/>
        <v>6</v>
      </c>
      <c r="AU223" s="200">
        <f t="shared" si="625"/>
        <v>6</v>
      </c>
      <c r="AV223" s="200">
        <f t="shared" si="625"/>
        <v>6</v>
      </c>
      <c r="AW223" s="200">
        <f t="shared" si="625"/>
        <v>7</v>
      </c>
      <c r="AX223" s="200">
        <f t="shared" si="625"/>
        <v>7</v>
      </c>
      <c r="AY223" s="200">
        <f t="shared" si="625"/>
        <v>7</v>
      </c>
    </row>
    <row r="224" spans="1:60">
      <c r="A224" s="41" t="s">
        <v>16</v>
      </c>
      <c r="B224" s="194" t="s">
        <v>393</v>
      </c>
      <c r="C224" s="194">
        <v>0</v>
      </c>
      <c r="D224" s="194">
        <f t="shared" ref="D224:J224" si="626">INDEX($D223:$J223,0,COUNT($D223:$J223)-D225)</f>
        <v>2050</v>
      </c>
      <c r="E224" s="194">
        <f t="shared" si="626"/>
        <v>2040</v>
      </c>
      <c r="F224" s="194">
        <f t="shared" si="626"/>
        <v>2030</v>
      </c>
      <c r="G224" s="194">
        <f t="shared" si="626"/>
        <v>2020</v>
      </c>
      <c r="H224" s="194">
        <f t="shared" si="626"/>
        <v>2017</v>
      </c>
      <c r="I224" s="194">
        <f t="shared" si="626"/>
        <v>2015</v>
      </c>
      <c r="J224" s="128">
        <f t="shared" si="626"/>
        <v>2006</v>
      </c>
      <c r="K224" s="41">
        <f>MATCH(L$209,$C$210:$K$210,$C224)</f>
        <v>1</v>
      </c>
      <c r="L224" s="194" t="e">
        <f t="shared" ref="L224:AY224" si="627">MATCH(K$227,$D$223:$J$223,$C224)</f>
        <v>#N/A</v>
      </c>
      <c r="M224" s="194" t="e">
        <f t="shared" si="627"/>
        <v>#N/A</v>
      </c>
      <c r="N224" s="194">
        <f t="shared" si="627"/>
        <v>2</v>
      </c>
      <c r="O224" s="194" t="e">
        <f t="shared" si="627"/>
        <v>#N/A</v>
      </c>
      <c r="P224" s="194">
        <f t="shared" si="627"/>
        <v>3</v>
      </c>
      <c r="Q224" s="194" t="e">
        <f t="shared" si="627"/>
        <v>#N/A</v>
      </c>
      <c r="R224" s="194" t="e">
        <f t="shared" si="627"/>
        <v>#N/A</v>
      </c>
      <c r="S224" s="194">
        <f t="shared" si="627"/>
        <v>4</v>
      </c>
      <c r="T224" s="194" t="e">
        <f t="shared" si="627"/>
        <v>#N/A</v>
      </c>
      <c r="U224" s="194" t="e">
        <f t="shared" si="627"/>
        <v>#N/A</v>
      </c>
      <c r="V224" s="194" t="e">
        <f t="shared" si="627"/>
        <v>#N/A</v>
      </c>
      <c r="W224" s="194" t="e">
        <f t="shared" si="627"/>
        <v>#N/A</v>
      </c>
      <c r="X224" s="194" t="e">
        <f t="shared" si="627"/>
        <v>#N/A</v>
      </c>
      <c r="Y224" s="194" t="e">
        <f t="shared" si="627"/>
        <v>#N/A</v>
      </c>
      <c r="Z224" s="194" t="e">
        <f t="shared" si="627"/>
        <v>#N/A</v>
      </c>
      <c r="AA224" s="194" t="e">
        <f t="shared" si="627"/>
        <v>#N/A</v>
      </c>
      <c r="AB224" s="194" t="e">
        <f t="shared" si="627"/>
        <v>#N/A</v>
      </c>
      <c r="AC224" s="194">
        <f t="shared" si="627"/>
        <v>5</v>
      </c>
      <c r="AD224" s="194" t="e">
        <f t="shared" si="627"/>
        <v>#N/A</v>
      </c>
      <c r="AE224" s="194" t="e">
        <f t="shared" si="627"/>
        <v>#N/A</v>
      </c>
      <c r="AF224" s="194" t="e">
        <f t="shared" si="627"/>
        <v>#N/A</v>
      </c>
      <c r="AG224" s="194" t="e">
        <f t="shared" si="627"/>
        <v>#N/A</v>
      </c>
      <c r="AH224" s="194" t="e">
        <f t="shared" si="627"/>
        <v>#N/A</v>
      </c>
      <c r="AI224" s="194" t="e">
        <f t="shared" si="627"/>
        <v>#N/A</v>
      </c>
      <c r="AJ224" s="194" t="e">
        <f t="shared" si="627"/>
        <v>#N/A</v>
      </c>
      <c r="AK224" s="194" t="e">
        <f t="shared" si="627"/>
        <v>#N/A</v>
      </c>
      <c r="AL224" s="194" t="e">
        <f t="shared" si="627"/>
        <v>#N/A</v>
      </c>
      <c r="AM224" s="194">
        <f t="shared" si="627"/>
        <v>6</v>
      </c>
      <c r="AN224" s="194" t="e">
        <f t="shared" si="627"/>
        <v>#N/A</v>
      </c>
      <c r="AO224" s="194" t="e">
        <f t="shared" si="627"/>
        <v>#N/A</v>
      </c>
      <c r="AP224" s="194" t="e">
        <f t="shared" si="627"/>
        <v>#N/A</v>
      </c>
      <c r="AQ224" s="194" t="e">
        <f t="shared" si="627"/>
        <v>#N/A</v>
      </c>
      <c r="AR224" s="194" t="e">
        <f t="shared" si="627"/>
        <v>#N/A</v>
      </c>
      <c r="AS224" s="194" t="e">
        <f t="shared" si="627"/>
        <v>#N/A</v>
      </c>
      <c r="AT224" s="194" t="e">
        <f t="shared" si="627"/>
        <v>#N/A</v>
      </c>
      <c r="AU224" s="194" t="e">
        <f t="shared" si="627"/>
        <v>#N/A</v>
      </c>
      <c r="AV224" s="194" t="e">
        <f t="shared" si="627"/>
        <v>#N/A</v>
      </c>
      <c r="AW224" s="194">
        <f t="shared" si="627"/>
        <v>7</v>
      </c>
      <c r="AX224" s="194" t="e">
        <f t="shared" si="627"/>
        <v>#N/A</v>
      </c>
      <c r="AY224" s="194" t="e">
        <f t="shared" si="627"/>
        <v>#N/A</v>
      </c>
    </row>
    <row r="225" spans="1:58">
      <c r="A225" s="41" t="s">
        <v>16</v>
      </c>
      <c r="B225" s="194" t="s">
        <v>391</v>
      </c>
      <c r="C225" s="194">
        <v>-1</v>
      </c>
      <c r="D225" s="194">
        <v>0</v>
      </c>
      <c r="E225" s="194">
        <v>1</v>
      </c>
      <c r="F225" s="197">
        <v>2</v>
      </c>
      <c r="G225" s="194">
        <v>3</v>
      </c>
      <c r="H225" s="194">
        <v>4</v>
      </c>
      <c r="I225" s="194">
        <v>5</v>
      </c>
      <c r="J225" s="194">
        <v>6</v>
      </c>
      <c r="K225" s="194">
        <f>MATCH(L$209,$C$211:$K$211,$C225)</f>
        <v>9</v>
      </c>
      <c r="L225" s="194">
        <f t="shared" ref="L225:AY225" si="628">MATCH(K$227,$D$224:$J$224,$C225)</f>
        <v>6</v>
      </c>
      <c r="M225" s="194">
        <f t="shared" si="628"/>
        <v>6</v>
      </c>
      <c r="N225" s="194">
        <f t="shared" si="628"/>
        <v>6</v>
      </c>
      <c r="O225" s="194">
        <f t="shared" si="628"/>
        <v>5</v>
      </c>
      <c r="P225" s="194">
        <f t="shared" si="628"/>
        <v>5</v>
      </c>
      <c r="Q225" s="194">
        <f t="shared" si="628"/>
        <v>4</v>
      </c>
      <c r="R225" s="194">
        <f t="shared" si="628"/>
        <v>4</v>
      </c>
      <c r="S225" s="194">
        <f t="shared" si="628"/>
        <v>4</v>
      </c>
      <c r="T225" s="194">
        <f t="shared" si="628"/>
        <v>3</v>
      </c>
      <c r="U225" s="194">
        <f t="shared" si="628"/>
        <v>3</v>
      </c>
      <c r="V225" s="194">
        <f t="shared" si="628"/>
        <v>3</v>
      </c>
      <c r="W225" s="194">
        <f t="shared" si="628"/>
        <v>3</v>
      </c>
      <c r="X225" s="194">
        <f t="shared" si="628"/>
        <v>3</v>
      </c>
      <c r="Y225" s="194">
        <f t="shared" si="628"/>
        <v>3</v>
      </c>
      <c r="Z225" s="194">
        <f t="shared" si="628"/>
        <v>3</v>
      </c>
      <c r="AA225" s="194">
        <f t="shared" si="628"/>
        <v>3</v>
      </c>
      <c r="AB225" s="194">
        <f t="shared" si="628"/>
        <v>3</v>
      </c>
      <c r="AC225" s="194">
        <f t="shared" si="628"/>
        <v>3</v>
      </c>
      <c r="AD225" s="194">
        <f t="shared" si="628"/>
        <v>2</v>
      </c>
      <c r="AE225" s="194">
        <f t="shared" si="628"/>
        <v>2</v>
      </c>
      <c r="AF225" s="194">
        <f t="shared" si="628"/>
        <v>2</v>
      </c>
      <c r="AG225" s="194">
        <f t="shared" si="628"/>
        <v>2</v>
      </c>
      <c r="AH225" s="194">
        <f t="shared" si="628"/>
        <v>2</v>
      </c>
      <c r="AI225" s="194">
        <f t="shared" si="628"/>
        <v>2</v>
      </c>
      <c r="AJ225" s="194">
        <f t="shared" si="628"/>
        <v>2</v>
      </c>
      <c r="AK225" s="194">
        <f t="shared" si="628"/>
        <v>2</v>
      </c>
      <c r="AL225" s="194">
        <f t="shared" si="628"/>
        <v>2</v>
      </c>
      <c r="AM225" s="194">
        <f t="shared" si="628"/>
        <v>2</v>
      </c>
      <c r="AN225" s="194">
        <f t="shared" si="628"/>
        <v>1</v>
      </c>
      <c r="AO225" s="194">
        <f t="shared" si="628"/>
        <v>1</v>
      </c>
      <c r="AP225" s="194">
        <f t="shared" si="628"/>
        <v>1</v>
      </c>
      <c r="AQ225" s="194">
        <f t="shared" si="628"/>
        <v>1</v>
      </c>
      <c r="AR225" s="194">
        <f t="shared" si="628"/>
        <v>1</v>
      </c>
      <c r="AS225" s="194">
        <f t="shared" si="628"/>
        <v>1</v>
      </c>
      <c r="AT225" s="194">
        <f t="shared" si="628"/>
        <v>1</v>
      </c>
      <c r="AU225" s="194">
        <f t="shared" si="628"/>
        <v>1</v>
      </c>
      <c r="AV225" s="194">
        <f t="shared" si="628"/>
        <v>1</v>
      </c>
      <c r="AW225" s="194">
        <f t="shared" si="628"/>
        <v>1</v>
      </c>
      <c r="AX225" s="194" t="e">
        <f t="shared" si="628"/>
        <v>#N/A</v>
      </c>
      <c r="AY225" s="194" t="e">
        <f t="shared" si="628"/>
        <v>#N/A</v>
      </c>
    </row>
    <row r="226" spans="1:58" s="124" customFormat="1">
      <c r="A226" s="123" t="s">
        <v>16</v>
      </c>
      <c r="B226" s="124" t="s">
        <v>394</v>
      </c>
      <c r="K226" s="198">
        <f>IF(ISNA(K223),-1,IF(ISNA(K225),99,IF(ISNA(K224),K223,0)))</f>
        <v>0</v>
      </c>
      <c r="L226" s="198">
        <f>IF(ISNA(L223),-1,IF(ISNA(L225),99,IF(ISNA(L224),L223,0)))</f>
        <v>1</v>
      </c>
      <c r="M226" s="198">
        <f t="shared" ref="M226:AY226" si="629">IF(ISNA(M223),-1,IF(ISNA(M225),99,IF(ISNA(M224),M223,0)))</f>
        <v>1</v>
      </c>
      <c r="N226" s="198">
        <f t="shared" si="629"/>
        <v>0</v>
      </c>
      <c r="O226" s="198">
        <f t="shared" si="629"/>
        <v>2</v>
      </c>
      <c r="P226" s="198">
        <f t="shared" si="629"/>
        <v>0</v>
      </c>
      <c r="Q226" s="198">
        <f t="shared" si="629"/>
        <v>3</v>
      </c>
      <c r="R226" s="198">
        <f t="shared" si="629"/>
        <v>3</v>
      </c>
      <c r="S226" s="198">
        <f t="shared" si="629"/>
        <v>0</v>
      </c>
      <c r="T226" s="198">
        <f t="shared" si="629"/>
        <v>4</v>
      </c>
      <c r="U226" s="198">
        <f t="shared" si="629"/>
        <v>4</v>
      </c>
      <c r="V226" s="198">
        <f t="shared" si="629"/>
        <v>4</v>
      </c>
      <c r="W226" s="198">
        <f t="shared" si="629"/>
        <v>4</v>
      </c>
      <c r="X226" s="198">
        <f t="shared" si="629"/>
        <v>4</v>
      </c>
      <c r="Y226" s="198">
        <f t="shared" si="629"/>
        <v>4</v>
      </c>
      <c r="Z226" s="198">
        <f t="shared" si="629"/>
        <v>4</v>
      </c>
      <c r="AA226" s="198">
        <f t="shared" si="629"/>
        <v>4</v>
      </c>
      <c r="AB226" s="198">
        <f t="shared" si="629"/>
        <v>4</v>
      </c>
      <c r="AC226" s="198">
        <f t="shared" si="629"/>
        <v>0</v>
      </c>
      <c r="AD226" s="198">
        <f t="shared" si="629"/>
        <v>5</v>
      </c>
      <c r="AE226" s="198">
        <f t="shared" si="629"/>
        <v>5</v>
      </c>
      <c r="AF226" s="198">
        <f t="shared" si="629"/>
        <v>5</v>
      </c>
      <c r="AG226" s="198">
        <f t="shared" si="629"/>
        <v>5</v>
      </c>
      <c r="AH226" s="198">
        <f t="shared" si="629"/>
        <v>5</v>
      </c>
      <c r="AI226" s="198">
        <f t="shared" si="629"/>
        <v>5</v>
      </c>
      <c r="AJ226" s="198">
        <f t="shared" si="629"/>
        <v>5</v>
      </c>
      <c r="AK226" s="198">
        <f t="shared" si="629"/>
        <v>5</v>
      </c>
      <c r="AL226" s="198">
        <f t="shared" si="629"/>
        <v>5</v>
      </c>
      <c r="AM226" s="198">
        <f t="shared" si="629"/>
        <v>0</v>
      </c>
      <c r="AN226" s="198">
        <f t="shared" si="629"/>
        <v>6</v>
      </c>
      <c r="AO226" s="198">
        <f t="shared" si="629"/>
        <v>6</v>
      </c>
      <c r="AP226" s="198">
        <f t="shared" si="629"/>
        <v>6</v>
      </c>
      <c r="AQ226" s="198">
        <f t="shared" si="629"/>
        <v>6</v>
      </c>
      <c r="AR226" s="198">
        <f t="shared" si="629"/>
        <v>6</v>
      </c>
      <c r="AS226" s="198">
        <f t="shared" si="629"/>
        <v>6</v>
      </c>
      <c r="AT226" s="198">
        <f t="shared" si="629"/>
        <v>6</v>
      </c>
      <c r="AU226" s="198">
        <f t="shared" si="629"/>
        <v>6</v>
      </c>
      <c r="AV226" s="198">
        <f t="shared" si="629"/>
        <v>6</v>
      </c>
      <c r="AW226" s="198">
        <f t="shared" si="629"/>
        <v>0</v>
      </c>
      <c r="AX226" s="198">
        <f t="shared" si="629"/>
        <v>99</v>
      </c>
      <c r="AY226" s="198">
        <f t="shared" si="629"/>
        <v>99</v>
      </c>
      <c r="BA226" s="198"/>
      <c r="BB226" s="198"/>
      <c r="BC226" s="198"/>
      <c r="BD226" s="198"/>
      <c r="BE226" s="198"/>
      <c r="BF226" s="198"/>
    </row>
    <row r="227" spans="1:58">
      <c r="A227" s="194" t="s">
        <v>16</v>
      </c>
      <c r="C227" s="16"/>
      <c r="D227" s="16"/>
      <c r="E227" s="16"/>
      <c r="F227" s="16"/>
      <c r="G227" s="16"/>
      <c r="H227" s="16" t="s">
        <v>434</v>
      </c>
      <c r="I227" s="16"/>
      <c r="J227" s="18">
        <v>2012</v>
      </c>
      <c r="K227" s="18">
        <f>1+J227</f>
        <v>2013</v>
      </c>
      <c r="L227" s="18">
        <f t="shared" ref="L227:AV227" si="630">1+K227</f>
        <v>2014</v>
      </c>
      <c r="M227" s="18">
        <f>1+L227</f>
        <v>2015</v>
      </c>
      <c r="N227" s="18">
        <f t="shared" si="630"/>
        <v>2016</v>
      </c>
      <c r="O227" s="18">
        <f t="shared" si="630"/>
        <v>2017</v>
      </c>
      <c r="P227" s="18">
        <f t="shared" si="630"/>
        <v>2018</v>
      </c>
      <c r="Q227" s="18">
        <f t="shared" si="630"/>
        <v>2019</v>
      </c>
      <c r="R227" s="18">
        <f t="shared" si="630"/>
        <v>2020</v>
      </c>
      <c r="S227" s="18">
        <f t="shared" si="630"/>
        <v>2021</v>
      </c>
      <c r="T227" s="18">
        <f t="shared" si="630"/>
        <v>2022</v>
      </c>
      <c r="U227" s="18">
        <f t="shared" si="630"/>
        <v>2023</v>
      </c>
      <c r="V227" s="18">
        <f t="shared" si="630"/>
        <v>2024</v>
      </c>
      <c r="W227" s="18">
        <f t="shared" si="630"/>
        <v>2025</v>
      </c>
      <c r="X227" s="18">
        <f t="shared" si="630"/>
        <v>2026</v>
      </c>
      <c r="Y227" s="18">
        <f t="shared" si="630"/>
        <v>2027</v>
      </c>
      <c r="Z227" s="18">
        <f t="shared" si="630"/>
        <v>2028</v>
      </c>
      <c r="AA227" s="18">
        <f t="shared" si="630"/>
        <v>2029</v>
      </c>
      <c r="AB227" s="18">
        <f t="shared" si="630"/>
        <v>2030</v>
      </c>
      <c r="AC227" s="18">
        <f t="shared" si="630"/>
        <v>2031</v>
      </c>
      <c r="AD227" s="18">
        <f t="shared" si="630"/>
        <v>2032</v>
      </c>
      <c r="AE227" s="18">
        <f t="shared" si="630"/>
        <v>2033</v>
      </c>
      <c r="AF227" s="18">
        <f t="shared" si="630"/>
        <v>2034</v>
      </c>
      <c r="AG227" s="18">
        <f t="shared" si="630"/>
        <v>2035</v>
      </c>
      <c r="AH227" s="18">
        <f t="shared" si="630"/>
        <v>2036</v>
      </c>
      <c r="AI227" s="18">
        <f t="shared" si="630"/>
        <v>2037</v>
      </c>
      <c r="AJ227" s="18">
        <f t="shared" si="630"/>
        <v>2038</v>
      </c>
      <c r="AK227" s="18">
        <f t="shared" si="630"/>
        <v>2039</v>
      </c>
      <c r="AL227" s="18">
        <f t="shared" si="630"/>
        <v>2040</v>
      </c>
      <c r="AM227" s="18">
        <f t="shared" si="630"/>
        <v>2041</v>
      </c>
      <c r="AN227" s="18">
        <f t="shared" si="630"/>
        <v>2042</v>
      </c>
      <c r="AO227" s="18">
        <f t="shared" si="630"/>
        <v>2043</v>
      </c>
      <c r="AP227" s="18">
        <f t="shared" si="630"/>
        <v>2044</v>
      </c>
      <c r="AQ227" s="18">
        <f t="shared" si="630"/>
        <v>2045</v>
      </c>
      <c r="AR227" s="18">
        <f t="shared" si="630"/>
        <v>2046</v>
      </c>
      <c r="AS227" s="18">
        <f t="shared" si="630"/>
        <v>2047</v>
      </c>
      <c r="AT227" s="18">
        <f t="shared" si="630"/>
        <v>2048</v>
      </c>
      <c r="AU227" s="18">
        <f t="shared" si="630"/>
        <v>2049</v>
      </c>
      <c r="AV227" s="18">
        <f t="shared" si="630"/>
        <v>2050</v>
      </c>
      <c r="AW227" s="18">
        <v>2060</v>
      </c>
      <c r="AX227" s="18">
        <v>2070</v>
      </c>
      <c r="AZ227" s="18"/>
      <c r="BA227" s="18"/>
      <c r="BB227" s="18"/>
      <c r="BC227" s="18"/>
      <c r="BD227" s="18"/>
      <c r="BE227" s="18"/>
    </row>
    <row r="228" spans="1:58">
      <c r="A228" s="194" t="s">
        <v>16</v>
      </c>
      <c r="B228" s="22" t="str">
        <f t="shared" ref="B228:B233" si="631">IF(A228="*","","COM_PROJ")</f>
        <v/>
      </c>
      <c r="C228" s="23" t="str">
        <f t="shared" ref="C228:C233" si="632">IF($A228="*","","-")</f>
        <v/>
      </c>
      <c r="E228" s="23" t="str">
        <f t="shared" ref="E228:H233" si="633">IF($A228="*","","-")</f>
        <v/>
      </c>
      <c r="F228" s="23"/>
      <c r="G228" s="23" t="str">
        <f t="shared" si="633"/>
        <v/>
      </c>
      <c r="H228" s="23" t="str">
        <f t="shared" si="633"/>
        <v/>
      </c>
      <c r="I228" s="59" t="str">
        <f t="shared" ref="I228:I235" si="634">B161</f>
        <v>TPPRCAR</v>
      </c>
      <c r="J228" s="195">
        <f t="shared" ref="J228:J235" si="635">E161</f>
        <v>114.07873981990045</v>
      </c>
      <c r="K228" s="195">
        <f t="shared" ref="K228:AW228" si="636">IF(L$226=-1,L228,IF(L$226=99,J228,IF(L$226=0,INDEX($E161:$M161,0,L$224),(INDEX($E161:$M161,0,L$226+1)-INDEX($E161:$M161,0,L$226))/(INDEX($E$160:$M$160,0,L$226+1)-INDEX($E$160:$M$160,0,L$226))+J228)))</f>
        <v>117.63305541756978</v>
      </c>
      <c r="L228" s="195">
        <f t="shared" si="636"/>
        <v>121.18737101523911</v>
      </c>
      <c r="M228" s="195">
        <f t="shared" si="636"/>
        <v>124.74168661290844</v>
      </c>
      <c r="N228" s="195">
        <f t="shared" si="636"/>
        <v>128.30627575005173</v>
      </c>
      <c r="O228" s="195">
        <f t="shared" si="636"/>
        <v>131.87086488719498</v>
      </c>
      <c r="P228" s="195">
        <f t="shared" si="636"/>
        <v>134.91392709417323</v>
      </c>
      <c r="Q228" s="195">
        <f t="shared" si="636"/>
        <v>137.95698930115148</v>
      </c>
      <c r="R228" s="195">
        <f t="shared" si="636"/>
        <v>137.95698930115148</v>
      </c>
      <c r="S228" s="195">
        <f t="shared" si="636"/>
        <v>132.08294064669849</v>
      </c>
      <c r="T228" s="195">
        <f t="shared" si="636"/>
        <v>126.2088919922455</v>
      </c>
      <c r="U228" s="195">
        <f t="shared" si="636"/>
        <v>120.33484333779251</v>
      </c>
      <c r="V228" s="195">
        <f t="shared" si="636"/>
        <v>114.46079468333951</v>
      </c>
      <c r="W228" s="195">
        <f t="shared" si="636"/>
        <v>108.58674602888652</v>
      </c>
      <c r="X228" s="195">
        <f t="shared" si="636"/>
        <v>102.71269737443353</v>
      </c>
      <c r="Y228" s="195">
        <f t="shared" si="636"/>
        <v>96.83864871998054</v>
      </c>
      <c r="Z228" s="195">
        <f t="shared" si="636"/>
        <v>90.964600065527549</v>
      </c>
      <c r="AA228" s="195">
        <f t="shared" si="636"/>
        <v>85.090551411074557</v>
      </c>
      <c r="AB228" s="195">
        <f t="shared" si="636"/>
        <v>132.08294064669849</v>
      </c>
      <c r="AC228" s="195">
        <f t="shared" si="636"/>
        <v>132.88898445422311</v>
      </c>
      <c r="AD228" s="195">
        <f t="shared" si="636"/>
        <v>133.69502826174772</v>
      </c>
      <c r="AE228" s="195">
        <f t="shared" si="636"/>
        <v>134.50107206927234</v>
      </c>
      <c r="AF228" s="195">
        <f t="shared" si="636"/>
        <v>135.30711587679696</v>
      </c>
      <c r="AG228" s="195">
        <f t="shared" si="636"/>
        <v>136.11315968432157</v>
      </c>
      <c r="AH228" s="195">
        <f t="shared" si="636"/>
        <v>136.91920349184619</v>
      </c>
      <c r="AI228" s="195">
        <f t="shared" si="636"/>
        <v>137.72524729937081</v>
      </c>
      <c r="AJ228" s="195">
        <f t="shared" si="636"/>
        <v>138.53129110689542</v>
      </c>
      <c r="AK228" s="195">
        <f t="shared" si="636"/>
        <v>139.33733491442004</v>
      </c>
      <c r="AL228" s="195">
        <f t="shared" si="636"/>
        <v>132.88898445422311</v>
      </c>
      <c r="AM228" s="195">
        <f t="shared" si="636"/>
        <v>137.01350510072737</v>
      </c>
      <c r="AN228" s="195">
        <f t="shared" si="636"/>
        <v>141.13802574723164</v>
      </c>
      <c r="AO228" s="195">
        <f t="shared" si="636"/>
        <v>145.2625463937359</v>
      </c>
      <c r="AP228" s="195">
        <f t="shared" si="636"/>
        <v>149.38706704024017</v>
      </c>
      <c r="AQ228" s="195">
        <f t="shared" si="636"/>
        <v>153.51158768674443</v>
      </c>
      <c r="AR228" s="195">
        <f t="shared" si="636"/>
        <v>157.6361083332487</v>
      </c>
      <c r="AS228" s="195">
        <f t="shared" si="636"/>
        <v>161.76062897975297</v>
      </c>
      <c r="AT228" s="195">
        <f t="shared" si="636"/>
        <v>165.88514962625723</v>
      </c>
      <c r="AU228" s="195">
        <f t="shared" si="636"/>
        <v>170.0096702727615</v>
      </c>
      <c r="AV228" s="195">
        <f t="shared" si="636"/>
        <v>170.00967027276161</v>
      </c>
      <c r="AW228" s="195">
        <f t="shared" si="636"/>
        <v>170.00967027276161</v>
      </c>
      <c r="AX228" s="195">
        <f t="shared" ref="AX228:AX235" si="637">IF(AY$226=-1,AZ228,IF(AY$226=99,AW228,IF(AY$226=0,INDEX($E161:$M161,0,AY$224),(INDEX($E161:$M161,0,AY$226+1)-INDEX($E161:$M161,0,AY$226))/(INDEX($E$160:$M$160,0,AY$226+1)-INDEX($E$160:$M$160,0,AY$226))+AW228)))</f>
        <v>170.00967027276161</v>
      </c>
      <c r="AZ228" s="195"/>
      <c r="BA228" s="195"/>
      <c r="BB228" s="195"/>
      <c r="BC228" s="195"/>
      <c r="BD228" s="195"/>
      <c r="BE228" s="195"/>
    </row>
    <row r="229" spans="1:58">
      <c r="A229" s="194" t="s">
        <v>16</v>
      </c>
      <c r="B229" s="22" t="str">
        <f t="shared" si="631"/>
        <v/>
      </c>
      <c r="C229" s="23" t="str">
        <f t="shared" si="632"/>
        <v/>
      </c>
      <c r="E229" s="23" t="str">
        <f t="shared" si="633"/>
        <v/>
      </c>
      <c r="F229" s="23"/>
      <c r="G229" s="23" t="str">
        <f t="shared" si="633"/>
        <v/>
      </c>
      <c r="H229" s="23" t="str">
        <f t="shared" si="633"/>
        <v/>
      </c>
      <c r="I229" s="59" t="str">
        <f t="shared" si="634"/>
        <v>TPPRSUV</v>
      </c>
      <c r="J229" s="195">
        <f t="shared" si="635"/>
        <v>13.098688807738631</v>
      </c>
      <c r="K229" s="195">
        <f t="shared" ref="K229:AW229" si="638">IF(L$226=-1,L229,IF(L$226=99,J229,IF(L$226=0,INDEX($E162:$M162,0,L$224),(INDEX($E162:$M162,0,L$226+1)-INDEX($E162:$M162,0,L$226))/(INDEX($E$160:$M$160,0,L$226+1)-INDEX($E$160:$M$160,0,L$226))+J229)))</f>
        <v>13.506800555921183</v>
      </c>
      <c r="L229" s="195">
        <f t="shared" si="638"/>
        <v>13.914912304103735</v>
      </c>
      <c r="M229" s="195">
        <f t="shared" si="638"/>
        <v>14.323024052286286</v>
      </c>
      <c r="N229" s="195">
        <f t="shared" si="638"/>
        <v>14.73231542339188</v>
      </c>
      <c r="O229" s="195">
        <f t="shared" si="638"/>
        <v>15.141606794497473</v>
      </c>
      <c r="P229" s="195">
        <f t="shared" si="638"/>
        <v>15.491015675895767</v>
      </c>
      <c r="Q229" s="195">
        <f t="shared" si="638"/>
        <v>15.84042455729406</v>
      </c>
      <c r="R229" s="195">
        <f t="shared" si="638"/>
        <v>15.840424557294059</v>
      </c>
      <c r="S229" s="195">
        <f t="shared" si="638"/>
        <v>15.165957645337752</v>
      </c>
      <c r="T229" s="195">
        <f t="shared" si="638"/>
        <v>14.491490733381445</v>
      </c>
      <c r="U229" s="195">
        <f t="shared" si="638"/>
        <v>13.817023821425138</v>
      </c>
      <c r="V229" s="195">
        <f t="shared" si="638"/>
        <v>13.142556909468832</v>
      </c>
      <c r="W229" s="195">
        <f t="shared" si="638"/>
        <v>12.468089997512525</v>
      </c>
      <c r="X229" s="195">
        <f t="shared" si="638"/>
        <v>11.793623085556218</v>
      </c>
      <c r="Y229" s="195">
        <f t="shared" si="638"/>
        <v>11.119156173599912</v>
      </c>
      <c r="Z229" s="195">
        <f t="shared" si="638"/>
        <v>10.444689261643605</v>
      </c>
      <c r="AA229" s="195">
        <f t="shared" si="638"/>
        <v>9.7702223496872982</v>
      </c>
      <c r="AB229" s="195">
        <f t="shared" si="638"/>
        <v>15.165957645337752</v>
      </c>
      <c r="AC229" s="195">
        <f t="shared" si="638"/>
        <v>15.258508781656737</v>
      </c>
      <c r="AD229" s="195">
        <f t="shared" si="638"/>
        <v>15.351059917975721</v>
      </c>
      <c r="AE229" s="195">
        <f t="shared" si="638"/>
        <v>15.443611054294706</v>
      </c>
      <c r="AF229" s="195">
        <f t="shared" si="638"/>
        <v>15.536162190613691</v>
      </c>
      <c r="AG229" s="195">
        <f t="shared" si="638"/>
        <v>15.628713326932676</v>
      </c>
      <c r="AH229" s="195">
        <f t="shared" si="638"/>
        <v>15.721264463251661</v>
      </c>
      <c r="AI229" s="195">
        <f t="shared" si="638"/>
        <v>15.813815599570646</v>
      </c>
      <c r="AJ229" s="195">
        <f t="shared" si="638"/>
        <v>15.90636673588963</v>
      </c>
      <c r="AK229" s="195">
        <f t="shared" si="638"/>
        <v>15.998917872208615</v>
      </c>
      <c r="AL229" s="195">
        <f t="shared" si="638"/>
        <v>15.258508781656737</v>
      </c>
      <c r="AM229" s="195">
        <f t="shared" si="638"/>
        <v>15.732092312776949</v>
      </c>
      <c r="AN229" s="195">
        <f t="shared" si="638"/>
        <v>16.205675843897161</v>
      </c>
      <c r="AO229" s="195">
        <f t="shared" si="638"/>
        <v>16.679259375017374</v>
      </c>
      <c r="AP229" s="195">
        <f t="shared" si="638"/>
        <v>17.152842906137586</v>
      </c>
      <c r="AQ229" s="195">
        <f t="shared" si="638"/>
        <v>17.626426437257798</v>
      </c>
      <c r="AR229" s="195">
        <f t="shared" si="638"/>
        <v>18.100009968378011</v>
      </c>
      <c r="AS229" s="195">
        <f t="shared" si="638"/>
        <v>18.573593499498223</v>
      </c>
      <c r="AT229" s="195">
        <f t="shared" si="638"/>
        <v>19.047177030618435</v>
      </c>
      <c r="AU229" s="195">
        <f t="shared" si="638"/>
        <v>19.520760561738648</v>
      </c>
      <c r="AV229" s="195">
        <f t="shared" si="638"/>
        <v>19.520760561738651</v>
      </c>
      <c r="AW229" s="195">
        <f t="shared" si="638"/>
        <v>19.520760561738651</v>
      </c>
      <c r="AX229" s="195">
        <f t="shared" si="637"/>
        <v>19.520760561738651</v>
      </c>
      <c r="AZ229" s="195"/>
      <c r="BA229" s="195"/>
      <c r="BB229" s="195"/>
      <c r="BC229" s="195"/>
      <c r="BD229" s="195"/>
      <c r="BE229" s="195"/>
    </row>
    <row r="230" spans="1:58">
      <c r="A230" s="194" t="s">
        <v>16</v>
      </c>
      <c r="B230" s="22" t="str">
        <f t="shared" si="631"/>
        <v/>
      </c>
      <c r="C230" s="23" t="str">
        <f t="shared" si="632"/>
        <v/>
      </c>
      <c r="E230" s="23" t="str">
        <f t="shared" si="633"/>
        <v/>
      </c>
      <c r="F230" s="23"/>
      <c r="G230" s="23" t="str">
        <f t="shared" si="633"/>
        <v/>
      </c>
      <c r="H230" s="23" t="str">
        <f t="shared" si="633"/>
        <v/>
      </c>
      <c r="I230" s="59" t="str">
        <f t="shared" si="634"/>
        <v>TPPRMOT</v>
      </c>
      <c r="J230" s="195">
        <f t="shared" si="635"/>
        <v>4.4651429083665386</v>
      </c>
      <c r="K230" s="195">
        <f t="shared" ref="K230:AW230" si="639">IF(L$226=-1,L230,IF(L$226=99,J230,IF(L$226=0,INDEX($E163:$M163,0,L$224),(INDEX($E163:$M163,0,L$226+1)-INDEX($E163:$M163,0,L$226))/(INDEX($E$160:$M$160,0,L$226+1)-INDEX($E$160:$M$160,0,L$226))+J230)))</f>
        <v>4.6042619686759796</v>
      </c>
      <c r="L230" s="195">
        <f t="shared" si="639"/>
        <v>4.7433810289854206</v>
      </c>
      <c r="M230" s="195">
        <f t="shared" si="639"/>
        <v>4.8825000892948616</v>
      </c>
      <c r="N230" s="195">
        <f t="shared" si="639"/>
        <v>5.0220212650378908</v>
      </c>
      <c r="O230" s="195">
        <f t="shared" si="639"/>
        <v>5.1615424407809209</v>
      </c>
      <c r="P230" s="195">
        <f t="shared" si="639"/>
        <v>5.2806505905962018</v>
      </c>
      <c r="Q230" s="195">
        <f t="shared" si="639"/>
        <v>5.3997587404114826</v>
      </c>
      <c r="R230" s="195">
        <f t="shared" si="639"/>
        <v>5.3997587404114826</v>
      </c>
      <c r="S230" s="195">
        <f t="shared" si="639"/>
        <v>5.169843273829029</v>
      </c>
      <c r="T230" s="195">
        <f t="shared" si="639"/>
        <v>4.9399278072465753</v>
      </c>
      <c r="U230" s="195">
        <f t="shared" si="639"/>
        <v>4.7100123406641217</v>
      </c>
      <c r="V230" s="195">
        <f t="shared" si="639"/>
        <v>4.480096874081668</v>
      </c>
      <c r="W230" s="195">
        <f t="shared" si="639"/>
        <v>4.2501814074992144</v>
      </c>
      <c r="X230" s="195">
        <f t="shared" si="639"/>
        <v>4.0202659409167607</v>
      </c>
      <c r="Y230" s="195">
        <f t="shared" si="639"/>
        <v>3.7903504743343071</v>
      </c>
      <c r="Z230" s="195">
        <f t="shared" si="639"/>
        <v>3.5604350077518534</v>
      </c>
      <c r="AA230" s="195">
        <f t="shared" si="639"/>
        <v>3.3305195411693997</v>
      </c>
      <c r="AB230" s="195">
        <f t="shared" si="639"/>
        <v>5.169843273829029</v>
      </c>
      <c r="AC230" s="195">
        <f t="shared" si="639"/>
        <v>5.2013925423139664</v>
      </c>
      <c r="AD230" s="195">
        <f t="shared" si="639"/>
        <v>5.2329418107989039</v>
      </c>
      <c r="AE230" s="195">
        <f t="shared" si="639"/>
        <v>5.2644910792838413</v>
      </c>
      <c r="AF230" s="195">
        <f t="shared" si="639"/>
        <v>5.2960403477687787</v>
      </c>
      <c r="AG230" s="195">
        <f t="shared" si="639"/>
        <v>5.3275896162537162</v>
      </c>
      <c r="AH230" s="195">
        <f t="shared" si="639"/>
        <v>5.3591388847386536</v>
      </c>
      <c r="AI230" s="195">
        <f t="shared" si="639"/>
        <v>5.3906881532235911</v>
      </c>
      <c r="AJ230" s="195">
        <f t="shared" si="639"/>
        <v>5.4222374217085285</v>
      </c>
      <c r="AK230" s="195">
        <f t="shared" si="639"/>
        <v>5.453786690193466</v>
      </c>
      <c r="AL230" s="195">
        <f t="shared" si="639"/>
        <v>5.2013925423139664</v>
      </c>
      <c r="AM230" s="195">
        <f t="shared" si="639"/>
        <v>5.362829933226811</v>
      </c>
      <c r="AN230" s="195">
        <f t="shared" si="639"/>
        <v>5.5242673241396556</v>
      </c>
      <c r="AO230" s="195">
        <f t="shared" si="639"/>
        <v>5.6857047150525002</v>
      </c>
      <c r="AP230" s="195">
        <f t="shared" si="639"/>
        <v>5.8471421059653448</v>
      </c>
      <c r="AQ230" s="195">
        <f t="shared" si="639"/>
        <v>6.0085794968781894</v>
      </c>
      <c r="AR230" s="195">
        <f t="shared" si="639"/>
        <v>6.170016887791034</v>
      </c>
      <c r="AS230" s="195">
        <f t="shared" si="639"/>
        <v>6.3314542787038786</v>
      </c>
      <c r="AT230" s="195">
        <f t="shared" si="639"/>
        <v>6.4928916696167231</v>
      </c>
      <c r="AU230" s="195">
        <f t="shared" si="639"/>
        <v>6.6543290605295677</v>
      </c>
      <c r="AV230" s="195">
        <f t="shared" si="639"/>
        <v>6.654329060529566</v>
      </c>
      <c r="AW230" s="195">
        <f t="shared" si="639"/>
        <v>6.654329060529566</v>
      </c>
      <c r="AX230" s="195">
        <f t="shared" si="637"/>
        <v>6.654329060529566</v>
      </c>
      <c r="AZ230" s="195"/>
      <c r="BA230" s="195"/>
      <c r="BB230" s="195"/>
      <c r="BC230" s="195"/>
      <c r="BD230" s="195"/>
      <c r="BE230" s="195"/>
    </row>
    <row r="231" spans="1:58">
      <c r="A231" s="194" t="s">
        <v>16</v>
      </c>
      <c r="B231" s="22" t="str">
        <f t="shared" si="631"/>
        <v/>
      </c>
      <c r="C231" s="23" t="str">
        <f t="shared" si="632"/>
        <v/>
      </c>
      <c r="E231" s="23" t="str">
        <f t="shared" si="633"/>
        <v/>
      </c>
      <c r="F231" s="23"/>
      <c r="G231" s="23" t="str">
        <f t="shared" si="633"/>
        <v/>
      </c>
      <c r="H231" s="23" t="str">
        <f t="shared" si="633"/>
        <v/>
      </c>
      <c r="I231" s="59" t="str">
        <f t="shared" si="634"/>
        <v>TPPUBUS</v>
      </c>
      <c r="J231" s="195">
        <f t="shared" si="635"/>
        <v>15.449787242939724</v>
      </c>
      <c r="K231" s="195">
        <f t="shared" ref="K231:AW231" si="640">IF(L$226=-1,L231,IF(L$226=99,J231,IF(L$226=0,INDEX($E164:$M164,0,L$224),(INDEX($E164:$M164,0,L$226+1)-INDEX($E164:$M164,0,L$226))/(INDEX($E$160:$M$160,0,L$226+1)-INDEX($E$160:$M$160,0,L$226))+J231)))</f>
        <v>19.471315230746836</v>
      </c>
      <c r="L231" s="195">
        <f t="shared" si="640"/>
        <v>23.492843218553947</v>
      </c>
      <c r="M231" s="195">
        <f t="shared" si="640"/>
        <v>27.514371206361059</v>
      </c>
      <c r="N231" s="195">
        <f t="shared" si="640"/>
        <v>23.946934958129297</v>
      </c>
      <c r="O231" s="195">
        <f t="shared" si="640"/>
        <v>20.379498709897536</v>
      </c>
      <c r="P231" s="195">
        <f t="shared" si="640"/>
        <v>20.616678790191141</v>
      </c>
      <c r="Q231" s="195">
        <f t="shared" si="640"/>
        <v>20.853858870484746</v>
      </c>
      <c r="R231" s="195">
        <f t="shared" si="640"/>
        <v>20.853858870484746</v>
      </c>
      <c r="S231" s="195">
        <f t="shared" si="640"/>
        <v>21.570942866169869</v>
      </c>
      <c r="T231" s="195">
        <f t="shared" si="640"/>
        <v>22.288026861854991</v>
      </c>
      <c r="U231" s="195">
        <f t="shared" si="640"/>
        <v>23.005110857540114</v>
      </c>
      <c r="V231" s="195">
        <f t="shared" si="640"/>
        <v>23.722194853225236</v>
      </c>
      <c r="W231" s="195">
        <f t="shared" si="640"/>
        <v>24.439278848910359</v>
      </c>
      <c r="X231" s="195">
        <f t="shared" si="640"/>
        <v>25.156362844595481</v>
      </c>
      <c r="Y231" s="195">
        <f t="shared" si="640"/>
        <v>25.873446840280604</v>
      </c>
      <c r="Z231" s="195">
        <f t="shared" si="640"/>
        <v>26.590530835965726</v>
      </c>
      <c r="AA231" s="195">
        <f t="shared" si="640"/>
        <v>27.307614831650849</v>
      </c>
      <c r="AB231" s="195">
        <f t="shared" si="640"/>
        <v>21.570942866169869</v>
      </c>
      <c r="AC231" s="195">
        <f t="shared" si="640"/>
        <v>21.390232987631908</v>
      </c>
      <c r="AD231" s="195">
        <f t="shared" si="640"/>
        <v>21.209523109093947</v>
      </c>
      <c r="AE231" s="195">
        <f t="shared" si="640"/>
        <v>21.028813230555986</v>
      </c>
      <c r="AF231" s="195">
        <f t="shared" si="640"/>
        <v>20.848103352018025</v>
      </c>
      <c r="AG231" s="195">
        <f t="shared" si="640"/>
        <v>20.667393473480065</v>
      </c>
      <c r="AH231" s="195">
        <f t="shared" si="640"/>
        <v>20.486683594942104</v>
      </c>
      <c r="AI231" s="195">
        <f t="shared" si="640"/>
        <v>20.305973716404143</v>
      </c>
      <c r="AJ231" s="195">
        <f t="shared" si="640"/>
        <v>20.125263837866182</v>
      </c>
      <c r="AK231" s="195">
        <f t="shared" si="640"/>
        <v>19.944553959328221</v>
      </c>
      <c r="AL231" s="195">
        <f t="shared" si="640"/>
        <v>21.390232987631908</v>
      </c>
      <c r="AM231" s="195">
        <f t="shared" si="640"/>
        <v>21.427533000000977</v>
      </c>
      <c r="AN231" s="195">
        <f t="shared" si="640"/>
        <v>21.464833012370047</v>
      </c>
      <c r="AO231" s="195">
        <f t="shared" si="640"/>
        <v>21.502133024739116</v>
      </c>
      <c r="AP231" s="195">
        <f t="shared" si="640"/>
        <v>21.539433037108186</v>
      </c>
      <c r="AQ231" s="195">
        <f t="shared" si="640"/>
        <v>21.576733049477255</v>
      </c>
      <c r="AR231" s="195">
        <f t="shared" si="640"/>
        <v>21.614033061846325</v>
      </c>
      <c r="AS231" s="195">
        <f t="shared" si="640"/>
        <v>21.651333074215394</v>
      </c>
      <c r="AT231" s="195">
        <f t="shared" si="640"/>
        <v>21.688633086584463</v>
      </c>
      <c r="AU231" s="195">
        <f t="shared" si="640"/>
        <v>21.725933098953533</v>
      </c>
      <c r="AV231" s="195">
        <f t="shared" si="640"/>
        <v>21.725933098953536</v>
      </c>
      <c r="AW231" s="195">
        <f t="shared" si="640"/>
        <v>21.725933098953536</v>
      </c>
      <c r="AX231" s="195">
        <f t="shared" si="637"/>
        <v>21.725933098953536</v>
      </c>
      <c r="AZ231" s="195"/>
      <c r="BA231" s="195"/>
      <c r="BB231" s="195"/>
      <c r="BC231" s="195"/>
      <c r="BD231" s="195"/>
      <c r="BE231" s="195"/>
    </row>
    <row r="232" spans="1:58">
      <c r="A232" s="194" t="s">
        <v>16</v>
      </c>
      <c r="B232" s="22" t="str">
        <f t="shared" si="631"/>
        <v/>
      </c>
      <c r="C232" s="23" t="str">
        <f t="shared" si="632"/>
        <v/>
      </c>
      <c r="E232" s="23" t="str">
        <f t="shared" si="633"/>
        <v/>
      </c>
      <c r="F232" s="23"/>
      <c r="G232" s="23" t="str">
        <f t="shared" si="633"/>
        <v/>
      </c>
      <c r="H232" s="23" t="str">
        <f t="shared" si="633"/>
        <v/>
      </c>
      <c r="I232" s="59" t="str">
        <f t="shared" si="634"/>
        <v>TPPUMBT</v>
      </c>
      <c r="J232" s="195">
        <f t="shared" si="635"/>
        <v>82.782459287376753</v>
      </c>
      <c r="K232" s="195">
        <f t="shared" ref="K232:AW232" si="641">IF(L$226=-1,L232,IF(L$226=99,J232,IF(L$226=0,INDEX($E165:$M165,0,L$224),(INDEX($E165:$M165,0,L$226+1)-INDEX($E165:$M165,0,L$226))/(INDEX($E$160:$M$160,0,L$226+1)-INDEX($E$160:$M$160,0,L$226))+J232)))</f>
        <v>86.981233589975815</v>
      </c>
      <c r="L232" s="195">
        <f t="shared" si="641"/>
        <v>91.180007892574878</v>
      </c>
      <c r="M232" s="195">
        <f t="shared" si="641"/>
        <v>95.37878219517394</v>
      </c>
      <c r="N232" s="195">
        <f t="shared" si="641"/>
        <v>101.59867315789026</v>
      </c>
      <c r="O232" s="195">
        <f t="shared" si="641"/>
        <v>107.81856412060657</v>
      </c>
      <c r="P232" s="195">
        <f t="shared" si="641"/>
        <v>109.07337495080856</v>
      </c>
      <c r="Q232" s="195">
        <f t="shared" si="641"/>
        <v>110.32818578101055</v>
      </c>
      <c r="R232" s="195">
        <f t="shared" si="641"/>
        <v>110.32818578101053</v>
      </c>
      <c r="S232" s="195">
        <f t="shared" si="641"/>
        <v>114.12194773115547</v>
      </c>
      <c r="T232" s="195">
        <f t="shared" si="641"/>
        <v>117.91570968130041</v>
      </c>
      <c r="U232" s="195">
        <f t="shared" si="641"/>
        <v>121.70947163144535</v>
      </c>
      <c r="V232" s="195">
        <f t="shared" si="641"/>
        <v>125.50323358159029</v>
      </c>
      <c r="W232" s="195">
        <f t="shared" si="641"/>
        <v>129.29699553173523</v>
      </c>
      <c r="X232" s="195">
        <f t="shared" si="641"/>
        <v>133.09075748188019</v>
      </c>
      <c r="Y232" s="195">
        <f t="shared" si="641"/>
        <v>136.88451943202512</v>
      </c>
      <c r="Z232" s="195">
        <f t="shared" si="641"/>
        <v>140.67828138217004</v>
      </c>
      <c r="AA232" s="195">
        <f t="shared" si="641"/>
        <v>144.47204333231497</v>
      </c>
      <c r="AB232" s="195">
        <f t="shared" si="641"/>
        <v>114.12194773115547</v>
      </c>
      <c r="AC232" s="195">
        <f t="shared" si="641"/>
        <v>113.16589479267422</v>
      </c>
      <c r="AD232" s="195">
        <f t="shared" si="641"/>
        <v>112.20984185419297</v>
      </c>
      <c r="AE232" s="195">
        <f t="shared" si="641"/>
        <v>111.25378891571172</v>
      </c>
      <c r="AF232" s="195">
        <f t="shared" si="641"/>
        <v>110.29773597723047</v>
      </c>
      <c r="AG232" s="195">
        <f t="shared" si="641"/>
        <v>109.34168303874922</v>
      </c>
      <c r="AH232" s="195">
        <f t="shared" si="641"/>
        <v>108.38563010026797</v>
      </c>
      <c r="AI232" s="195">
        <f t="shared" si="641"/>
        <v>107.42957716178672</v>
      </c>
      <c r="AJ232" s="195">
        <f t="shared" si="641"/>
        <v>106.47352422330547</v>
      </c>
      <c r="AK232" s="195">
        <f t="shared" si="641"/>
        <v>105.51747128482423</v>
      </c>
      <c r="AL232" s="195">
        <f t="shared" si="641"/>
        <v>113.16589479267422</v>
      </c>
      <c r="AM232" s="195">
        <f t="shared" si="641"/>
        <v>113.36323202027545</v>
      </c>
      <c r="AN232" s="195">
        <f t="shared" si="641"/>
        <v>113.56056924787667</v>
      </c>
      <c r="AO232" s="195">
        <f t="shared" si="641"/>
        <v>113.7579064754779</v>
      </c>
      <c r="AP232" s="195">
        <f t="shared" si="641"/>
        <v>113.95524370307912</v>
      </c>
      <c r="AQ232" s="195">
        <f t="shared" si="641"/>
        <v>114.15258093068034</v>
      </c>
      <c r="AR232" s="195">
        <f t="shared" si="641"/>
        <v>114.34991815828157</v>
      </c>
      <c r="AS232" s="195">
        <f t="shared" si="641"/>
        <v>114.54725538588279</v>
      </c>
      <c r="AT232" s="195">
        <f t="shared" si="641"/>
        <v>114.74459261348402</v>
      </c>
      <c r="AU232" s="195">
        <f t="shared" si="641"/>
        <v>114.94192984108524</v>
      </c>
      <c r="AV232" s="195">
        <f t="shared" si="641"/>
        <v>114.94192984108523</v>
      </c>
      <c r="AW232" s="195">
        <f t="shared" si="641"/>
        <v>114.94192984108523</v>
      </c>
      <c r="AX232" s="195">
        <f t="shared" si="637"/>
        <v>114.94192984108523</v>
      </c>
      <c r="AZ232" s="195"/>
      <c r="BA232" s="195"/>
      <c r="BB232" s="195"/>
      <c r="BC232" s="195"/>
      <c r="BD232" s="195"/>
      <c r="BE232" s="195"/>
    </row>
    <row r="233" spans="1:58">
      <c r="A233" s="194" t="s">
        <v>16</v>
      </c>
      <c r="B233" s="22" t="str">
        <f t="shared" si="631"/>
        <v/>
      </c>
      <c r="C233" s="23" t="str">
        <f t="shared" si="632"/>
        <v/>
      </c>
      <c r="E233" s="23" t="str">
        <f t="shared" si="633"/>
        <v/>
      </c>
      <c r="F233" s="23"/>
      <c r="G233" s="23" t="str">
        <f t="shared" si="633"/>
        <v/>
      </c>
      <c r="H233" s="23" t="str">
        <f t="shared" si="633"/>
        <v/>
      </c>
      <c r="I233" s="59" t="str">
        <f t="shared" si="634"/>
        <v>TPPUBRT</v>
      </c>
      <c r="J233" s="195">
        <f t="shared" si="635"/>
        <v>0.52719012107388186</v>
      </c>
      <c r="K233" s="195">
        <f t="shared" ref="K233:AW233" si="642">IF(L$226=-1,L233,IF(L$226=99,J233,IF(L$226=0,INDEX($E166:$M166,0,L$224),(INDEX($E166:$M166,0,L$226+1)-INDEX($E166:$M166,0,L$226))/(INDEX($E$160:$M$160,0,L$226+1)-INDEX($E$160:$M$160,0,L$226))+J233)))</f>
        <v>0.61204104344170607</v>
      </c>
      <c r="L233" s="195">
        <f t="shared" si="642"/>
        <v>0.69689196580953028</v>
      </c>
      <c r="M233" s="195">
        <f t="shared" si="642"/>
        <v>0.78174288817735449</v>
      </c>
      <c r="N233" s="195">
        <f t="shared" si="642"/>
        <v>1.1773693267136232</v>
      </c>
      <c r="O233" s="195">
        <f t="shared" si="642"/>
        <v>1.5729957652498918</v>
      </c>
      <c r="P233" s="195">
        <f t="shared" si="642"/>
        <v>2.055993971556382</v>
      </c>
      <c r="Q233" s="195">
        <f t="shared" si="642"/>
        <v>2.5389921778628719</v>
      </c>
      <c r="R233" s="195">
        <f t="shared" si="642"/>
        <v>2.5389921778628719</v>
      </c>
      <c r="S233" s="195">
        <f t="shared" si="642"/>
        <v>2.6062673324390282</v>
      </c>
      <c r="T233" s="195">
        <f t="shared" si="642"/>
        <v>2.6735424870151845</v>
      </c>
      <c r="U233" s="195">
        <f t="shared" si="642"/>
        <v>2.7408176415913408</v>
      </c>
      <c r="V233" s="195">
        <f t="shared" si="642"/>
        <v>2.8080927961674971</v>
      </c>
      <c r="W233" s="195">
        <f t="shared" si="642"/>
        <v>2.8753679507436534</v>
      </c>
      <c r="X233" s="195">
        <f t="shared" si="642"/>
        <v>2.9426431053198097</v>
      </c>
      <c r="Y233" s="195">
        <f t="shared" si="642"/>
        <v>3.009918259895966</v>
      </c>
      <c r="Z233" s="195">
        <f t="shared" si="642"/>
        <v>3.0771934144721222</v>
      </c>
      <c r="AA233" s="195">
        <f t="shared" si="642"/>
        <v>3.1444685690482785</v>
      </c>
      <c r="AB233" s="195">
        <f t="shared" si="642"/>
        <v>2.6062673324390282</v>
      </c>
      <c r="AC233" s="195">
        <f t="shared" si="642"/>
        <v>7.3436313525543344</v>
      </c>
      <c r="AD233" s="195">
        <f t="shared" si="642"/>
        <v>12.080995372669641</v>
      </c>
      <c r="AE233" s="195">
        <f t="shared" si="642"/>
        <v>16.818359392784949</v>
      </c>
      <c r="AF233" s="195">
        <f t="shared" si="642"/>
        <v>21.555723412900257</v>
      </c>
      <c r="AG233" s="195">
        <f t="shared" si="642"/>
        <v>26.293087433015565</v>
      </c>
      <c r="AH233" s="195">
        <f t="shared" si="642"/>
        <v>31.030451453130873</v>
      </c>
      <c r="AI233" s="195">
        <f t="shared" si="642"/>
        <v>35.767815473246181</v>
      </c>
      <c r="AJ233" s="195">
        <f t="shared" si="642"/>
        <v>40.505179493361489</v>
      </c>
      <c r="AK233" s="195">
        <f t="shared" si="642"/>
        <v>45.242543513476797</v>
      </c>
      <c r="AL233" s="195">
        <f t="shared" si="642"/>
        <v>7.3436313525543344</v>
      </c>
      <c r="AM233" s="195">
        <f t="shared" si="642"/>
        <v>8.1048483154113455</v>
      </c>
      <c r="AN233" s="195">
        <f t="shared" si="642"/>
        <v>8.8660652782683567</v>
      </c>
      <c r="AO233" s="195">
        <f t="shared" si="642"/>
        <v>9.6272822411253678</v>
      </c>
      <c r="AP233" s="195">
        <f t="shared" si="642"/>
        <v>10.388499203982379</v>
      </c>
      <c r="AQ233" s="195">
        <f t="shared" si="642"/>
        <v>11.14971616683939</v>
      </c>
      <c r="AR233" s="195">
        <f t="shared" si="642"/>
        <v>11.910933129696401</v>
      </c>
      <c r="AS233" s="195">
        <f t="shared" si="642"/>
        <v>12.672150092553412</v>
      </c>
      <c r="AT233" s="195">
        <f t="shared" si="642"/>
        <v>13.433367055410423</v>
      </c>
      <c r="AU233" s="195">
        <f t="shared" si="642"/>
        <v>14.194584018267435</v>
      </c>
      <c r="AV233" s="195">
        <f t="shared" si="642"/>
        <v>14.194584018267442</v>
      </c>
      <c r="AW233" s="195">
        <f t="shared" si="642"/>
        <v>14.194584018267442</v>
      </c>
      <c r="AX233" s="195">
        <f t="shared" si="637"/>
        <v>14.194584018267442</v>
      </c>
      <c r="AZ233" s="195"/>
      <c r="BA233" s="195"/>
      <c r="BB233" s="195"/>
      <c r="BC233" s="195"/>
      <c r="BD233" s="195"/>
      <c r="BE233" s="195"/>
    </row>
    <row r="234" spans="1:58">
      <c r="A234" s="194" t="s">
        <v>16</v>
      </c>
      <c r="B234" s="22"/>
      <c r="C234" s="23"/>
      <c r="E234" s="23"/>
      <c r="F234" s="23"/>
      <c r="G234" s="23"/>
      <c r="H234" s="23"/>
      <c r="I234" s="59" t="str">
        <f t="shared" si="634"/>
        <v>TPPUMER</v>
      </c>
      <c r="J234" s="195">
        <f t="shared" si="635"/>
        <v>14.377943324329372</v>
      </c>
      <c r="K234" s="195">
        <f t="shared" ref="K234:AW234" si="643">IF(L$226=-1,L234,IF(L$226=99,J234,IF(L$226=0,INDEX($E167:$M167,0,L$224),(INDEX($E167:$M167,0,L$226+1)-INDEX($E167:$M167,0,L$226))/(INDEX($E$160:$M$160,0,L$226+1)-INDEX($E$160:$M$160,0,L$226))+J234)))</f>
        <v>13.600515897817941</v>
      </c>
      <c r="L234" s="195">
        <f t="shared" si="643"/>
        <v>12.823088471306509</v>
      </c>
      <c r="M234" s="195">
        <f t="shared" si="643"/>
        <v>12.045661044795077</v>
      </c>
      <c r="N234" s="195">
        <f t="shared" si="643"/>
        <v>10.77345691085338</v>
      </c>
      <c r="O234" s="195">
        <f t="shared" si="643"/>
        <v>9.5012527769116826</v>
      </c>
      <c r="P234" s="195">
        <f t="shared" si="643"/>
        <v>9.6118299765080266</v>
      </c>
      <c r="Q234" s="195">
        <f t="shared" si="643"/>
        <v>9.7224071761043689</v>
      </c>
      <c r="R234" s="195">
        <f t="shared" si="643"/>
        <v>9.7224071761043689</v>
      </c>
      <c r="S234" s="195">
        <f t="shared" si="643"/>
        <v>10.056723363281892</v>
      </c>
      <c r="T234" s="195">
        <f t="shared" si="643"/>
        <v>10.391039550459414</v>
      </c>
      <c r="U234" s="195">
        <f t="shared" si="643"/>
        <v>10.725355737636937</v>
      </c>
      <c r="V234" s="195">
        <f t="shared" si="643"/>
        <v>11.059671924814459</v>
      </c>
      <c r="W234" s="195">
        <f t="shared" si="643"/>
        <v>11.393988111991982</v>
      </c>
      <c r="X234" s="195">
        <f t="shared" si="643"/>
        <v>11.728304299169505</v>
      </c>
      <c r="Y234" s="195">
        <f t="shared" si="643"/>
        <v>12.062620486347027</v>
      </c>
      <c r="Z234" s="195">
        <f t="shared" si="643"/>
        <v>12.39693667352455</v>
      </c>
      <c r="AA234" s="195">
        <f t="shared" si="643"/>
        <v>12.731252860702073</v>
      </c>
      <c r="AB234" s="195">
        <f t="shared" si="643"/>
        <v>10.056723363281892</v>
      </c>
      <c r="AC234" s="195">
        <f t="shared" si="643"/>
        <v>9.9724734874770302</v>
      </c>
      <c r="AD234" s="195">
        <f t="shared" si="643"/>
        <v>9.8882236116721689</v>
      </c>
      <c r="AE234" s="195">
        <f t="shared" si="643"/>
        <v>9.8039737358673076</v>
      </c>
      <c r="AF234" s="195">
        <f t="shared" si="643"/>
        <v>9.7197238600624463</v>
      </c>
      <c r="AG234" s="195">
        <f t="shared" si="643"/>
        <v>9.6354739842575849</v>
      </c>
      <c r="AH234" s="195">
        <f t="shared" si="643"/>
        <v>9.5512241084527236</v>
      </c>
      <c r="AI234" s="195">
        <f t="shared" si="643"/>
        <v>9.4669742326478623</v>
      </c>
      <c r="AJ234" s="195">
        <f t="shared" si="643"/>
        <v>9.382724356843001</v>
      </c>
      <c r="AK234" s="195">
        <f t="shared" si="643"/>
        <v>9.2984744810381397</v>
      </c>
      <c r="AL234" s="195">
        <f t="shared" si="643"/>
        <v>9.9724734874770302</v>
      </c>
      <c r="AM234" s="195">
        <f t="shared" si="643"/>
        <v>9.9898633581085559</v>
      </c>
      <c r="AN234" s="195">
        <f t="shared" si="643"/>
        <v>10.007253228740081</v>
      </c>
      <c r="AO234" s="195">
        <f t="shared" si="643"/>
        <v>10.024643099371607</v>
      </c>
      <c r="AP234" s="195">
        <f t="shared" si="643"/>
        <v>10.042032970003133</v>
      </c>
      <c r="AQ234" s="195">
        <f t="shared" si="643"/>
        <v>10.059422840634658</v>
      </c>
      <c r="AR234" s="195">
        <f t="shared" si="643"/>
        <v>10.076812711266184</v>
      </c>
      <c r="AS234" s="195">
        <f t="shared" si="643"/>
        <v>10.09420258189771</v>
      </c>
      <c r="AT234" s="195">
        <f t="shared" si="643"/>
        <v>10.111592452529235</v>
      </c>
      <c r="AU234" s="195">
        <f t="shared" si="643"/>
        <v>10.128982323160761</v>
      </c>
      <c r="AV234" s="195">
        <f t="shared" si="643"/>
        <v>10.128982323160761</v>
      </c>
      <c r="AW234" s="195">
        <f t="shared" si="643"/>
        <v>10.128982323160761</v>
      </c>
      <c r="AX234" s="195">
        <f t="shared" si="637"/>
        <v>10.128982323160761</v>
      </c>
      <c r="AZ234" s="195"/>
      <c r="BA234" s="195"/>
      <c r="BB234" s="195"/>
      <c r="BC234" s="195"/>
      <c r="BD234" s="195"/>
      <c r="BE234" s="195"/>
    </row>
    <row r="235" spans="1:58">
      <c r="A235" s="194" t="s">
        <v>16</v>
      </c>
      <c r="B235" s="22"/>
      <c r="C235" s="23"/>
      <c r="E235" s="23"/>
      <c r="F235" s="23"/>
      <c r="G235" s="23"/>
      <c r="H235" s="23"/>
      <c r="I235" s="59" t="str">
        <f t="shared" si="634"/>
        <v>TPPUGAT</v>
      </c>
      <c r="J235" s="195">
        <f t="shared" si="635"/>
        <v>0.53452578037785492</v>
      </c>
      <c r="K235" s="195">
        <f t="shared" ref="K235:AW235" si="644">IF(L$226=-1,L235,IF(L$226=99,J235,IF(L$226=0,INDEX($E168:$M168,0,L$224),(INDEX($E168:$M168,0,L$226+1)-INDEX($E168:$M168,0,L$226))/(INDEX($E$160:$M$160,0,L$226+1)-INDEX($E$160:$M$160,0,L$226))+J235)))</f>
        <v>0.55248564192940541</v>
      </c>
      <c r="L235" s="195">
        <f t="shared" si="644"/>
        <v>0.57044550348095591</v>
      </c>
      <c r="M235" s="195">
        <f t="shared" si="644"/>
        <v>0.58840536503250629</v>
      </c>
      <c r="N235" s="195">
        <f t="shared" si="644"/>
        <v>0.60651580293507878</v>
      </c>
      <c r="O235" s="195">
        <f t="shared" si="644"/>
        <v>0.62462624083765128</v>
      </c>
      <c r="P235" s="195">
        <f t="shared" si="644"/>
        <v>0.64844460531963566</v>
      </c>
      <c r="Q235" s="195">
        <f t="shared" si="644"/>
        <v>0.67226296980162004</v>
      </c>
      <c r="R235" s="195">
        <f t="shared" si="644"/>
        <v>0.67226296980162004</v>
      </c>
      <c r="S235" s="195">
        <f t="shared" si="644"/>
        <v>0.64616666359533781</v>
      </c>
      <c r="T235" s="195">
        <f t="shared" si="644"/>
        <v>0.62007035738905558</v>
      </c>
      <c r="U235" s="195">
        <f t="shared" si="644"/>
        <v>0.59397405118277335</v>
      </c>
      <c r="V235" s="195">
        <f t="shared" si="644"/>
        <v>0.56787774497649113</v>
      </c>
      <c r="W235" s="195">
        <f t="shared" si="644"/>
        <v>0.5417814387702089</v>
      </c>
      <c r="X235" s="195">
        <f t="shared" si="644"/>
        <v>0.51568513256392667</v>
      </c>
      <c r="Y235" s="195">
        <f t="shared" si="644"/>
        <v>0.48958882635764445</v>
      </c>
      <c r="Z235" s="195">
        <f t="shared" si="644"/>
        <v>0.46349252015136222</v>
      </c>
      <c r="AA235" s="195">
        <f t="shared" si="644"/>
        <v>0.43739621394507999</v>
      </c>
      <c r="AB235" s="195">
        <f t="shared" si="644"/>
        <v>0.64616666359533781</v>
      </c>
      <c r="AC235" s="195">
        <f t="shared" si="644"/>
        <v>0.64672402075743496</v>
      </c>
      <c r="AD235" s="195">
        <f t="shared" si="644"/>
        <v>0.64728137791953211</v>
      </c>
      <c r="AE235" s="195">
        <f t="shared" si="644"/>
        <v>0.64783873508162926</v>
      </c>
      <c r="AF235" s="195">
        <f t="shared" si="644"/>
        <v>0.64839609224372641</v>
      </c>
      <c r="AG235" s="195">
        <f t="shared" si="644"/>
        <v>0.64895344940582356</v>
      </c>
      <c r="AH235" s="195">
        <f t="shared" si="644"/>
        <v>0.64951080656792071</v>
      </c>
      <c r="AI235" s="195">
        <f t="shared" si="644"/>
        <v>0.65006816373001786</v>
      </c>
      <c r="AJ235" s="195">
        <f t="shared" si="644"/>
        <v>0.65062552089211501</v>
      </c>
      <c r="AK235" s="195">
        <f t="shared" si="644"/>
        <v>0.65118287805421216</v>
      </c>
      <c r="AL235" s="195">
        <f t="shared" si="644"/>
        <v>0.64672402075743496</v>
      </c>
      <c r="AM235" s="195">
        <f t="shared" si="644"/>
        <v>0.66645524691108848</v>
      </c>
      <c r="AN235" s="195">
        <f t="shared" si="644"/>
        <v>0.68618647306474201</v>
      </c>
      <c r="AO235" s="195">
        <f t="shared" si="644"/>
        <v>0.70591769921839553</v>
      </c>
      <c r="AP235" s="195">
        <f t="shared" si="644"/>
        <v>0.72564892537204906</v>
      </c>
      <c r="AQ235" s="195">
        <f t="shared" si="644"/>
        <v>0.74538015152570258</v>
      </c>
      <c r="AR235" s="195">
        <f t="shared" si="644"/>
        <v>0.76511137767935611</v>
      </c>
      <c r="AS235" s="195">
        <f t="shared" si="644"/>
        <v>0.78484260383300963</v>
      </c>
      <c r="AT235" s="195">
        <f t="shared" si="644"/>
        <v>0.80457382998666316</v>
      </c>
      <c r="AU235" s="195">
        <f t="shared" si="644"/>
        <v>0.82430505614031668</v>
      </c>
      <c r="AV235" s="195">
        <f t="shared" si="644"/>
        <v>0.82430505614031691</v>
      </c>
      <c r="AW235" s="195">
        <f t="shared" si="644"/>
        <v>0.82430505614031691</v>
      </c>
      <c r="AX235" s="195">
        <f t="shared" si="637"/>
        <v>0.82430505614031691</v>
      </c>
      <c r="AZ235" s="195"/>
      <c r="BA235" s="195"/>
      <c r="BB235" s="195"/>
      <c r="BC235" s="195"/>
      <c r="BD235" s="195"/>
      <c r="BE235" s="195"/>
    </row>
    <row r="236" spans="1:58">
      <c r="B236" s="22"/>
      <c r="C236" s="23"/>
      <c r="E236" s="23"/>
      <c r="F236" s="23"/>
      <c r="G236" s="23"/>
      <c r="H236" s="23"/>
      <c r="I236" s="23"/>
      <c r="J236" s="23"/>
      <c r="K236" s="59"/>
      <c r="L236" s="195"/>
      <c r="M236" s="195"/>
      <c r="N236" s="195"/>
      <c r="O236" s="195"/>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95"/>
    </row>
    <row r="237" spans="1:58">
      <c r="B237" s="22"/>
      <c r="C237" s="23"/>
      <c r="E237" s="23"/>
      <c r="F237" s="23"/>
      <c r="G237" s="23"/>
      <c r="H237" s="23"/>
      <c r="I237" s="23"/>
      <c r="J237" s="23"/>
      <c r="K237" s="59"/>
      <c r="L237" s="195"/>
      <c r="M237" s="195"/>
      <c r="N237" s="195"/>
      <c r="O237" s="195"/>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95"/>
    </row>
    <row r="238" spans="1:58">
      <c r="B238" s="22"/>
      <c r="C238" s="23"/>
      <c r="E238" s="23"/>
      <c r="F238" s="23"/>
      <c r="G238" s="23"/>
      <c r="H238" s="23"/>
      <c r="I238" s="23"/>
      <c r="J238" s="23"/>
      <c r="K238" s="59"/>
      <c r="L238" s="195"/>
      <c r="M238" s="195"/>
      <c r="N238" s="195"/>
      <c r="O238" s="195"/>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95"/>
    </row>
    <row r="239" spans="1:58">
      <c r="B239" s="22"/>
      <c r="C239" s="23"/>
      <c r="E239" s="23"/>
      <c r="F239" s="23"/>
      <c r="G239" s="23"/>
      <c r="H239" s="23"/>
      <c r="I239" s="23"/>
      <c r="J239" s="23"/>
      <c r="K239" s="59"/>
      <c r="L239" s="195"/>
      <c r="M239" s="195"/>
      <c r="N239" s="195"/>
      <c r="O239" s="195"/>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95"/>
    </row>
    <row r="240" spans="1:58">
      <c r="B240" s="22"/>
      <c r="C240" s="23"/>
      <c r="E240" s="23"/>
      <c r="F240" s="23"/>
      <c r="G240" s="23"/>
      <c r="H240" s="23"/>
      <c r="I240" s="23"/>
      <c r="J240" s="23"/>
      <c r="K240" s="59"/>
      <c r="L240" s="195"/>
      <c r="M240" s="195"/>
      <c r="N240" s="195"/>
      <c r="O240" s="195"/>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95"/>
    </row>
    <row r="241" spans="1:58">
      <c r="B241" s="22"/>
      <c r="C241" s="23"/>
      <c r="E241" s="23"/>
      <c r="F241" s="23"/>
      <c r="G241" s="23"/>
      <c r="H241" s="23"/>
      <c r="I241" s="23"/>
      <c r="J241" s="23"/>
      <c r="K241" s="59"/>
      <c r="L241" s="195"/>
      <c r="M241" s="195"/>
      <c r="N241" s="195"/>
      <c r="O241" s="195"/>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c r="AT241" s="195"/>
      <c r="AU241" s="195"/>
      <c r="AV241" s="195"/>
      <c r="AW241" s="195"/>
      <c r="AX241" s="195"/>
    </row>
    <row r="242" spans="1:58">
      <c r="B242" s="22"/>
      <c r="C242" s="23"/>
      <c r="E242" s="23"/>
      <c r="F242" s="23"/>
      <c r="G242" s="23"/>
      <c r="H242" s="23"/>
      <c r="I242" s="23"/>
      <c r="J242" s="23"/>
      <c r="K242" s="59"/>
      <c r="L242" s="195"/>
      <c r="M242" s="195"/>
      <c r="N242" s="195"/>
      <c r="O242" s="195"/>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95"/>
    </row>
    <row r="243" spans="1:58">
      <c r="A243" s="194" t="s">
        <v>16</v>
      </c>
      <c r="L243" s="194"/>
      <c r="M243" s="41"/>
    </row>
    <row r="244" spans="1:58">
      <c r="A244" s="194" t="s">
        <v>16</v>
      </c>
      <c r="C244" s="194">
        <f>C223</f>
        <v>1</v>
      </c>
      <c r="D244" s="194">
        <v>2012</v>
      </c>
      <c r="E244" s="194">
        <f>E223</f>
        <v>2015</v>
      </c>
      <c r="F244" s="194">
        <v>2017</v>
      </c>
      <c r="G244" s="194">
        <f>G223</f>
        <v>2020</v>
      </c>
      <c r="H244" s="194">
        <f>H223</f>
        <v>2030</v>
      </c>
      <c r="I244" s="194">
        <f t="shared" ref="I244:J244" si="645">I223</f>
        <v>2040</v>
      </c>
      <c r="J244" s="194">
        <f t="shared" si="645"/>
        <v>2050</v>
      </c>
      <c r="K244" s="194">
        <f>J223</f>
        <v>2050</v>
      </c>
      <c r="L244" s="121">
        <f>MATCH(J$254,$D$244:$K$244,$C244)</f>
        <v>1</v>
      </c>
      <c r="M244" s="200">
        <f t="shared" ref="M244:V245" si="646">MATCH(K$227,$D$223:$J$223,$C244)</f>
        <v>1</v>
      </c>
      <c r="N244" s="200">
        <f t="shared" si="646"/>
        <v>1</v>
      </c>
      <c r="O244" s="200">
        <f t="shared" si="646"/>
        <v>2</v>
      </c>
      <c r="P244" s="200">
        <f t="shared" si="646"/>
        <v>2</v>
      </c>
      <c r="Q244" s="200">
        <f t="shared" si="646"/>
        <v>3</v>
      </c>
      <c r="R244" s="200">
        <f t="shared" si="646"/>
        <v>3</v>
      </c>
      <c r="S244" s="200">
        <f t="shared" si="646"/>
        <v>3</v>
      </c>
      <c r="T244" s="200">
        <f t="shared" si="646"/>
        <v>4</v>
      </c>
      <c r="U244" s="200">
        <f t="shared" si="646"/>
        <v>4</v>
      </c>
      <c r="V244" s="200">
        <f t="shared" si="646"/>
        <v>4</v>
      </c>
      <c r="W244" s="200">
        <f t="shared" ref="W244:AF245" si="647">MATCH(U$227,$D$223:$J$223,$C244)</f>
        <v>4</v>
      </c>
      <c r="X244" s="200">
        <f t="shared" si="647"/>
        <v>4</v>
      </c>
      <c r="Y244" s="200">
        <f t="shared" si="647"/>
        <v>4</v>
      </c>
      <c r="Z244" s="200">
        <f t="shared" si="647"/>
        <v>4</v>
      </c>
      <c r="AA244" s="200">
        <f t="shared" si="647"/>
        <v>4</v>
      </c>
      <c r="AB244" s="200">
        <f t="shared" si="647"/>
        <v>4</v>
      </c>
      <c r="AC244" s="200">
        <f t="shared" si="647"/>
        <v>4</v>
      </c>
      <c r="AD244" s="200">
        <f t="shared" si="647"/>
        <v>5</v>
      </c>
      <c r="AE244" s="200">
        <f t="shared" si="647"/>
        <v>5</v>
      </c>
      <c r="AF244" s="200">
        <f t="shared" si="647"/>
        <v>5</v>
      </c>
      <c r="AG244" s="200">
        <f t="shared" ref="AG244:AP245" si="648">MATCH(AE$227,$D$223:$J$223,$C244)</f>
        <v>5</v>
      </c>
      <c r="AH244" s="200">
        <f t="shared" si="648"/>
        <v>5</v>
      </c>
      <c r="AI244" s="200">
        <f t="shared" si="648"/>
        <v>5</v>
      </c>
      <c r="AJ244" s="200">
        <f t="shared" si="648"/>
        <v>5</v>
      </c>
      <c r="AK244" s="200">
        <f t="shared" si="648"/>
        <v>5</v>
      </c>
      <c r="AL244" s="200">
        <f t="shared" si="648"/>
        <v>5</v>
      </c>
      <c r="AM244" s="200">
        <f t="shared" si="648"/>
        <v>5</v>
      </c>
      <c r="AN244" s="200">
        <f t="shared" si="648"/>
        <v>6</v>
      </c>
      <c r="AO244" s="200">
        <f t="shared" si="648"/>
        <v>6</v>
      </c>
      <c r="AP244" s="200">
        <f t="shared" si="648"/>
        <v>6</v>
      </c>
      <c r="AQ244" s="200">
        <f t="shared" ref="AQ244:AR245" si="649">MATCH(AO$227,$D$223:$J$223,$C244)</f>
        <v>6</v>
      </c>
      <c r="AR244" s="200">
        <f t="shared" si="649"/>
        <v>6</v>
      </c>
      <c r="AS244" s="200">
        <f t="shared" ref="AS244:BF245" si="650">MATCH(AQ$254,$D$223:$J$223,$C244)</f>
        <v>6</v>
      </c>
      <c r="AT244" s="200">
        <f t="shared" si="650"/>
        <v>6</v>
      </c>
      <c r="AU244" s="200">
        <f t="shared" si="650"/>
        <v>6</v>
      </c>
      <c r="AV244" s="200">
        <f t="shared" si="650"/>
        <v>6</v>
      </c>
      <c r="AW244" s="200">
        <f t="shared" si="650"/>
        <v>6</v>
      </c>
      <c r="AX244" s="200">
        <f t="shared" si="650"/>
        <v>7</v>
      </c>
      <c r="AY244" s="200">
        <f t="shared" si="650"/>
        <v>7</v>
      </c>
      <c r="AZ244" s="200">
        <f t="shared" si="650"/>
        <v>7</v>
      </c>
      <c r="BA244" s="200">
        <f t="shared" si="650"/>
        <v>7</v>
      </c>
      <c r="BB244" s="200">
        <f t="shared" si="650"/>
        <v>7</v>
      </c>
      <c r="BC244" s="200">
        <f t="shared" si="650"/>
        <v>7</v>
      </c>
      <c r="BD244" s="200">
        <f t="shared" si="650"/>
        <v>7</v>
      </c>
      <c r="BE244" s="200">
        <f t="shared" si="650"/>
        <v>7</v>
      </c>
      <c r="BF244" s="200">
        <f t="shared" si="650"/>
        <v>7</v>
      </c>
    </row>
    <row r="245" spans="1:58">
      <c r="A245" s="194" t="s">
        <v>16</v>
      </c>
      <c r="C245" s="194">
        <f>C224</f>
        <v>0</v>
      </c>
      <c r="D245" s="194">
        <f t="shared" ref="D245:J246" si="651">D224</f>
        <v>2050</v>
      </c>
      <c r="E245" s="194">
        <f t="shared" si="651"/>
        <v>2040</v>
      </c>
      <c r="F245" s="194">
        <f t="shared" si="651"/>
        <v>2030</v>
      </c>
      <c r="G245" s="194">
        <f t="shared" si="651"/>
        <v>2020</v>
      </c>
      <c r="H245" s="194">
        <f t="shared" si="651"/>
        <v>2017</v>
      </c>
      <c r="I245" s="194">
        <f t="shared" si="651"/>
        <v>2015</v>
      </c>
      <c r="J245" s="194">
        <f t="shared" si="651"/>
        <v>2006</v>
      </c>
      <c r="K245" s="194">
        <v>2012</v>
      </c>
      <c r="L245" s="41">
        <f>MATCH(J$254,$D$244:$K$244,$C245)</f>
        <v>1</v>
      </c>
      <c r="M245" s="194" t="e">
        <f t="shared" si="646"/>
        <v>#N/A</v>
      </c>
      <c r="N245" s="194" t="e">
        <f t="shared" si="646"/>
        <v>#N/A</v>
      </c>
      <c r="O245" s="194">
        <f t="shared" si="646"/>
        <v>2</v>
      </c>
      <c r="P245" s="194" t="e">
        <f t="shared" si="646"/>
        <v>#N/A</v>
      </c>
      <c r="Q245" s="194">
        <f t="shared" si="646"/>
        <v>3</v>
      </c>
      <c r="R245" s="194" t="e">
        <f t="shared" si="646"/>
        <v>#N/A</v>
      </c>
      <c r="S245" s="194" t="e">
        <f t="shared" si="646"/>
        <v>#N/A</v>
      </c>
      <c r="T245" s="194">
        <f t="shared" si="646"/>
        <v>4</v>
      </c>
      <c r="U245" s="194" t="e">
        <f t="shared" si="646"/>
        <v>#N/A</v>
      </c>
      <c r="V245" s="194" t="e">
        <f t="shared" si="646"/>
        <v>#N/A</v>
      </c>
      <c r="W245" s="194" t="e">
        <f t="shared" si="647"/>
        <v>#N/A</v>
      </c>
      <c r="X245" s="194" t="e">
        <f t="shared" si="647"/>
        <v>#N/A</v>
      </c>
      <c r="Y245" s="194" t="e">
        <f t="shared" si="647"/>
        <v>#N/A</v>
      </c>
      <c r="Z245" s="194" t="e">
        <f t="shared" si="647"/>
        <v>#N/A</v>
      </c>
      <c r="AA245" s="194" t="e">
        <f t="shared" si="647"/>
        <v>#N/A</v>
      </c>
      <c r="AB245" s="194" t="e">
        <f t="shared" si="647"/>
        <v>#N/A</v>
      </c>
      <c r="AC245" s="194" t="e">
        <f t="shared" si="647"/>
        <v>#N/A</v>
      </c>
      <c r="AD245" s="194">
        <f t="shared" si="647"/>
        <v>5</v>
      </c>
      <c r="AE245" s="194" t="e">
        <f t="shared" si="647"/>
        <v>#N/A</v>
      </c>
      <c r="AF245" s="194" t="e">
        <f t="shared" si="647"/>
        <v>#N/A</v>
      </c>
      <c r="AG245" s="194" t="e">
        <f t="shared" si="648"/>
        <v>#N/A</v>
      </c>
      <c r="AH245" s="194" t="e">
        <f t="shared" si="648"/>
        <v>#N/A</v>
      </c>
      <c r="AI245" s="194" t="e">
        <f t="shared" si="648"/>
        <v>#N/A</v>
      </c>
      <c r="AJ245" s="194" t="e">
        <f t="shared" si="648"/>
        <v>#N/A</v>
      </c>
      <c r="AK245" s="194" t="e">
        <f t="shared" si="648"/>
        <v>#N/A</v>
      </c>
      <c r="AL245" s="194" t="e">
        <f t="shared" si="648"/>
        <v>#N/A</v>
      </c>
      <c r="AM245" s="194" t="e">
        <f t="shared" si="648"/>
        <v>#N/A</v>
      </c>
      <c r="AN245" s="194">
        <f t="shared" si="648"/>
        <v>6</v>
      </c>
      <c r="AO245" s="194" t="e">
        <f t="shared" si="648"/>
        <v>#N/A</v>
      </c>
      <c r="AP245" s="194" t="e">
        <f t="shared" si="648"/>
        <v>#N/A</v>
      </c>
      <c r="AQ245" s="194" t="e">
        <f t="shared" si="649"/>
        <v>#N/A</v>
      </c>
      <c r="AR245" s="194" t="e">
        <f t="shared" si="649"/>
        <v>#N/A</v>
      </c>
      <c r="AS245" s="194" t="e">
        <f t="shared" si="650"/>
        <v>#N/A</v>
      </c>
      <c r="AT245" s="194" t="e">
        <f t="shared" si="650"/>
        <v>#N/A</v>
      </c>
      <c r="AU245" s="194" t="e">
        <f t="shared" si="650"/>
        <v>#N/A</v>
      </c>
      <c r="AV245" s="194" t="e">
        <f t="shared" si="650"/>
        <v>#N/A</v>
      </c>
      <c r="AW245" s="194" t="e">
        <f t="shared" si="650"/>
        <v>#N/A</v>
      </c>
      <c r="AX245" s="194">
        <f t="shared" si="650"/>
        <v>7</v>
      </c>
      <c r="AY245" s="194" t="e">
        <f t="shared" si="650"/>
        <v>#N/A</v>
      </c>
      <c r="AZ245" s="194" t="e">
        <f t="shared" si="650"/>
        <v>#N/A</v>
      </c>
      <c r="BA245" s="194" t="e">
        <f t="shared" si="650"/>
        <v>#N/A</v>
      </c>
      <c r="BB245" s="194" t="e">
        <f t="shared" si="650"/>
        <v>#N/A</v>
      </c>
      <c r="BC245" s="194" t="e">
        <f t="shared" si="650"/>
        <v>#N/A</v>
      </c>
      <c r="BD245" s="194" t="e">
        <f t="shared" si="650"/>
        <v>#N/A</v>
      </c>
      <c r="BE245" s="194" t="e">
        <f t="shared" si="650"/>
        <v>#N/A</v>
      </c>
      <c r="BF245" s="194" t="e">
        <f t="shared" si="650"/>
        <v>#N/A</v>
      </c>
    </row>
    <row r="246" spans="1:58">
      <c r="A246" s="194" t="s">
        <v>16</v>
      </c>
      <c r="C246" s="194">
        <f>C225</f>
        <v>-1</v>
      </c>
      <c r="D246" s="194">
        <f t="shared" si="651"/>
        <v>0</v>
      </c>
      <c r="E246" s="194">
        <f t="shared" si="651"/>
        <v>1</v>
      </c>
      <c r="F246" s="194">
        <v>2</v>
      </c>
      <c r="G246" s="194">
        <v>3</v>
      </c>
      <c r="H246" s="194">
        <v>4</v>
      </c>
      <c r="I246" s="194">
        <v>5</v>
      </c>
      <c r="J246" s="194">
        <v>6</v>
      </c>
      <c r="K246" s="194">
        <v>7</v>
      </c>
      <c r="L246" s="194">
        <f>MATCH(J$254,$D$245:$K$245,$C246)</f>
        <v>6</v>
      </c>
      <c r="M246" s="194">
        <f t="shared" ref="M246:AR246" si="652">MATCH(K$227,$D$224:$J$224,$C246)</f>
        <v>6</v>
      </c>
      <c r="N246" s="194">
        <f t="shared" si="652"/>
        <v>6</v>
      </c>
      <c r="O246" s="194">
        <f t="shared" si="652"/>
        <v>6</v>
      </c>
      <c r="P246" s="194">
        <f t="shared" si="652"/>
        <v>5</v>
      </c>
      <c r="Q246" s="194">
        <f t="shared" si="652"/>
        <v>5</v>
      </c>
      <c r="R246" s="194">
        <f t="shared" si="652"/>
        <v>4</v>
      </c>
      <c r="S246" s="194">
        <f t="shared" si="652"/>
        <v>4</v>
      </c>
      <c r="T246" s="194">
        <f t="shared" si="652"/>
        <v>4</v>
      </c>
      <c r="U246" s="194">
        <f t="shared" si="652"/>
        <v>3</v>
      </c>
      <c r="V246" s="194">
        <f t="shared" si="652"/>
        <v>3</v>
      </c>
      <c r="W246" s="194">
        <f t="shared" si="652"/>
        <v>3</v>
      </c>
      <c r="X246" s="194">
        <f t="shared" si="652"/>
        <v>3</v>
      </c>
      <c r="Y246" s="194">
        <f t="shared" si="652"/>
        <v>3</v>
      </c>
      <c r="Z246" s="194">
        <f t="shared" si="652"/>
        <v>3</v>
      </c>
      <c r="AA246" s="194">
        <f t="shared" si="652"/>
        <v>3</v>
      </c>
      <c r="AB246" s="194">
        <f t="shared" si="652"/>
        <v>3</v>
      </c>
      <c r="AC246" s="194">
        <f t="shared" si="652"/>
        <v>3</v>
      </c>
      <c r="AD246" s="194">
        <f t="shared" si="652"/>
        <v>3</v>
      </c>
      <c r="AE246" s="194">
        <f t="shared" si="652"/>
        <v>2</v>
      </c>
      <c r="AF246" s="194">
        <f t="shared" si="652"/>
        <v>2</v>
      </c>
      <c r="AG246" s="194">
        <f t="shared" si="652"/>
        <v>2</v>
      </c>
      <c r="AH246" s="194">
        <f t="shared" si="652"/>
        <v>2</v>
      </c>
      <c r="AI246" s="194">
        <f t="shared" si="652"/>
        <v>2</v>
      </c>
      <c r="AJ246" s="194">
        <f t="shared" si="652"/>
        <v>2</v>
      </c>
      <c r="AK246" s="194">
        <f t="shared" si="652"/>
        <v>2</v>
      </c>
      <c r="AL246" s="194">
        <f t="shared" si="652"/>
        <v>2</v>
      </c>
      <c r="AM246" s="194">
        <f t="shared" si="652"/>
        <v>2</v>
      </c>
      <c r="AN246" s="194">
        <f t="shared" si="652"/>
        <v>2</v>
      </c>
      <c r="AO246" s="194">
        <f t="shared" si="652"/>
        <v>1</v>
      </c>
      <c r="AP246" s="194">
        <f t="shared" si="652"/>
        <v>1</v>
      </c>
      <c r="AQ246" s="194">
        <f t="shared" si="652"/>
        <v>1</v>
      </c>
      <c r="AR246" s="194">
        <f t="shared" si="652"/>
        <v>1</v>
      </c>
      <c r="AS246" s="194">
        <f t="shared" ref="AS246:BF246" si="653">MATCH(AQ$254,$D$224:$J$224,$C246)</f>
        <v>1</v>
      </c>
      <c r="AT246" s="194">
        <f t="shared" si="653"/>
        <v>1</v>
      </c>
      <c r="AU246" s="194">
        <f t="shared" si="653"/>
        <v>1</v>
      </c>
      <c r="AV246" s="194">
        <f t="shared" si="653"/>
        <v>1</v>
      </c>
      <c r="AW246" s="194">
        <f t="shared" si="653"/>
        <v>1</v>
      </c>
      <c r="AX246" s="194">
        <f t="shared" si="653"/>
        <v>1</v>
      </c>
      <c r="AY246" s="194" t="e">
        <f t="shared" si="653"/>
        <v>#N/A</v>
      </c>
      <c r="AZ246" s="194" t="e">
        <f t="shared" si="653"/>
        <v>#N/A</v>
      </c>
      <c r="BA246" s="194" t="e">
        <f t="shared" si="653"/>
        <v>#N/A</v>
      </c>
      <c r="BB246" s="194" t="e">
        <f t="shared" si="653"/>
        <v>#N/A</v>
      </c>
      <c r="BC246" s="194" t="e">
        <f t="shared" si="653"/>
        <v>#N/A</v>
      </c>
      <c r="BD246" s="194" t="e">
        <f t="shared" si="653"/>
        <v>#N/A</v>
      </c>
      <c r="BE246" s="194" t="e">
        <f t="shared" si="653"/>
        <v>#N/A</v>
      </c>
      <c r="BF246" s="194" t="e">
        <f t="shared" si="653"/>
        <v>#N/A</v>
      </c>
    </row>
    <row r="247" spans="1:58">
      <c r="A247" s="194" t="s">
        <v>16</v>
      </c>
      <c r="L247" s="198">
        <f>IF(ISNA(L244),-1,IF(ISNA(L246),99,IF(ISNA(L245),L244,0)))</f>
        <v>0</v>
      </c>
      <c r="M247" s="198">
        <f>IF(ISNA(M244),-1,IF(ISNA(M246),99,IF(ISNA(M245),M244,0)))</f>
        <v>1</v>
      </c>
      <c r="N247" s="198">
        <f t="shared" ref="N247:BF247" si="654">IF(ISNA(N244),-1,IF(ISNA(N246),99,IF(ISNA(N245),N244,0)))</f>
        <v>1</v>
      </c>
      <c r="O247" s="198">
        <f t="shared" si="654"/>
        <v>0</v>
      </c>
      <c r="P247" s="198">
        <f t="shared" si="654"/>
        <v>2</v>
      </c>
      <c r="Q247" s="198">
        <f t="shared" si="654"/>
        <v>0</v>
      </c>
      <c r="R247" s="198">
        <f t="shared" si="654"/>
        <v>3</v>
      </c>
      <c r="S247" s="198">
        <f t="shared" si="654"/>
        <v>3</v>
      </c>
      <c r="T247" s="198">
        <f t="shared" si="654"/>
        <v>0</v>
      </c>
      <c r="U247" s="198">
        <f t="shared" si="654"/>
        <v>4</v>
      </c>
      <c r="V247" s="198">
        <f t="shared" si="654"/>
        <v>4</v>
      </c>
      <c r="W247" s="198">
        <f t="shared" si="654"/>
        <v>4</v>
      </c>
      <c r="X247" s="198">
        <f t="shared" si="654"/>
        <v>4</v>
      </c>
      <c r="Y247" s="198">
        <f t="shared" si="654"/>
        <v>4</v>
      </c>
      <c r="Z247" s="198">
        <f t="shared" si="654"/>
        <v>4</v>
      </c>
      <c r="AA247" s="198">
        <f t="shared" si="654"/>
        <v>4</v>
      </c>
      <c r="AB247" s="198">
        <f t="shared" si="654"/>
        <v>4</v>
      </c>
      <c r="AC247" s="198">
        <f t="shared" si="654"/>
        <v>4</v>
      </c>
      <c r="AD247" s="198">
        <f t="shared" si="654"/>
        <v>0</v>
      </c>
      <c r="AE247" s="198">
        <f t="shared" si="654"/>
        <v>5</v>
      </c>
      <c r="AF247" s="198">
        <f t="shared" si="654"/>
        <v>5</v>
      </c>
      <c r="AG247" s="198">
        <f t="shared" si="654"/>
        <v>5</v>
      </c>
      <c r="AH247" s="198">
        <f t="shared" si="654"/>
        <v>5</v>
      </c>
      <c r="AI247" s="198">
        <f t="shared" si="654"/>
        <v>5</v>
      </c>
      <c r="AJ247" s="198">
        <f t="shared" si="654"/>
        <v>5</v>
      </c>
      <c r="AK247" s="198">
        <f t="shared" si="654"/>
        <v>5</v>
      </c>
      <c r="AL247" s="198">
        <f t="shared" si="654"/>
        <v>5</v>
      </c>
      <c r="AM247" s="198">
        <f t="shared" si="654"/>
        <v>5</v>
      </c>
      <c r="AN247" s="198">
        <f t="shared" si="654"/>
        <v>0</v>
      </c>
      <c r="AO247" s="198">
        <f t="shared" si="654"/>
        <v>6</v>
      </c>
      <c r="AP247" s="198">
        <f t="shared" si="654"/>
        <v>6</v>
      </c>
      <c r="AQ247" s="198">
        <f t="shared" si="654"/>
        <v>6</v>
      </c>
      <c r="AR247" s="198">
        <f t="shared" si="654"/>
        <v>6</v>
      </c>
      <c r="AS247" s="198">
        <f t="shared" si="654"/>
        <v>6</v>
      </c>
      <c r="AT247" s="198">
        <f t="shared" si="654"/>
        <v>6</v>
      </c>
      <c r="AU247" s="198">
        <f t="shared" si="654"/>
        <v>6</v>
      </c>
      <c r="AV247" s="198">
        <f t="shared" si="654"/>
        <v>6</v>
      </c>
      <c r="AW247" s="198">
        <f t="shared" si="654"/>
        <v>6</v>
      </c>
      <c r="AX247" s="198">
        <f t="shared" si="654"/>
        <v>0</v>
      </c>
      <c r="AY247" s="198">
        <f t="shared" si="654"/>
        <v>99</v>
      </c>
      <c r="AZ247" s="198">
        <f t="shared" si="654"/>
        <v>99</v>
      </c>
      <c r="BA247" s="198">
        <f t="shared" si="654"/>
        <v>99</v>
      </c>
      <c r="BB247" s="198">
        <f t="shared" si="654"/>
        <v>99</v>
      </c>
      <c r="BC247" s="198">
        <f t="shared" si="654"/>
        <v>99</v>
      </c>
      <c r="BD247" s="198">
        <f t="shared" si="654"/>
        <v>99</v>
      </c>
      <c r="BE247" s="198">
        <f t="shared" si="654"/>
        <v>99</v>
      </c>
      <c r="BF247" s="198">
        <f t="shared" si="654"/>
        <v>99</v>
      </c>
    </row>
    <row r="248" spans="1:58">
      <c r="A248" s="194" t="s">
        <v>16</v>
      </c>
      <c r="B248" s="194" t="s">
        <v>275</v>
      </c>
      <c r="C248" s="195" t="s">
        <v>440</v>
      </c>
      <c r="D248" s="115">
        <f t="shared" ref="D248:E250" si="655">E107/E$111</f>
        <v>1.1168320336678089E-2</v>
      </c>
      <c r="E248" s="115">
        <f t="shared" si="655"/>
        <v>1.0290396474364307E-2</v>
      </c>
      <c r="F248" s="115"/>
      <c r="G248" s="115">
        <f>I107/I$111</f>
        <v>1.0363838119035788E-2</v>
      </c>
      <c r="H248" s="115">
        <f t="shared" ref="H248:J250" si="656">K107/K$111</f>
        <v>7.9753358165360975E-3</v>
      </c>
      <c r="I248" s="115">
        <f t="shared" si="656"/>
        <v>5.1876970637857915E-3</v>
      </c>
      <c r="J248" s="115">
        <f t="shared" si="656"/>
        <v>3.3503971198524658E-3</v>
      </c>
      <c r="K248" s="115">
        <f>M107/M$111</f>
        <v>3.3503971198524658E-3</v>
      </c>
      <c r="L248" s="194"/>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4" t="s">
        <v>16</v>
      </c>
      <c r="B249" s="194" t="s">
        <v>276</v>
      </c>
      <c r="C249" s="195" t="s">
        <v>440</v>
      </c>
      <c r="D249" s="115">
        <f t="shared" si="655"/>
        <v>0.37176231554491912</v>
      </c>
      <c r="E249" s="115">
        <f t="shared" si="655"/>
        <v>0.3595075461635161</v>
      </c>
      <c r="F249" s="115"/>
      <c r="G249" s="115">
        <f>I108/I$111</f>
        <v>0.39272791780634736</v>
      </c>
      <c r="H249" s="115">
        <f t="shared" si="656"/>
        <v>0.3403291533608202</v>
      </c>
      <c r="I249" s="115">
        <f t="shared" si="656"/>
        <v>0.29606116939307209</v>
      </c>
      <c r="J249" s="115">
        <f t="shared" si="656"/>
        <v>0.25919984417788239</v>
      </c>
      <c r="K249" s="115">
        <f>M108/M$111</f>
        <v>0.25919984417788239</v>
      </c>
      <c r="L249" s="194"/>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4" t="s">
        <v>16</v>
      </c>
      <c r="B250" s="194" t="s">
        <v>277</v>
      </c>
      <c r="C250" s="195" t="s">
        <v>440</v>
      </c>
      <c r="D250" s="115">
        <f t="shared" si="655"/>
        <v>0.55266700066342722</v>
      </c>
      <c r="E250" s="115">
        <f t="shared" si="655"/>
        <v>0.56952872129371868</v>
      </c>
      <c r="F250" s="115"/>
      <c r="G250" s="115">
        <f>I109/I$111</f>
        <v>0.54075507095766528</v>
      </c>
      <c r="H250" s="115">
        <f t="shared" si="656"/>
        <v>0.60315844957783715</v>
      </c>
      <c r="I250" s="115">
        <f t="shared" si="656"/>
        <v>0.65618826150166054</v>
      </c>
      <c r="J250" s="115">
        <f t="shared" si="656"/>
        <v>0.69744608241055361</v>
      </c>
      <c r="K250" s="115">
        <f>M109/M$111</f>
        <v>0.69744608241055361</v>
      </c>
      <c r="L250" s="194"/>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4" t="s">
        <v>16</v>
      </c>
      <c r="B251" s="194" t="str">
        <f>B248</f>
        <v>hhd-le</v>
      </c>
      <c r="C251" s="195" t="s">
        <v>439</v>
      </c>
      <c r="D251" s="115">
        <f t="shared" ref="D251:E251" si="657">SUM(E115:E117)/SUM(E$127:E$129)</f>
        <v>0.63107153379742353</v>
      </c>
      <c r="E251" s="115">
        <f t="shared" si="657"/>
        <v>0.61434308430549067</v>
      </c>
      <c r="F251" s="115"/>
      <c r="G251" s="115">
        <f>SUM(I115:I117)/SUM(I$127:I$129)</f>
        <v>0.60234286547689919</v>
      </c>
      <c r="H251" s="115">
        <f>SUM(K115:K117)/SUM(K$127:K$129)</f>
        <v>0.56039242354973118</v>
      </c>
      <c r="I251" s="115">
        <f>SUM(L115:L117)/SUM(L$127:L$129)</f>
        <v>0.483372383822534</v>
      </c>
      <c r="J251" s="115">
        <f>SUM(M115:M117)/SUM(M$127:M$129)</f>
        <v>0.4091654118323233</v>
      </c>
      <c r="K251" s="115">
        <f>SUM(M115:M117)/SUM(M$127:M$129)</f>
        <v>0.4091654118323233</v>
      </c>
      <c r="L251" s="194"/>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4" t="s">
        <v>16</v>
      </c>
      <c r="B252" s="194" t="str">
        <f>B249</f>
        <v>hhd-me</v>
      </c>
      <c r="C252" s="195" t="s">
        <v>439</v>
      </c>
      <c r="D252" s="115">
        <f t="shared" ref="D252:E252" si="658">SUM(E119:E121)/SUM(E$127:E$129)</f>
        <v>0.27372599606642106</v>
      </c>
      <c r="E252" s="115">
        <f t="shared" si="658"/>
        <v>0.28098494681565778</v>
      </c>
      <c r="F252" s="115"/>
      <c r="G252" s="115">
        <f>SUM(I119:I121)/SUM(I$127:I$129)</f>
        <v>0.29829371337120725</v>
      </c>
      <c r="H252" s="115">
        <f>SUM(K119:K121)/SUM(K$127:K$129)</f>
        <v>0.31482415495505223</v>
      </c>
      <c r="I252" s="115">
        <f>SUM(L119:L121)/SUM(L$127:L$129)</f>
        <v>0.36638079711029398</v>
      </c>
      <c r="J252" s="115">
        <f>SUM(M119:M121)/SUM(M$127:M$129)</f>
        <v>0.42392631813021686</v>
      </c>
      <c r="K252" s="115">
        <f>SUM(M119:M121)/SUM(M$127:M$129)</f>
        <v>0.42392631813021686</v>
      </c>
      <c r="L252" s="194"/>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4" t="s">
        <v>16</v>
      </c>
      <c r="B253" s="194" t="str">
        <f>B250</f>
        <v>hhd-he</v>
      </c>
      <c r="C253" s="195" t="s">
        <v>439</v>
      </c>
      <c r="D253" s="115">
        <f t="shared" ref="D253:E253" si="659">SUM(E123:E125)/SUM(E$127:E$129)</f>
        <v>9.5202470136155223E-2</v>
      </c>
      <c r="E253" s="115">
        <f t="shared" si="659"/>
        <v>0.10467196887885141</v>
      </c>
      <c r="F253" s="115"/>
      <c r="G253" s="115">
        <f>SUM(I123:I125)/SUM(I$127:I$129)</f>
        <v>9.9363421151893713E-2</v>
      </c>
      <c r="H253" s="115">
        <f>SUM(K123:K125)/SUM(K$127:K$129)</f>
        <v>0.12478342149521658</v>
      </c>
      <c r="I253" s="115">
        <f>SUM(L123:L125)/SUM(L$127:L$129)</f>
        <v>0.15024681906717205</v>
      </c>
      <c r="J253" s="115">
        <f>SUM(M123:M125)/SUM(M$127:M$129)</f>
        <v>0.16690827003745981</v>
      </c>
      <c r="K253" s="115">
        <f>SUM(M123:M125)/SUM(M$127:M$129)</f>
        <v>0.16690827003745981</v>
      </c>
      <c r="L253" s="194"/>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4" t="s">
        <v>16</v>
      </c>
      <c r="G254" s="5" t="s">
        <v>438</v>
      </c>
      <c r="J254" s="194">
        <f t="shared" ref="J254:AR254" si="660">J227</f>
        <v>2012</v>
      </c>
      <c r="K254" s="194">
        <f t="shared" si="660"/>
        <v>2013</v>
      </c>
      <c r="L254" s="194">
        <f t="shared" si="660"/>
        <v>2014</v>
      </c>
      <c r="M254" s="194">
        <f t="shared" si="660"/>
        <v>2015</v>
      </c>
      <c r="N254" s="194">
        <f t="shared" si="660"/>
        <v>2016</v>
      </c>
      <c r="O254" s="194">
        <f t="shared" si="660"/>
        <v>2017</v>
      </c>
      <c r="P254" s="194">
        <f t="shared" si="660"/>
        <v>2018</v>
      </c>
      <c r="Q254" s="194">
        <f t="shared" si="660"/>
        <v>2019</v>
      </c>
      <c r="R254" s="194">
        <f t="shared" si="660"/>
        <v>2020</v>
      </c>
      <c r="S254" s="194">
        <f t="shared" si="660"/>
        <v>2021</v>
      </c>
      <c r="T254" s="194">
        <f t="shared" si="660"/>
        <v>2022</v>
      </c>
      <c r="U254" s="194">
        <f t="shared" si="660"/>
        <v>2023</v>
      </c>
      <c r="V254" s="194">
        <f t="shared" si="660"/>
        <v>2024</v>
      </c>
      <c r="W254" s="194">
        <f t="shared" si="660"/>
        <v>2025</v>
      </c>
      <c r="X254" s="194">
        <f t="shared" si="660"/>
        <v>2026</v>
      </c>
      <c r="Y254" s="194">
        <f t="shared" si="660"/>
        <v>2027</v>
      </c>
      <c r="Z254" s="194">
        <f t="shared" si="660"/>
        <v>2028</v>
      </c>
      <c r="AA254" s="194">
        <f t="shared" si="660"/>
        <v>2029</v>
      </c>
      <c r="AB254" s="194">
        <f t="shared" si="660"/>
        <v>2030</v>
      </c>
      <c r="AC254" s="194">
        <f t="shared" si="660"/>
        <v>2031</v>
      </c>
      <c r="AD254" s="194">
        <f t="shared" si="660"/>
        <v>2032</v>
      </c>
      <c r="AE254" s="194">
        <f t="shared" si="660"/>
        <v>2033</v>
      </c>
      <c r="AF254" s="194">
        <f t="shared" si="660"/>
        <v>2034</v>
      </c>
      <c r="AG254" s="194">
        <f t="shared" si="660"/>
        <v>2035</v>
      </c>
      <c r="AH254" s="194">
        <f t="shared" si="660"/>
        <v>2036</v>
      </c>
      <c r="AI254" s="194">
        <f t="shared" si="660"/>
        <v>2037</v>
      </c>
      <c r="AJ254" s="194">
        <f t="shared" si="660"/>
        <v>2038</v>
      </c>
      <c r="AK254" s="194">
        <f t="shared" si="660"/>
        <v>2039</v>
      </c>
      <c r="AL254" s="194">
        <f t="shared" si="660"/>
        <v>2040</v>
      </c>
      <c r="AM254" s="194">
        <f t="shared" si="660"/>
        <v>2041</v>
      </c>
      <c r="AN254" s="194">
        <f t="shared" si="660"/>
        <v>2042</v>
      </c>
      <c r="AO254" s="194">
        <f t="shared" si="660"/>
        <v>2043</v>
      </c>
      <c r="AP254" s="194">
        <f t="shared" si="660"/>
        <v>2044</v>
      </c>
      <c r="AQ254" s="194">
        <f t="shared" si="660"/>
        <v>2045</v>
      </c>
      <c r="AR254" s="194">
        <f t="shared" si="660"/>
        <v>2046</v>
      </c>
      <c r="AS254" s="194">
        <f>AR254+1</f>
        <v>2047</v>
      </c>
      <c r="AT254" s="194">
        <f t="shared" ref="AT254:BB254" si="661">AS254+1</f>
        <v>2048</v>
      </c>
      <c r="AU254" s="194">
        <f t="shared" si="661"/>
        <v>2049</v>
      </c>
      <c r="AV254" s="194">
        <f t="shared" si="661"/>
        <v>2050</v>
      </c>
      <c r="AW254" s="194">
        <f t="shared" si="661"/>
        <v>2051</v>
      </c>
      <c r="AX254" s="194">
        <f t="shared" si="661"/>
        <v>2052</v>
      </c>
      <c r="AY254" s="194">
        <f t="shared" si="661"/>
        <v>2053</v>
      </c>
      <c r="AZ254" s="194">
        <f t="shared" si="661"/>
        <v>2054</v>
      </c>
      <c r="BA254" s="194">
        <f t="shared" si="661"/>
        <v>2055</v>
      </c>
      <c r="BB254" s="194">
        <f t="shared" si="661"/>
        <v>2056</v>
      </c>
      <c r="BC254" s="194">
        <v>2060</v>
      </c>
      <c r="BD254" s="194">
        <v>2070</v>
      </c>
    </row>
    <row r="255" spans="1:58">
      <c r="A255" s="194" t="s">
        <v>16</v>
      </c>
      <c r="E255" s="194" t="s">
        <v>441</v>
      </c>
      <c r="F255" s="194" t="s">
        <v>441</v>
      </c>
      <c r="G255" s="194" t="s">
        <v>435</v>
      </c>
      <c r="H255" s="195" t="s">
        <v>440</v>
      </c>
      <c r="I255" s="194" t="s">
        <v>275</v>
      </c>
      <c r="J255" s="195">
        <f t="shared" ref="J255:J260" si="662">D248</f>
        <v>1.1168320336678089E-2</v>
      </c>
      <c r="K255" s="195">
        <f t="shared" ref="K255:T260" si="663">IF(M$247=-1,L255,IF(M$247=99,J255,IF(M$247=0,INDEX($D248:$K248,0,M$245),(INDEX($D248:$K248,0,M$247+1)-INDEX($D248:$K248,0,M$247))/(INDEX($D$244:$K$244,0,M$247+1)-INDEX($D$244:$K$244,0,M$247))+J255)))</f>
        <v>1.0875679049240162E-2</v>
      </c>
      <c r="L255" s="195">
        <f t="shared" si="663"/>
        <v>1.0583037761802234E-2</v>
      </c>
      <c r="M255" s="195">
        <f t="shared" si="663"/>
        <v>1.0290396474364307E-2</v>
      </c>
      <c r="N255" s="195">
        <f t="shared" si="663"/>
        <v>5.1451982371821534E-3</v>
      </c>
      <c r="O255" s="195">
        <f t="shared" si="663"/>
        <v>0</v>
      </c>
      <c r="P255" s="195">
        <f t="shared" si="663"/>
        <v>3.4546127063452628E-3</v>
      </c>
      <c r="Q255" s="195">
        <f t="shared" si="663"/>
        <v>6.9092254126905256E-3</v>
      </c>
      <c r="R255" s="195">
        <f t="shared" si="663"/>
        <v>1.0363838119035788E-2</v>
      </c>
      <c r="S255" s="195">
        <f t="shared" si="663"/>
        <v>1.0124987888785819E-2</v>
      </c>
      <c r="T255" s="195">
        <f t="shared" si="663"/>
        <v>9.8861376585358506E-3</v>
      </c>
      <c r="U255" s="195">
        <f t="shared" ref="U255:AD260" si="664">IF(W$247=-1,V255,IF(W$247=99,T255,IF(W$247=0,INDEX($D248:$K248,0,W$245),(INDEX($D248:$K248,0,W$247+1)-INDEX($D248:$K248,0,W$247))/(INDEX($D$244:$K$244,0,W$247+1)-INDEX($D$244:$K$244,0,W$247))+T255)))</f>
        <v>9.6472874282858816E-3</v>
      </c>
      <c r="V255" s="195">
        <f t="shared" si="664"/>
        <v>9.4084371980359127E-3</v>
      </c>
      <c r="W255" s="195">
        <f t="shared" si="664"/>
        <v>9.1695869677859438E-3</v>
      </c>
      <c r="X255" s="195">
        <f t="shared" si="664"/>
        <v>8.9307367375359749E-3</v>
      </c>
      <c r="Y255" s="195">
        <f t="shared" si="664"/>
        <v>8.691886507286006E-3</v>
      </c>
      <c r="Z255" s="195">
        <f t="shared" si="664"/>
        <v>8.453036277036037E-3</v>
      </c>
      <c r="AA255" s="195">
        <f t="shared" si="664"/>
        <v>8.2141860467860681E-3</v>
      </c>
      <c r="AB255" s="195">
        <f t="shared" si="664"/>
        <v>7.9753358165360975E-3</v>
      </c>
      <c r="AC255" s="195">
        <f t="shared" si="664"/>
        <v>7.6965719412610666E-3</v>
      </c>
      <c r="AD255" s="195">
        <f t="shared" si="664"/>
        <v>7.4178080659860358E-3</v>
      </c>
      <c r="AE255" s="195">
        <f t="shared" ref="AE255:AN260" si="665">IF(AG$247=-1,AF255,IF(AG$247=99,AD255,IF(AG$247=0,INDEX($D248:$K248,0,AG$245),(INDEX($D248:$K248,0,AG$247+1)-INDEX($D248:$K248,0,AG$247))/(INDEX($D$244:$K$244,0,AG$247+1)-INDEX($D$244:$K$244,0,AG$247))+AD255)))</f>
        <v>7.1390441907110049E-3</v>
      </c>
      <c r="AF255" s="195">
        <f t="shared" si="665"/>
        <v>6.8602803154359741E-3</v>
      </c>
      <c r="AG255" s="195">
        <f t="shared" si="665"/>
        <v>6.5815164401609432E-3</v>
      </c>
      <c r="AH255" s="195">
        <f t="shared" si="665"/>
        <v>6.3027525648859124E-3</v>
      </c>
      <c r="AI255" s="195">
        <f t="shared" si="665"/>
        <v>6.0239886896108815E-3</v>
      </c>
      <c r="AJ255" s="195">
        <f t="shared" si="665"/>
        <v>5.7452248143358507E-3</v>
      </c>
      <c r="AK255" s="195">
        <f t="shared" si="665"/>
        <v>5.4664609390608198E-3</v>
      </c>
      <c r="AL255" s="195">
        <f t="shared" si="665"/>
        <v>5.1876970637857915E-3</v>
      </c>
      <c r="AM255" s="195">
        <f t="shared" si="665"/>
        <v>5.0039670693924586E-3</v>
      </c>
      <c r="AN255" s="195">
        <f t="shared" si="665"/>
        <v>4.8202370749991256E-3</v>
      </c>
      <c r="AO255" s="195">
        <f t="shared" ref="AO255:AQ260" si="666">IF(AQ$247=-1,AP255,IF(AQ$247=99,AN255,IF(AQ$247=0,INDEX($D248:$K248,0,AQ$245),(INDEX($D248:$K248,0,AQ$247+1)-INDEX($D248:$K248,0,AQ$247))/(INDEX($D$244:$K$244,0,AQ$247+1)-INDEX($D$244:$K$244,0,AQ$247))+AN255)))</f>
        <v>4.6365070806057927E-3</v>
      </c>
      <c r="AP255" s="195">
        <f t="shared" si="666"/>
        <v>4.4527770862124597E-3</v>
      </c>
      <c r="AQ255" s="195">
        <f t="shared" si="666"/>
        <v>4.2690470918191267E-3</v>
      </c>
      <c r="AR255" s="195">
        <f t="shared" ref="AR255:AW260" si="667">IF(AT$247=-1,AW255,IF(AT$247=99,AQ255,IF(AT$247=0,INDEX($D248:$K248,0,AT$245),(INDEX($D248:$K248,0,AT$247+1)-INDEX($D248:$K248,0,AT$247))/(INDEX($D$244:$K$244,0,AT$247+1)-INDEX($D$244:$K$244,0,AT$247))+AQ255)))</f>
        <v>4.0853170974257938E-3</v>
      </c>
      <c r="AS255" s="195">
        <f t="shared" si="667"/>
        <v>3.9015871030324612E-3</v>
      </c>
      <c r="AT255" s="195">
        <f t="shared" si="667"/>
        <v>3.7178571086391287E-3</v>
      </c>
      <c r="AU255" s="195">
        <f t="shared" si="667"/>
        <v>3.5341271142457962E-3</v>
      </c>
      <c r="AV255" s="195">
        <f t="shared" si="667"/>
        <v>3.3503971198524658E-3</v>
      </c>
      <c r="AW255" s="195">
        <f t="shared" si="667"/>
        <v>3.3503971198524658E-3</v>
      </c>
      <c r="AX255" s="195">
        <f t="shared" ref="AX255:BD260" si="668">IF(AV$247=-1,AZ255,IF(AV$247=99,AW255,IF(AV$247=0,INDEX($D248:$K248,0,AV$245),(INDEX($D248:$K248,0,AV$247+1)-INDEX($D248:$K248,0,AV$247))/(INDEX($D$244:$K$244,0,AV$247+1)-INDEX($D$244:$K$244,0,AV$247))+AW255)))</f>
        <v>3.1666671254591333E-3</v>
      </c>
      <c r="AY255" s="195">
        <f t="shared" si="668"/>
        <v>2.9829371310658007E-3</v>
      </c>
      <c r="AZ255" s="195">
        <f t="shared" si="668"/>
        <v>3.3503971198524658E-3</v>
      </c>
      <c r="BA255" s="195">
        <f t="shared" si="668"/>
        <v>3.3503971198524658E-3</v>
      </c>
      <c r="BB255" s="195">
        <f t="shared" si="668"/>
        <v>3.3503971198524658E-3</v>
      </c>
      <c r="BC255" s="195">
        <f t="shared" si="668"/>
        <v>3.3503971198524658E-3</v>
      </c>
      <c r="BD255" s="195">
        <f t="shared" si="668"/>
        <v>3.3503971198524658E-3</v>
      </c>
    </row>
    <row r="256" spans="1:58">
      <c r="A256" s="194" t="s">
        <v>16</v>
      </c>
      <c r="E256" s="194" t="s">
        <v>441</v>
      </c>
      <c r="F256" s="194" t="s">
        <v>441</v>
      </c>
      <c r="G256" s="194" t="s">
        <v>436</v>
      </c>
      <c r="H256" s="195" t="s">
        <v>440</v>
      </c>
      <c r="I256" s="194" t="s">
        <v>276</v>
      </c>
      <c r="J256" s="195">
        <f t="shared" si="662"/>
        <v>0.37176231554491912</v>
      </c>
      <c r="K256" s="195">
        <f t="shared" si="663"/>
        <v>0.3676773924177848</v>
      </c>
      <c r="L256" s="195">
        <f t="shared" si="663"/>
        <v>0.36359246929065048</v>
      </c>
      <c r="M256" s="195">
        <f t="shared" si="663"/>
        <v>0.3595075461635161</v>
      </c>
      <c r="N256" s="195">
        <f t="shared" si="663"/>
        <v>0.17975377308175805</v>
      </c>
      <c r="O256" s="195">
        <f t="shared" si="663"/>
        <v>0</v>
      </c>
      <c r="P256" s="195">
        <f t="shared" si="663"/>
        <v>0.13090930593544911</v>
      </c>
      <c r="Q256" s="195">
        <f t="shared" si="663"/>
        <v>0.26181861187089822</v>
      </c>
      <c r="R256" s="195">
        <f t="shared" si="663"/>
        <v>0.39272791780634736</v>
      </c>
      <c r="S256" s="195">
        <f t="shared" si="663"/>
        <v>0.38748804136179466</v>
      </c>
      <c r="T256" s="195">
        <f t="shared" si="663"/>
        <v>0.38224816491724195</v>
      </c>
      <c r="U256" s="195">
        <f t="shared" si="664"/>
        <v>0.37700828847268925</v>
      </c>
      <c r="V256" s="195">
        <f t="shared" si="664"/>
        <v>0.37176841202813654</v>
      </c>
      <c r="W256" s="195">
        <f t="shared" si="664"/>
        <v>0.36652853558358384</v>
      </c>
      <c r="X256" s="195">
        <f t="shared" si="664"/>
        <v>0.36128865913903113</v>
      </c>
      <c r="Y256" s="195">
        <f t="shared" si="664"/>
        <v>0.35604878269447843</v>
      </c>
      <c r="Z256" s="195">
        <f t="shared" si="664"/>
        <v>0.35080890624992572</v>
      </c>
      <c r="AA256" s="195">
        <f t="shared" si="664"/>
        <v>0.34556902980537302</v>
      </c>
      <c r="AB256" s="195">
        <f t="shared" si="664"/>
        <v>0.3403291533608202</v>
      </c>
      <c r="AC256" s="195">
        <f t="shared" si="664"/>
        <v>0.33590235496404541</v>
      </c>
      <c r="AD256" s="195">
        <f t="shared" si="664"/>
        <v>0.33147555656727062</v>
      </c>
      <c r="AE256" s="195">
        <f t="shared" si="665"/>
        <v>0.32704875817049583</v>
      </c>
      <c r="AF256" s="195">
        <f t="shared" si="665"/>
        <v>0.32262195977372105</v>
      </c>
      <c r="AG256" s="195">
        <f t="shared" si="665"/>
        <v>0.31819516137694626</v>
      </c>
      <c r="AH256" s="195">
        <f t="shared" si="665"/>
        <v>0.31376836298017147</v>
      </c>
      <c r="AI256" s="195">
        <f t="shared" si="665"/>
        <v>0.30934156458339668</v>
      </c>
      <c r="AJ256" s="195">
        <f t="shared" si="665"/>
        <v>0.30491476618662189</v>
      </c>
      <c r="AK256" s="195">
        <f t="shared" si="665"/>
        <v>0.3004879677898471</v>
      </c>
      <c r="AL256" s="195">
        <f t="shared" si="665"/>
        <v>0.29606116939307209</v>
      </c>
      <c r="AM256" s="195">
        <f t="shared" si="665"/>
        <v>0.29237503687155314</v>
      </c>
      <c r="AN256" s="195">
        <f t="shared" si="665"/>
        <v>0.28868890435003419</v>
      </c>
      <c r="AO256" s="195">
        <f t="shared" si="666"/>
        <v>0.28500277182851524</v>
      </c>
      <c r="AP256" s="195">
        <f t="shared" si="666"/>
        <v>0.2813166393069963</v>
      </c>
      <c r="AQ256" s="195">
        <f t="shared" si="666"/>
        <v>0.27763050678547735</v>
      </c>
      <c r="AR256" s="195">
        <f t="shared" si="667"/>
        <v>0.2739443742639584</v>
      </c>
      <c r="AS256" s="195">
        <f t="shared" si="667"/>
        <v>0.27025824174243945</v>
      </c>
      <c r="AT256" s="195">
        <f t="shared" si="667"/>
        <v>0.26657210922092051</v>
      </c>
      <c r="AU256" s="195">
        <f t="shared" si="667"/>
        <v>0.26288597669940156</v>
      </c>
      <c r="AV256" s="195">
        <f t="shared" si="667"/>
        <v>0.25919984417788239</v>
      </c>
      <c r="AW256" s="195">
        <f t="shared" si="667"/>
        <v>0.25919984417788239</v>
      </c>
      <c r="AX256" s="195">
        <f t="shared" si="668"/>
        <v>0.25551371165636344</v>
      </c>
      <c r="AY256" s="195">
        <f t="shared" si="668"/>
        <v>0.25182757913484449</v>
      </c>
      <c r="AZ256" s="195">
        <f t="shared" si="668"/>
        <v>0.25919984417788239</v>
      </c>
      <c r="BA256" s="195">
        <f t="shared" si="668"/>
        <v>0.25919984417788239</v>
      </c>
      <c r="BB256" s="195">
        <f t="shared" si="668"/>
        <v>0.25919984417788239</v>
      </c>
      <c r="BC256" s="195">
        <f t="shared" si="668"/>
        <v>0.25919984417788239</v>
      </c>
      <c r="BD256" s="195">
        <f t="shared" si="668"/>
        <v>0.25919984417788239</v>
      </c>
    </row>
    <row r="257" spans="1:56">
      <c r="A257" s="194" t="s">
        <v>16</v>
      </c>
      <c r="E257" s="194" t="s">
        <v>441</v>
      </c>
      <c r="F257" s="194" t="s">
        <v>441</v>
      </c>
      <c r="G257" s="194" t="s">
        <v>437</v>
      </c>
      <c r="H257" s="195" t="s">
        <v>440</v>
      </c>
      <c r="I257" s="194" t="s">
        <v>277</v>
      </c>
      <c r="J257" s="195">
        <f t="shared" si="662"/>
        <v>0.55266700066342722</v>
      </c>
      <c r="K257" s="195">
        <f t="shared" si="663"/>
        <v>0.55828757420685771</v>
      </c>
      <c r="L257" s="195">
        <f t="shared" si="663"/>
        <v>0.56390814775028819</v>
      </c>
      <c r="M257" s="195">
        <f t="shared" si="663"/>
        <v>0.56952872129371868</v>
      </c>
      <c r="N257" s="195">
        <f t="shared" si="663"/>
        <v>0.28476436064685934</v>
      </c>
      <c r="O257" s="195">
        <f t="shared" si="663"/>
        <v>0</v>
      </c>
      <c r="P257" s="195">
        <f t="shared" si="663"/>
        <v>0.18025169031922175</v>
      </c>
      <c r="Q257" s="195">
        <f t="shared" si="663"/>
        <v>0.3605033806384435</v>
      </c>
      <c r="R257" s="195">
        <f t="shared" si="663"/>
        <v>0.54075507095766528</v>
      </c>
      <c r="S257" s="195">
        <f t="shared" si="663"/>
        <v>0.54699540881968245</v>
      </c>
      <c r="T257" s="195">
        <f t="shared" si="663"/>
        <v>0.55323574668169961</v>
      </c>
      <c r="U257" s="195">
        <f t="shared" si="664"/>
        <v>0.55947608454371678</v>
      </c>
      <c r="V257" s="195">
        <f t="shared" si="664"/>
        <v>0.56571642240573394</v>
      </c>
      <c r="W257" s="195">
        <f t="shared" si="664"/>
        <v>0.57195676026775111</v>
      </c>
      <c r="X257" s="195">
        <f t="shared" si="664"/>
        <v>0.57819709812976827</v>
      </c>
      <c r="Y257" s="195">
        <f t="shared" si="664"/>
        <v>0.58443743599178544</v>
      </c>
      <c r="Z257" s="195">
        <f t="shared" si="664"/>
        <v>0.5906777738538026</v>
      </c>
      <c r="AA257" s="195">
        <f t="shared" si="664"/>
        <v>0.59691811171581977</v>
      </c>
      <c r="AB257" s="195">
        <f t="shared" si="664"/>
        <v>0.60315844957783715</v>
      </c>
      <c r="AC257" s="195">
        <f t="shared" si="664"/>
        <v>0.60846143077021952</v>
      </c>
      <c r="AD257" s="195">
        <f t="shared" si="664"/>
        <v>0.6137644119626019</v>
      </c>
      <c r="AE257" s="195">
        <f t="shared" si="665"/>
        <v>0.61906739315498427</v>
      </c>
      <c r="AF257" s="195">
        <f t="shared" si="665"/>
        <v>0.62437037434736664</v>
      </c>
      <c r="AG257" s="195">
        <f t="shared" si="665"/>
        <v>0.62967335553974901</v>
      </c>
      <c r="AH257" s="195">
        <f t="shared" si="665"/>
        <v>0.63497633673213139</v>
      </c>
      <c r="AI257" s="195">
        <f t="shared" si="665"/>
        <v>0.64027931792451376</v>
      </c>
      <c r="AJ257" s="195">
        <f t="shared" si="665"/>
        <v>0.64558229911689613</v>
      </c>
      <c r="AK257" s="195">
        <f t="shared" si="665"/>
        <v>0.6508852803092785</v>
      </c>
      <c r="AL257" s="195">
        <f t="shared" si="665"/>
        <v>0.65618826150166054</v>
      </c>
      <c r="AM257" s="195">
        <f t="shared" si="665"/>
        <v>0.66031404359254986</v>
      </c>
      <c r="AN257" s="195">
        <f t="shared" si="665"/>
        <v>0.66443982568343918</v>
      </c>
      <c r="AO257" s="195">
        <f t="shared" si="666"/>
        <v>0.6685656077743285</v>
      </c>
      <c r="AP257" s="195">
        <f t="shared" si="666"/>
        <v>0.67269138986521781</v>
      </c>
      <c r="AQ257" s="195">
        <f t="shared" si="666"/>
        <v>0.67681717195610713</v>
      </c>
      <c r="AR257" s="195">
        <f t="shared" si="667"/>
        <v>0.68094295404699645</v>
      </c>
      <c r="AS257" s="195">
        <f t="shared" si="667"/>
        <v>0.68506873613788577</v>
      </c>
      <c r="AT257" s="195">
        <f t="shared" si="667"/>
        <v>0.68919451822877509</v>
      </c>
      <c r="AU257" s="195">
        <f t="shared" si="667"/>
        <v>0.69332030031966441</v>
      </c>
      <c r="AV257" s="195">
        <f t="shared" si="667"/>
        <v>0.69744608241055361</v>
      </c>
      <c r="AW257" s="195">
        <f t="shared" si="667"/>
        <v>0.69744608241055361</v>
      </c>
      <c r="AX257" s="195">
        <f t="shared" si="668"/>
        <v>0.70157186450144293</v>
      </c>
      <c r="AY257" s="195">
        <f t="shared" si="668"/>
        <v>0.70569764659233225</v>
      </c>
      <c r="AZ257" s="195">
        <f t="shared" si="668"/>
        <v>0.69744608241055361</v>
      </c>
      <c r="BA257" s="195">
        <f t="shared" si="668"/>
        <v>0.69744608241055361</v>
      </c>
      <c r="BB257" s="195">
        <f t="shared" si="668"/>
        <v>0.69744608241055361</v>
      </c>
      <c r="BC257" s="195">
        <f t="shared" si="668"/>
        <v>0.69744608241055361</v>
      </c>
      <c r="BD257" s="195">
        <f t="shared" si="668"/>
        <v>0.69744608241055361</v>
      </c>
    </row>
    <row r="258" spans="1:56">
      <c r="A258" s="194" t="s">
        <v>16</v>
      </c>
      <c r="E258" s="194" t="s">
        <v>442</v>
      </c>
      <c r="F258" s="194" t="s">
        <v>442</v>
      </c>
      <c r="G258" s="194" t="str">
        <f>G255</f>
        <v>low income</v>
      </c>
      <c r="H258" s="195" t="s">
        <v>439</v>
      </c>
      <c r="I258" s="194" t="str">
        <f>I255</f>
        <v>hhd-le</v>
      </c>
      <c r="J258" s="195">
        <f t="shared" si="662"/>
        <v>0.63107153379742353</v>
      </c>
      <c r="K258" s="195">
        <f t="shared" si="663"/>
        <v>0.62549538396677928</v>
      </c>
      <c r="L258" s="195">
        <f t="shared" si="663"/>
        <v>0.61991923413613503</v>
      </c>
      <c r="M258" s="195">
        <f t="shared" si="663"/>
        <v>0.61434308430549067</v>
      </c>
      <c r="N258" s="195">
        <f t="shared" si="663"/>
        <v>0.30717154215274534</v>
      </c>
      <c r="O258" s="195">
        <f t="shared" si="663"/>
        <v>0</v>
      </c>
      <c r="P258" s="195">
        <f t="shared" si="663"/>
        <v>0.20078095515896641</v>
      </c>
      <c r="Q258" s="195">
        <f t="shared" si="663"/>
        <v>0.40156191031793281</v>
      </c>
      <c r="R258" s="195">
        <f t="shared" si="663"/>
        <v>0.60234286547689919</v>
      </c>
      <c r="S258" s="195">
        <f t="shared" si="663"/>
        <v>0.59814782128418242</v>
      </c>
      <c r="T258" s="195">
        <f t="shared" si="663"/>
        <v>0.59395277709146566</v>
      </c>
      <c r="U258" s="195">
        <f t="shared" si="664"/>
        <v>0.58975773289874889</v>
      </c>
      <c r="V258" s="195">
        <f t="shared" si="664"/>
        <v>0.58556268870603212</v>
      </c>
      <c r="W258" s="195">
        <f t="shared" si="664"/>
        <v>0.58136764451331535</v>
      </c>
      <c r="X258" s="195">
        <f t="shared" si="664"/>
        <v>0.57717260032059858</v>
      </c>
      <c r="Y258" s="195">
        <f t="shared" si="664"/>
        <v>0.57297755612788182</v>
      </c>
      <c r="Z258" s="195">
        <f t="shared" si="664"/>
        <v>0.56878251193516505</v>
      </c>
      <c r="AA258" s="195">
        <f t="shared" si="664"/>
        <v>0.56458746774244828</v>
      </c>
      <c r="AB258" s="195">
        <f t="shared" si="664"/>
        <v>0.56039242354973118</v>
      </c>
      <c r="AC258" s="195">
        <f t="shared" si="664"/>
        <v>0.55269041957701148</v>
      </c>
      <c r="AD258" s="195">
        <f t="shared" si="664"/>
        <v>0.54498841560429179</v>
      </c>
      <c r="AE258" s="195">
        <f t="shared" si="665"/>
        <v>0.53728641163157209</v>
      </c>
      <c r="AF258" s="195">
        <f t="shared" si="665"/>
        <v>0.5295844076588524</v>
      </c>
      <c r="AG258" s="195">
        <f t="shared" si="665"/>
        <v>0.5218824036861327</v>
      </c>
      <c r="AH258" s="195">
        <f t="shared" si="665"/>
        <v>0.51418039971341301</v>
      </c>
      <c r="AI258" s="195">
        <f t="shared" si="665"/>
        <v>0.50647839574069331</v>
      </c>
      <c r="AJ258" s="195">
        <f t="shared" si="665"/>
        <v>0.49877639176797361</v>
      </c>
      <c r="AK258" s="195">
        <f t="shared" si="665"/>
        <v>0.49107438779525392</v>
      </c>
      <c r="AL258" s="195">
        <f t="shared" si="665"/>
        <v>0.483372383822534</v>
      </c>
      <c r="AM258" s="195">
        <f t="shared" si="665"/>
        <v>0.47595168662351295</v>
      </c>
      <c r="AN258" s="195">
        <f t="shared" si="665"/>
        <v>0.46853098942449189</v>
      </c>
      <c r="AO258" s="195">
        <f t="shared" si="666"/>
        <v>0.46111029222547084</v>
      </c>
      <c r="AP258" s="195">
        <f t="shared" si="666"/>
        <v>0.45368959502644979</v>
      </c>
      <c r="AQ258" s="195">
        <f t="shared" si="666"/>
        <v>0.44626889782742873</v>
      </c>
      <c r="AR258" s="195">
        <f t="shared" si="667"/>
        <v>0.43884820062840768</v>
      </c>
      <c r="AS258" s="195">
        <f t="shared" si="667"/>
        <v>0.43142750342938663</v>
      </c>
      <c r="AT258" s="195">
        <f t="shared" si="667"/>
        <v>0.42400680623036557</v>
      </c>
      <c r="AU258" s="195">
        <f t="shared" si="667"/>
        <v>0.41658610903134452</v>
      </c>
      <c r="AV258" s="195">
        <f t="shared" si="667"/>
        <v>0.4091654118323233</v>
      </c>
      <c r="AW258" s="195">
        <f t="shared" si="667"/>
        <v>0.4091654118323233</v>
      </c>
      <c r="AX258" s="195">
        <f t="shared" si="668"/>
        <v>0.40174471463330225</v>
      </c>
      <c r="AY258" s="195">
        <f t="shared" si="668"/>
        <v>0.39432401743428119</v>
      </c>
      <c r="AZ258" s="195">
        <f t="shared" si="668"/>
        <v>0.4091654118323233</v>
      </c>
      <c r="BA258" s="195">
        <f t="shared" si="668"/>
        <v>0.4091654118323233</v>
      </c>
      <c r="BB258" s="195">
        <f t="shared" si="668"/>
        <v>0.4091654118323233</v>
      </c>
      <c r="BC258" s="195">
        <f t="shared" si="668"/>
        <v>0.4091654118323233</v>
      </c>
      <c r="BD258" s="195">
        <f t="shared" si="668"/>
        <v>0.4091654118323233</v>
      </c>
    </row>
    <row r="259" spans="1:56">
      <c r="A259" s="194" t="s">
        <v>16</v>
      </c>
      <c r="E259" s="194" t="s">
        <v>442</v>
      </c>
      <c r="F259" s="194" t="s">
        <v>442</v>
      </c>
      <c r="G259" s="194" t="str">
        <f>G256</f>
        <v>medium income</v>
      </c>
      <c r="H259" s="195" t="s">
        <v>439</v>
      </c>
      <c r="I259" s="194" t="str">
        <f>I256</f>
        <v>hhd-me</v>
      </c>
      <c r="J259" s="195">
        <f t="shared" si="662"/>
        <v>0.27372599606642106</v>
      </c>
      <c r="K259" s="195">
        <f t="shared" si="663"/>
        <v>0.27614564631616662</v>
      </c>
      <c r="L259" s="195">
        <f t="shared" si="663"/>
        <v>0.27856529656591217</v>
      </c>
      <c r="M259" s="195">
        <f t="shared" si="663"/>
        <v>0.28098494681565778</v>
      </c>
      <c r="N259" s="195">
        <f t="shared" si="663"/>
        <v>0.14049247340782889</v>
      </c>
      <c r="O259" s="195">
        <f t="shared" si="663"/>
        <v>0</v>
      </c>
      <c r="P259" s="195">
        <f t="shared" si="663"/>
        <v>9.9431237790402416E-2</v>
      </c>
      <c r="Q259" s="195">
        <f t="shared" si="663"/>
        <v>0.19886247558080483</v>
      </c>
      <c r="R259" s="195">
        <f t="shared" si="663"/>
        <v>0.29829371337120725</v>
      </c>
      <c r="S259" s="195">
        <f t="shared" si="663"/>
        <v>0.29994675752959177</v>
      </c>
      <c r="T259" s="195">
        <f t="shared" si="663"/>
        <v>0.30159980168797629</v>
      </c>
      <c r="U259" s="195">
        <f t="shared" si="664"/>
        <v>0.30325284584636081</v>
      </c>
      <c r="V259" s="195">
        <f t="shared" si="664"/>
        <v>0.30490589000474533</v>
      </c>
      <c r="W259" s="195">
        <f t="shared" si="664"/>
        <v>0.30655893416312985</v>
      </c>
      <c r="X259" s="195">
        <f t="shared" si="664"/>
        <v>0.30821197832151437</v>
      </c>
      <c r="Y259" s="195">
        <f t="shared" si="664"/>
        <v>0.30986502247989889</v>
      </c>
      <c r="Z259" s="195">
        <f t="shared" si="664"/>
        <v>0.31151806663828341</v>
      </c>
      <c r="AA259" s="195">
        <f t="shared" si="664"/>
        <v>0.31317111079666793</v>
      </c>
      <c r="AB259" s="195">
        <f t="shared" si="664"/>
        <v>0.31482415495505223</v>
      </c>
      <c r="AC259" s="195">
        <f t="shared" si="664"/>
        <v>0.31997981917057639</v>
      </c>
      <c r="AD259" s="195">
        <f t="shared" si="664"/>
        <v>0.32513548338610054</v>
      </c>
      <c r="AE259" s="195">
        <f t="shared" si="665"/>
        <v>0.3302911476016247</v>
      </c>
      <c r="AF259" s="195">
        <f t="shared" si="665"/>
        <v>0.33544681181714886</v>
      </c>
      <c r="AG259" s="195">
        <f t="shared" si="665"/>
        <v>0.34060247603267302</v>
      </c>
      <c r="AH259" s="195">
        <f t="shared" si="665"/>
        <v>0.34575814024819718</v>
      </c>
      <c r="AI259" s="195">
        <f t="shared" si="665"/>
        <v>0.35091380446372133</v>
      </c>
      <c r="AJ259" s="195">
        <f t="shared" si="665"/>
        <v>0.35606946867924549</v>
      </c>
      <c r="AK259" s="195">
        <f t="shared" si="665"/>
        <v>0.36122513289476965</v>
      </c>
      <c r="AL259" s="195">
        <f t="shared" si="665"/>
        <v>0.36638079711029398</v>
      </c>
      <c r="AM259" s="195">
        <f t="shared" si="665"/>
        <v>0.37213534921228625</v>
      </c>
      <c r="AN259" s="195">
        <f t="shared" si="665"/>
        <v>0.37788990131427852</v>
      </c>
      <c r="AO259" s="195">
        <f t="shared" si="666"/>
        <v>0.38364445341627079</v>
      </c>
      <c r="AP259" s="195">
        <f t="shared" si="666"/>
        <v>0.38939900551826306</v>
      </c>
      <c r="AQ259" s="195">
        <f t="shared" si="666"/>
        <v>0.39515355762025534</v>
      </c>
      <c r="AR259" s="195">
        <f t="shared" si="667"/>
        <v>0.40090810972224761</v>
      </c>
      <c r="AS259" s="195">
        <f t="shared" si="667"/>
        <v>0.40666266182423988</v>
      </c>
      <c r="AT259" s="195">
        <f t="shared" si="667"/>
        <v>0.41241721392623215</v>
      </c>
      <c r="AU259" s="195">
        <f t="shared" si="667"/>
        <v>0.41817176602822442</v>
      </c>
      <c r="AV259" s="195">
        <f t="shared" si="667"/>
        <v>0.42392631813021686</v>
      </c>
      <c r="AW259" s="195">
        <f t="shared" si="667"/>
        <v>0.42392631813021686</v>
      </c>
      <c r="AX259" s="195">
        <f t="shared" si="668"/>
        <v>0.42968087023220913</v>
      </c>
      <c r="AY259" s="195">
        <f t="shared" si="668"/>
        <v>0.43543542233420141</v>
      </c>
      <c r="AZ259" s="195">
        <f t="shared" si="668"/>
        <v>0.42392631813021686</v>
      </c>
      <c r="BA259" s="195">
        <f t="shared" si="668"/>
        <v>0.42392631813021686</v>
      </c>
      <c r="BB259" s="195">
        <f t="shared" si="668"/>
        <v>0.42392631813021686</v>
      </c>
      <c r="BC259" s="195">
        <f t="shared" si="668"/>
        <v>0.42392631813021686</v>
      </c>
      <c r="BD259" s="195">
        <f t="shared" si="668"/>
        <v>0.42392631813021686</v>
      </c>
    </row>
    <row r="260" spans="1:56">
      <c r="A260" s="194" t="s">
        <v>16</v>
      </c>
      <c r="E260" s="194" t="s">
        <v>442</v>
      </c>
      <c r="F260" s="194" t="s">
        <v>442</v>
      </c>
      <c r="G260" s="194" t="str">
        <f>G257</f>
        <v>high income</v>
      </c>
      <c r="H260" s="195" t="s">
        <v>439</v>
      </c>
      <c r="I260" s="194" t="str">
        <f>I257</f>
        <v>hhd-he</v>
      </c>
      <c r="J260" s="195">
        <f t="shared" si="662"/>
        <v>9.5202470136155223E-2</v>
      </c>
      <c r="K260" s="195">
        <f t="shared" si="663"/>
        <v>9.8358969717053948E-2</v>
      </c>
      <c r="L260" s="195">
        <f t="shared" si="663"/>
        <v>0.10151546929795267</v>
      </c>
      <c r="M260" s="195">
        <f t="shared" si="663"/>
        <v>0.10467196887885141</v>
      </c>
      <c r="N260" s="195">
        <f t="shared" si="663"/>
        <v>5.2335984439425706E-2</v>
      </c>
      <c r="O260" s="195">
        <f t="shared" si="663"/>
        <v>0</v>
      </c>
      <c r="P260" s="195">
        <f t="shared" si="663"/>
        <v>3.3121140383964569E-2</v>
      </c>
      <c r="Q260" s="195">
        <f t="shared" si="663"/>
        <v>6.6242280767929138E-2</v>
      </c>
      <c r="R260" s="195">
        <f t="shared" si="663"/>
        <v>9.9363421151893713E-2</v>
      </c>
      <c r="S260" s="195">
        <f t="shared" si="663"/>
        <v>0.101905421186226</v>
      </c>
      <c r="T260" s="195">
        <f t="shared" si="663"/>
        <v>0.10444742122055829</v>
      </c>
      <c r="U260" s="195">
        <f t="shared" si="664"/>
        <v>0.10698942125489058</v>
      </c>
      <c r="V260" s="195">
        <f t="shared" si="664"/>
        <v>0.10953142128922287</v>
      </c>
      <c r="W260" s="195">
        <f t="shared" si="664"/>
        <v>0.11207342132355516</v>
      </c>
      <c r="X260" s="195">
        <f t="shared" si="664"/>
        <v>0.11461542135788745</v>
      </c>
      <c r="Y260" s="195">
        <f t="shared" si="664"/>
        <v>0.11715742139221974</v>
      </c>
      <c r="Z260" s="195">
        <f t="shared" si="664"/>
        <v>0.11969942142655203</v>
      </c>
      <c r="AA260" s="195">
        <f t="shared" si="664"/>
        <v>0.12224142146088432</v>
      </c>
      <c r="AB260" s="195">
        <f t="shared" si="664"/>
        <v>0.12478342149521658</v>
      </c>
      <c r="AC260" s="195">
        <f t="shared" si="664"/>
        <v>0.12732976125241213</v>
      </c>
      <c r="AD260" s="195">
        <f t="shared" si="664"/>
        <v>0.12987610100960767</v>
      </c>
      <c r="AE260" s="195">
        <f t="shared" si="665"/>
        <v>0.13242244076680321</v>
      </c>
      <c r="AF260" s="195">
        <f t="shared" si="665"/>
        <v>0.13496878052399874</v>
      </c>
      <c r="AG260" s="195">
        <f t="shared" si="665"/>
        <v>0.13751512028119428</v>
      </c>
      <c r="AH260" s="195">
        <f t="shared" si="665"/>
        <v>0.14006146003838982</v>
      </c>
      <c r="AI260" s="195">
        <f t="shared" si="665"/>
        <v>0.14260779979558535</v>
      </c>
      <c r="AJ260" s="195">
        <f t="shared" si="665"/>
        <v>0.14515413955278089</v>
      </c>
      <c r="AK260" s="195">
        <f t="shared" si="665"/>
        <v>0.14770047930997643</v>
      </c>
      <c r="AL260" s="195">
        <f t="shared" si="665"/>
        <v>0.15024681906717205</v>
      </c>
      <c r="AM260" s="195">
        <f t="shared" si="665"/>
        <v>0.15191296416420083</v>
      </c>
      <c r="AN260" s="195">
        <f t="shared" si="665"/>
        <v>0.15357910926122961</v>
      </c>
      <c r="AO260" s="195">
        <f t="shared" si="666"/>
        <v>0.15524525435825839</v>
      </c>
      <c r="AP260" s="195">
        <f t="shared" si="666"/>
        <v>0.15691139945528718</v>
      </c>
      <c r="AQ260" s="195">
        <f t="shared" si="666"/>
        <v>0.15857754455231596</v>
      </c>
      <c r="AR260" s="195">
        <f t="shared" si="667"/>
        <v>0.16024368964934474</v>
      </c>
      <c r="AS260" s="195">
        <f t="shared" si="667"/>
        <v>0.16190983474637352</v>
      </c>
      <c r="AT260" s="195">
        <f t="shared" si="667"/>
        <v>0.1635759798434023</v>
      </c>
      <c r="AU260" s="195">
        <f t="shared" si="667"/>
        <v>0.16524212494043108</v>
      </c>
      <c r="AV260" s="195">
        <f t="shared" si="667"/>
        <v>0.16690827003745981</v>
      </c>
      <c r="AW260" s="195">
        <f t="shared" si="667"/>
        <v>0.16690827003745981</v>
      </c>
      <c r="AX260" s="195">
        <f t="shared" si="668"/>
        <v>0.16857441513448859</v>
      </c>
      <c r="AY260" s="195">
        <f t="shared" si="668"/>
        <v>0.17024056023151737</v>
      </c>
      <c r="AZ260" s="195">
        <f t="shared" si="668"/>
        <v>0.16690827003745981</v>
      </c>
      <c r="BA260" s="195">
        <f t="shared" si="668"/>
        <v>0.16690827003745981</v>
      </c>
      <c r="BB260" s="195">
        <f t="shared" si="668"/>
        <v>0.16690827003745981</v>
      </c>
      <c r="BC260" s="195">
        <f t="shared" si="668"/>
        <v>0.16690827003745981</v>
      </c>
      <c r="BD260" s="195">
        <f t="shared" si="668"/>
        <v>0.16690827003745981</v>
      </c>
    </row>
    <row r="261" spans="1:56">
      <c r="A261" s="194" t="s">
        <v>16</v>
      </c>
    </row>
    <row r="262" spans="1:56">
      <c r="A262" s="194" t="s">
        <v>16</v>
      </c>
    </row>
    <row r="263" spans="1:56">
      <c r="A263" s="194" t="s">
        <v>16</v>
      </c>
    </row>
    <row r="264" spans="1:56">
      <c r="A264" s="194" t="s">
        <v>16</v>
      </c>
    </row>
    <row r="265" spans="1:56">
      <c r="A265" s="194" t="s">
        <v>16</v>
      </c>
    </row>
    <row r="266" spans="1:56">
      <c r="A266" s="194" t="s">
        <v>16</v>
      </c>
    </row>
    <row r="267" spans="1:56">
      <c r="A267" s="194" t="s">
        <v>16</v>
      </c>
    </row>
    <row r="268" spans="1:56">
      <c r="A268" s="194" t="s">
        <v>16</v>
      </c>
    </row>
    <row r="269" spans="1:56">
      <c r="A269" s="194" t="s">
        <v>16</v>
      </c>
    </row>
    <row r="270" spans="1:56">
      <c r="A270" s="194" t="s">
        <v>16</v>
      </c>
    </row>
    <row r="271" spans="1:56">
      <c r="A271" s="194" t="s">
        <v>16</v>
      </c>
    </row>
    <row r="272" spans="1:56">
      <c r="A272" s="194" t="s">
        <v>16</v>
      </c>
    </row>
    <row r="273" spans="1:1">
      <c r="A273" s="194" t="s">
        <v>16</v>
      </c>
    </row>
    <row r="274" spans="1:1">
      <c r="A274" s="194" t="s">
        <v>16</v>
      </c>
    </row>
    <row r="275" spans="1:1">
      <c r="A275" s="194" t="s">
        <v>16</v>
      </c>
    </row>
    <row r="276" spans="1:1">
      <c r="A276" s="194" t="s">
        <v>16</v>
      </c>
    </row>
    <row r="277" spans="1:1">
      <c r="A277" s="194"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4"/>
    <col min="13" max="43" width="6.85546875" customWidth="1"/>
  </cols>
  <sheetData>
    <row r="1" spans="1:43" s="4" customFormat="1">
      <c r="A1" s="4" t="str">
        <f>IF(TRA,"TS DATA","")</f>
        <v>TS DATA</v>
      </c>
      <c r="B1" s="4" t="s">
        <v>17</v>
      </c>
      <c r="J1" s="41"/>
      <c r="L1" s="194"/>
    </row>
    <row r="2" spans="1:43" s="4" customFormat="1" ht="15.75" thickBot="1">
      <c r="A2" s="4" t="s">
        <v>16</v>
      </c>
      <c r="B2" s="324" t="s">
        <v>296</v>
      </c>
      <c r="C2" s="324"/>
      <c r="J2" s="41"/>
      <c r="L2" s="194"/>
    </row>
    <row r="3" spans="1:43">
      <c r="A3" s="4" t="s">
        <v>16</v>
      </c>
      <c r="B3" s="273" t="s">
        <v>634</v>
      </c>
      <c r="C3" s="4"/>
      <c r="D3" s="4"/>
      <c r="E3" s="4"/>
      <c r="F3" s="4"/>
      <c r="H3" s="4"/>
      <c r="I3" s="4"/>
      <c r="J3" s="194">
        <f>MATCH(J4,Drivers!$C$5:$AG$5,0)</f>
        <v>1</v>
      </c>
      <c r="K3" s="194">
        <f>MATCH(K4,Drivers!$C$5:$AG$5,0)</f>
        <v>4</v>
      </c>
      <c r="L3" s="194">
        <f>MATCH(L4,Drivers!$C$5:$AG$5,0)</f>
        <v>6</v>
      </c>
      <c r="M3" s="291">
        <f>MATCH(M4,Drivers!$C$5:$AG$5,0)</f>
        <v>8</v>
      </c>
      <c r="N3" s="194">
        <f>MATCH(N4,Drivers!$C$5:$AG$5,0)</f>
        <v>9</v>
      </c>
      <c r="O3" s="291">
        <f>MATCH(O4,Drivers!$C$5:$AG$5,0)</f>
        <v>10</v>
      </c>
      <c r="P3" s="194">
        <f>MATCH(P4,Drivers!$C$5:$AG$5,0)</f>
        <v>19</v>
      </c>
      <c r="Q3" s="194">
        <f>MATCH(Q4,Drivers!$C$5:$AG$5,0)</f>
        <v>29</v>
      </c>
      <c r="R3" s="194">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8" t="s">
        <v>156</v>
      </c>
      <c r="C4" s="14"/>
      <c r="D4" s="14" t="s">
        <v>135</v>
      </c>
      <c r="E4" s="14"/>
      <c r="F4" s="14"/>
      <c r="G4" s="14"/>
      <c r="H4" s="14"/>
      <c r="I4" s="14" t="s">
        <v>135</v>
      </c>
      <c r="J4" s="194">
        <v>2012</v>
      </c>
      <c r="K4" s="194">
        <v>2015</v>
      </c>
      <c r="L4" s="194">
        <v>2017</v>
      </c>
      <c r="M4">
        <v>2019</v>
      </c>
      <c r="N4" s="194">
        <v>2020</v>
      </c>
      <c r="O4">
        <v>2021</v>
      </c>
      <c r="P4" s="194">
        <v>2030</v>
      </c>
      <c r="Q4" s="194">
        <v>2040</v>
      </c>
      <c r="R4" s="194">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95" t="s">
        <v>599</v>
      </c>
      <c r="C5" s="195" t="s">
        <v>601</v>
      </c>
      <c r="D5" s="194">
        <f>MATCH(B5,Drivers!$A$7:$A$22,0)</f>
        <v>13</v>
      </c>
      <c r="E5" s="195"/>
      <c r="G5"/>
      <c r="J5" s="24">
        <f>INDEX(Drivers!$C$7:$AG$22,$D5,J$3)</f>
        <v>11.26</v>
      </c>
      <c r="K5" s="24">
        <f>INDEX(Drivers!$C$7:$AG$22,$D5,K$3)</f>
        <v>12.12</v>
      </c>
      <c r="L5" s="24">
        <f>INDEX(Drivers!$C$7:$AG$22,$D5,L$3)</f>
        <v>12.36</v>
      </c>
      <c r="M5" s="24">
        <f>INDEX(Drivers!$C$7:$AG$22,$D5,M$3)</f>
        <v>12.79</v>
      </c>
      <c r="N5" s="24">
        <f>INDEX(Drivers!$C$7:$AG$22,$D5,N$3)</f>
        <v>12</v>
      </c>
      <c r="O5" s="24">
        <f>INDEX(Drivers!$C$7:$AG$22,$D5,O$3)</f>
        <v>12.34</v>
      </c>
      <c r="P5" s="24">
        <f>INDEX(Drivers!$C$7:$AG$22,$D5,P$3)</f>
        <v>14.74</v>
      </c>
      <c r="Q5" s="24">
        <f>INDEX(Drivers!$C$7:$AG$22,$D5,Q$3)</f>
        <v>18.8</v>
      </c>
      <c r="R5" s="24">
        <f>INDEX(Drivers!$C$7:$AG$22,$D5,R$3)</f>
        <v>24.05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4"/>
      <c r="K7" s="6"/>
      <c r="L7" s="195"/>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5"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4" customFormat="1">
      <c r="A10" s="194" t="s">
        <v>16</v>
      </c>
      <c r="B10" s="55" t="s">
        <v>106</v>
      </c>
      <c r="D10" s="194">
        <v>1</v>
      </c>
      <c r="E10" s="194">
        <f t="shared" ref="E10" si="6">D10</f>
        <v>1</v>
      </c>
      <c r="F10" s="194">
        <f t="shared" ref="F10" si="7">E10</f>
        <v>1</v>
      </c>
      <c r="G10" s="194">
        <f t="shared" ref="G10" si="8">F10</f>
        <v>1</v>
      </c>
      <c r="H10" s="194">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3"/>
    </row>
    <row r="15" spans="1:43">
      <c r="A15" s="4" t="s">
        <v>16</v>
      </c>
      <c r="B15" s="4" t="s">
        <v>92</v>
      </c>
      <c r="E15" s="6"/>
      <c r="F15" s="6"/>
      <c r="G15" s="6"/>
      <c r="H15" s="6"/>
    </row>
    <row r="16" spans="1:43">
      <c r="A16" s="4" t="s">
        <v>16</v>
      </c>
      <c r="B16" s="194" t="s">
        <v>93</v>
      </c>
      <c r="C16" s="6">
        <v>1</v>
      </c>
      <c r="D16" s="6">
        <f>C16</f>
        <v>1</v>
      </c>
      <c r="E16" s="6">
        <f>D16</f>
        <v>1</v>
      </c>
      <c r="F16" s="6">
        <f>E16</f>
        <v>1</v>
      </c>
      <c r="G16" s="6">
        <f>F16</f>
        <v>1</v>
      </c>
      <c r="H16" s="6">
        <f>G16</f>
        <v>1</v>
      </c>
      <c r="I16" s="28" t="s">
        <v>38</v>
      </c>
      <c r="J16" s="120">
        <f>E22</f>
        <v>60.368000000000002</v>
      </c>
      <c r="K16" s="37">
        <f>J16*(1+$C$16*(K5/J5-1))</f>
        <v>64.978699822380108</v>
      </c>
      <c r="L16" s="37">
        <f>K16*(1+$C$16*(L5/K5-1))</f>
        <v>66.26540674955595</v>
      </c>
      <c r="M16" s="37">
        <f t="shared" ref="M16:O16" si="12">L16*(1+$C$16*(M5/L5-1))</f>
        <v>68.570756660746</v>
      </c>
      <c r="N16" s="37">
        <f t="shared" si="12"/>
        <v>64.335346358792194</v>
      </c>
      <c r="O16" s="37">
        <f t="shared" si="12"/>
        <v>66.158181172291307</v>
      </c>
      <c r="P16" s="37">
        <f>N16*(1+$C$16*(P5/N5-1))</f>
        <v>79.025250444049746</v>
      </c>
      <c r="Q16" s="37">
        <f>P16*(1+$C$16*(Q5/P5-1))</f>
        <v>100.79204262877444</v>
      </c>
      <c r="R16" s="37">
        <f>Q16*(1+$C$16*(R5/Q5-1))</f>
        <v>128.93875666074604</v>
      </c>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4" t="s">
        <v>94</v>
      </c>
      <c r="C17" s="195">
        <v>1</v>
      </c>
      <c r="D17" s="195">
        <v>1</v>
      </c>
      <c r="E17" s="195">
        <v>1</v>
      </c>
      <c r="F17" s="195">
        <v>1</v>
      </c>
      <c r="G17" s="195">
        <v>1</v>
      </c>
      <c r="H17" s="195">
        <v>1</v>
      </c>
      <c r="I17" s="28" t="s">
        <v>38</v>
      </c>
      <c r="J17" s="120">
        <f>E23</f>
        <v>20.123000000000001</v>
      </c>
      <c r="K17" s="37">
        <f>J17*(1+$C$17*(K5/J5-1))</f>
        <v>21.659925399644763</v>
      </c>
      <c r="L17" s="37">
        <f t="shared" ref="L17" si="13">K17*(1+$C$17*(L5/K5-1))</f>
        <v>22.088834813499115</v>
      </c>
      <c r="M17" s="37">
        <f t="shared" ref="M17" si="14">L17*(1+$C$17*(M5/L5-1))</f>
        <v>22.857297513321495</v>
      </c>
      <c r="N17" s="37">
        <f t="shared" ref="N17" si="15">M17*(1+$C$17*(N5/M5-1))</f>
        <v>21.445470692717588</v>
      </c>
      <c r="O17" s="37">
        <f t="shared" ref="O17" si="16">N17*(1+$C$17*(O5/N5-1))</f>
        <v>22.053092362344586</v>
      </c>
      <c r="P17" s="37">
        <f>N17*(1+$C$17*(P5/N5-1))</f>
        <v>26.342186500888104</v>
      </c>
      <c r="Q17" s="37">
        <f>P17*(1+$C$17*(Q5/P5-1))</f>
        <v>33.597904085257554</v>
      </c>
      <c r="R17" s="37">
        <f>Q17*(1+$C$17*(R5/Q5-1))</f>
        <v>42.980297513321496</v>
      </c>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4" customFormat="1">
      <c r="A18" s="194" t="s">
        <v>16</v>
      </c>
      <c r="B18" s="194" t="s">
        <v>94</v>
      </c>
      <c r="C18" s="195">
        <v>1</v>
      </c>
      <c r="D18" s="195">
        <v>1</v>
      </c>
      <c r="E18" s="195">
        <v>1</v>
      </c>
      <c r="F18" s="195">
        <v>1</v>
      </c>
      <c r="G18" s="195">
        <v>1</v>
      </c>
      <c r="H18" s="195">
        <v>1</v>
      </c>
      <c r="I18" s="28" t="s">
        <v>38</v>
      </c>
      <c r="J18" s="120">
        <f>E24</f>
        <v>1.0701311035156249</v>
      </c>
      <c r="K18" s="37">
        <f>J18*(1+$C$18*(K5/J5-1))</f>
        <v>1.1518640297166407</v>
      </c>
      <c r="L18" s="37">
        <f t="shared" ref="L18" si="17">K18*(1+$C$18*(L5/K5-1))</f>
        <v>1.174673218423901</v>
      </c>
      <c r="M18" s="37">
        <f t="shared" ref="M18" si="18">L18*(1+$C$18*(M5/L5-1))</f>
        <v>1.2155396815244088</v>
      </c>
      <c r="N18" s="37">
        <f t="shared" ref="N18" si="19">M18*(1+$C$18*(N5/M5-1))</f>
        <v>1.1404594353630106</v>
      </c>
      <c r="O18" s="37">
        <f t="shared" ref="O18" si="20">N18*(1+$C$18*(O5/N5-1))</f>
        <v>1.1727724526982959</v>
      </c>
      <c r="P18" s="37">
        <f>N18*(1+$C$18*(P5/N5-1))</f>
        <v>1.400864339770898</v>
      </c>
      <c r="Q18" s="37">
        <f>P18*(1+$C$18*(Q5/P5-1))</f>
        <v>1.7867197820687164</v>
      </c>
      <c r="R18" s="37">
        <f>Q18*(1+$C$18*(R5/Q5-1))</f>
        <v>2.2856707850400335</v>
      </c>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4"/>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95" t="str">
        <f>ITEMS_TRA!C30</f>
        <v>TAIJET</v>
      </c>
      <c r="C22" s="195" t="str">
        <f>ITEMS_TRA!D30</f>
        <v xml:space="preserve">Transport Other -  Aviation Int Jet Fuel </v>
      </c>
      <c r="D22" s="28" t="s">
        <v>38</v>
      </c>
      <c r="E22" s="183">
        <f>'[2]TS BYDem'!$J34</f>
        <v>60.368000000000002</v>
      </c>
      <c r="F22" s="6"/>
      <c r="G22"/>
      <c r="J22" s="6">
        <f>E22</f>
        <v>60.368000000000002</v>
      </c>
      <c r="K22" s="195">
        <f>(K16*K9)</f>
        <v>64.978699822380108</v>
      </c>
      <c r="L22" s="294">
        <v>68.939278175231294</v>
      </c>
      <c r="M22" s="195">
        <f t="shared" ref="M22:R22" si="21">(M16*M9)</f>
        <v>68.570756660746</v>
      </c>
      <c r="N22" s="195">
        <f t="shared" si="21"/>
        <v>64.335346358792194</v>
      </c>
      <c r="O22" s="195">
        <f t="shared" si="21"/>
        <v>66.158181172291307</v>
      </c>
      <c r="P22" s="195">
        <f t="shared" si="21"/>
        <v>79.025250444049746</v>
      </c>
      <c r="Q22" s="195">
        <f t="shared" si="21"/>
        <v>100.79204262877444</v>
      </c>
      <c r="R22" s="195">
        <f t="shared" si="21"/>
        <v>128.93875666074604</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4" customFormat="1">
      <c r="A23" s="194" t="s">
        <v>16</v>
      </c>
      <c r="B23" s="195" t="str">
        <f>ITEMS_TRA!C31</f>
        <v>TADJET</v>
      </c>
      <c r="C23" s="195" t="str">
        <f>ITEMS_TRA!D31</f>
        <v xml:space="preserve">Transport Other -  Aviation Dom Jet Fuel </v>
      </c>
      <c r="D23" s="28" t="s">
        <v>38</v>
      </c>
      <c r="E23" s="183">
        <f>'[2]TS BYDem'!$J35</f>
        <v>20.123000000000001</v>
      </c>
      <c r="F23" s="195"/>
      <c r="J23" s="195">
        <f t="shared" ref="J23:J24" si="22">E23</f>
        <v>20.123000000000001</v>
      </c>
      <c r="K23" s="195">
        <f>(K17*K10)</f>
        <v>21.659925399644763</v>
      </c>
      <c r="L23" s="295">
        <v>20.465228059152793</v>
      </c>
      <c r="M23" s="195">
        <f t="shared" ref="M23" si="23">(M17*M10)</f>
        <v>22.857297513321495</v>
      </c>
      <c r="N23" s="195">
        <f t="shared" ref="N23" si="24">(N17*N10)</f>
        <v>21.445470692717588</v>
      </c>
      <c r="O23" s="195">
        <f t="shared" ref="O23" si="25">(O17*O10)</f>
        <v>22.053092362344586</v>
      </c>
      <c r="P23" s="195">
        <f t="shared" ref="P23:R24" si="26">(P17*P10)</f>
        <v>26.342186500888104</v>
      </c>
      <c r="Q23" s="195">
        <f t="shared" si="26"/>
        <v>33.597904085257554</v>
      </c>
      <c r="R23" s="195">
        <f t="shared" si="26"/>
        <v>42.980297513321496</v>
      </c>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row>
    <row r="24" spans="1:43" s="194" customFormat="1">
      <c r="A24" s="194" t="s">
        <v>16</v>
      </c>
      <c r="B24" s="195" t="str">
        <f>ITEMS_TRA!C32</f>
        <v>TAOAG</v>
      </c>
      <c r="C24" s="195" t="str">
        <f>ITEMS_TRA!D32</f>
        <v>Transport Other - Aviation Gasoline</v>
      </c>
      <c r="D24" s="28" t="s">
        <v>38</v>
      </c>
      <c r="E24" s="183">
        <f>'[2]TS BYDem'!$J36</f>
        <v>1.0701311035156249</v>
      </c>
      <c r="F24" s="195"/>
      <c r="J24" s="195">
        <f t="shared" si="22"/>
        <v>1.0701311035156249</v>
      </c>
      <c r="K24" s="195">
        <f>(K18*K11)</f>
        <v>1.1518640297166407</v>
      </c>
      <c r="L24" s="296">
        <f t="shared" ref="L24" si="27">(L18*L11)</f>
        <v>1.174673218423901</v>
      </c>
      <c r="M24" s="195">
        <f>(M18*M11)</f>
        <v>1.2155396815244088</v>
      </c>
      <c r="N24" s="195">
        <f>(N18*N11)</f>
        <v>1.1404594353630106</v>
      </c>
      <c r="O24" s="195">
        <f>(O18*O11)</f>
        <v>1.1727724526982959</v>
      </c>
      <c r="P24" s="195">
        <f t="shared" si="26"/>
        <v>1.400864339770898</v>
      </c>
      <c r="Q24" s="195">
        <f t="shared" si="26"/>
        <v>1.7867197820687164</v>
      </c>
      <c r="R24" s="195">
        <f t="shared" si="26"/>
        <v>2.2856707850400335</v>
      </c>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row>
    <row r="25" spans="1:43" s="194" customFormat="1">
      <c r="D25" s="28"/>
      <c r="E25" s="60"/>
      <c r="F25" s="195"/>
      <c r="J25" s="195"/>
      <c r="K25" s="195"/>
      <c r="L25" s="195"/>
      <c r="N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row>
    <row r="26" spans="1:43" ht="18" thickBot="1">
      <c r="A26" s="4" t="s">
        <v>16</v>
      </c>
      <c r="B26" s="68" t="s">
        <v>602</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95" t="s">
        <v>600</v>
      </c>
      <c r="C28" s="195" t="s">
        <v>602</v>
      </c>
      <c r="D28" s="194">
        <f>MATCH(B28,Drivers!$A$7:$A$22,0)</f>
        <v>16</v>
      </c>
      <c r="E28" s="195"/>
      <c r="F28" s="194"/>
      <c r="G28" s="194"/>
      <c r="H28" s="194"/>
      <c r="I28" s="194"/>
      <c r="J28" s="195">
        <f>INDEX(Drivers!$C$7:$AG$22,$D28,J$3)</f>
        <v>1.1399999999999999</v>
      </c>
      <c r="K28" s="195">
        <f>INDEX(Drivers!$C$7:$AG$22,$D28,K$3)</f>
        <v>1.1299999999999999</v>
      </c>
      <c r="L28" s="195">
        <f>INDEX(Drivers!$C$7:$AG$22,$D28,L$3)</f>
        <v>1.1499999999999999</v>
      </c>
      <c r="M28" s="195">
        <f>INDEX(Drivers!$C$7:$AG$22,$D28,M$3)</f>
        <v>1.0900000000000001</v>
      </c>
      <c r="N28" s="195">
        <f>INDEX(Drivers!$C$7:$AG$22,$D28,N$3)</f>
        <v>0.99</v>
      </c>
      <c r="O28" s="195">
        <f>INDEX(Drivers!$C$7:$AG$22,$D28,O$3)</f>
        <v>0.99</v>
      </c>
      <c r="P28" s="195">
        <f>INDEX(Drivers!$C$7:$AG$22,$D28,P$3)</f>
        <v>1.1599999999999999</v>
      </c>
      <c r="Q28" s="195">
        <f>INDEX(Drivers!$C$7:$AG$22,$D28,Q$3)</f>
        <v>1.65</v>
      </c>
      <c r="R28" s="195">
        <f>INDEX(Drivers!$C$7:$AG$22,$D28,R$3)</f>
        <v>2.66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7"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0">
        <f>'[2]TS BYDem'!$J$33</f>
        <v>0.820564128</v>
      </c>
      <c r="J33" s="195">
        <f>E33</f>
        <v>0.820564128</v>
      </c>
      <c r="K33" s="195">
        <f>763.4835/1000</f>
        <v>0.76348350000000009</v>
      </c>
      <c r="L33" s="296">
        <f>714.528/1000</f>
        <v>0.71452800000000005</v>
      </c>
      <c r="M33" s="195">
        <f>AVERAGE(L33,J33,K33)</f>
        <v>0.76619187600000005</v>
      </c>
      <c r="N33" s="195">
        <f t="shared" ref="N33:R33" si="28">AVERAGE(M33,K33,L33)</f>
        <v>0.74806779200000006</v>
      </c>
      <c r="O33" s="195">
        <f t="shared" si="28"/>
        <v>0.74292922266666672</v>
      </c>
      <c r="P33" s="195">
        <f t="shared" si="28"/>
        <v>0.75239629688888898</v>
      </c>
      <c r="Q33" s="195">
        <f t="shared" si="28"/>
        <v>0.74779777051851859</v>
      </c>
      <c r="R33" s="195">
        <f t="shared" si="28"/>
        <v>0.7477077633580248</v>
      </c>
    </row>
    <row r="34" spans="1:78">
      <c r="A34" s="4" t="s">
        <v>16</v>
      </c>
    </row>
    <row r="35" spans="1:78" ht="18" thickBot="1">
      <c r="A35" s="4" t="s">
        <v>16</v>
      </c>
      <c r="C35" s="68" t="s">
        <v>157</v>
      </c>
    </row>
    <row r="36" spans="1:78" ht="15.75" thickTop="1">
      <c r="A36" s="4" t="s">
        <v>16</v>
      </c>
      <c r="B36" s="4" t="s">
        <v>158</v>
      </c>
      <c r="C36" s="4" t="s">
        <v>159</v>
      </c>
      <c r="D36" s="28" t="s">
        <v>38</v>
      </c>
      <c r="E36" s="60">
        <f>'[2]TS BYDem'!$J$37</f>
        <v>4.5090000000000003</v>
      </c>
      <c r="J36" s="6">
        <f>E36</f>
        <v>4.5090000000000003</v>
      </c>
      <c r="K36" s="6">
        <f>K$28/J$28*J36</f>
        <v>4.4694473684210525</v>
      </c>
      <c r="L36" s="295">
        <f>0.001*(26455.61401-21947)</f>
        <v>4.5086140100000014</v>
      </c>
      <c r="M36" s="195">
        <f>M$28/J$28*J36</f>
        <v>4.3112368421052647</v>
      </c>
      <c r="N36" s="195">
        <f>N$28/K$28*K36</f>
        <v>3.9157105263157894</v>
      </c>
      <c r="O36" s="195">
        <f>O$28/L$28*L36</f>
        <v>3.8813285825217405</v>
      </c>
      <c r="P36" s="195">
        <f>P$28/N$28*N36</f>
        <v>4.5881052631578942</v>
      </c>
      <c r="Q36" s="195">
        <f>Q$28/P$28*P36</f>
        <v>6.5261842105263153</v>
      </c>
      <c r="R36" s="195">
        <f>R$28/Q$28*Q36</f>
        <v>10.521000000000001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4" customFormat="1"/>
    <row r="39" spans="1:78" s="194" customFormat="1"/>
    <row r="40" spans="1:78" s="194" customFormat="1"/>
    <row r="42" spans="1:78" s="194" customFormat="1" ht="23.25">
      <c r="A42" s="121" t="s">
        <v>16</v>
      </c>
      <c r="B42" s="125" t="s">
        <v>19</v>
      </c>
      <c r="C42" s="125" t="s">
        <v>20</v>
      </c>
      <c r="D42" s="125" t="s">
        <v>21</v>
      </c>
      <c r="E42" s="125"/>
      <c r="F42" s="125" t="s">
        <v>22</v>
      </c>
      <c r="G42" s="125" t="s">
        <v>23</v>
      </c>
      <c r="H42" s="125" t="s">
        <v>24</v>
      </c>
      <c r="I42" s="126" t="s">
        <v>25</v>
      </c>
      <c r="J42" s="197">
        <v>2012</v>
      </c>
      <c r="K42" s="197">
        <v>2013</v>
      </c>
      <c r="L42" s="197">
        <v>2014</v>
      </c>
      <c r="M42" s="197">
        <v>2015</v>
      </c>
      <c r="N42" s="197">
        <v>2016</v>
      </c>
      <c r="O42" s="197">
        <v>2017</v>
      </c>
      <c r="P42" s="197">
        <v>2018</v>
      </c>
      <c r="Q42" s="197">
        <v>2019</v>
      </c>
      <c r="R42" s="197">
        <v>2020</v>
      </c>
      <c r="S42" s="197">
        <v>2021</v>
      </c>
      <c r="T42" s="197">
        <v>2022</v>
      </c>
      <c r="U42" s="197">
        <v>2023</v>
      </c>
      <c r="V42" s="197">
        <v>2024</v>
      </c>
      <c r="W42" s="197">
        <v>2025</v>
      </c>
      <c r="X42" s="197">
        <v>2026</v>
      </c>
      <c r="Y42" s="197">
        <v>2027</v>
      </c>
      <c r="Z42" s="197">
        <v>2028</v>
      </c>
      <c r="AA42" s="197">
        <v>2029</v>
      </c>
      <c r="AB42" s="197">
        <v>2030</v>
      </c>
      <c r="AC42" s="197">
        <v>2031</v>
      </c>
      <c r="AD42" s="197">
        <v>2032</v>
      </c>
      <c r="AE42" s="197">
        <v>2033</v>
      </c>
      <c r="AF42" s="197">
        <v>2034</v>
      </c>
      <c r="AG42" s="197">
        <v>2035</v>
      </c>
      <c r="AH42" s="197">
        <v>2036</v>
      </c>
      <c r="AI42" s="197">
        <v>2037</v>
      </c>
      <c r="AJ42" s="197">
        <v>2038</v>
      </c>
      <c r="AK42" s="197">
        <v>2039</v>
      </c>
      <c r="AL42" s="197">
        <v>2040</v>
      </c>
      <c r="AM42" s="197">
        <v>2045</v>
      </c>
      <c r="AN42" s="197">
        <v>2050</v>
      </c>
      <c r="AO42" s="197">
        <v>2060</v>
      </c>
      <c r="AP42" s="197">
        <v>2070</v>
      </c>
    </row>
    <row r="43" spans="1:78" s="200" customFormat="1">
      <c r="A43" s="121" t="s">
        <v>16</v>
      </c>
      <c r="B43" s="122">
        <v>1</v>
      </c>
      <c r="C43" s="200">
        <v>2012</v>
      </c>
      <c r="D43" s="200">
        <v>2015</v>
      </c>
      <c r="E43" s="200">
        <v>2017</v>
      </c>
      <c r="F43" s="200">
        <v>2020</v>
      </c>
      <c r="G43" s="122">
        <v>2030</v>
      </c>
      <c r="H43" s="200">
        <v>2040</v>
      </c>
      <c r="I43" s="127">
        <v>2050</v>
      </c>
      <c r="J43" s="200">
        <f t="shared" ref="J43:S44" si="29">MATCH(J$42,$C$43:$I$43,$B43)</f>
        <v>1</v>
      </c>
      <c r="K43" s="200">
        <f t="shared" si="29"/>
        <v>1</v>
      </c>
      <c r="L43" s="200">
        <f t="shared" si="29"/>
        <v>1</v>
      </c>
      <c r="M43" s="200">
        <f t="shared" si="29"/>
        <v>2</v>
      </c>
      <c r="N43" s="200">
        <f t="shared" si="29"/>
        <v>2</v>
      </c>
      <c r="O43" s="200">
        <f t="shared" si="29"/>
        <v>3</v>
      </c>
      <c r="P43" s="200">
        <f t="shared" si="29"/>
        <v>3</v>
      </c>
      <c r="Q43" s="200">
        <f t="shared" si="29"/>
        <v>3</v>
      </c>
      <c r="R43" s="200">
        <f t="shared" si="29"/>
        <v>4</v>
      </c>
      <c r="S43" s="200">
        <f t="shared" si="29"/>
        <v>4</v>
      </c>
      <c r="T43" s="200">
        <f t="shared" ref="T43:AC44" si="30">MATCH(T$42,$C$43:$I$43,$B43)</f>
        <v>4</v>
      </c>
      <c r="U43" s="200">
        <f t="shared" si="30"/>
        <v>4</v>
      </c>
      <c r="V43" s="200">
        <f t="shared" si="30"/>
        <v>4</v>
      </c>
      <c r="W43" s="200">
        <f t="shared" si="30"/>
        <v>4</v>
      </c>
      <c r="X43" s="200">
        <f t="shared" si="30"/>
        <v>4</v>
      </c>
      <c r="Y43" s="200">
        <f t="shared" si="30"/>
        <v>4</v>
      </c>
      <c r="Z43" s="200">
        <f t="shared" si="30"/>
        <v>4</v>
      </c>
      <c r="AA43" s="200">
        <f t="shared" si="30"/>
        <v>4</v>
      </c>
      <c r="AB43" s="200">
        <f t="shared" si="30"/>
        <v>5</v>
      </c>
      <c r="AC43" s="200">
        <f t="shared" si="30"/>
        <v>5</v>
      </c>
      <c r="AD43" s="200">
        <f t="shared" ref="AD43:AP44" si="31">MATCH(AD$42,$C$43:$I$43,$B43)</f>
        <v>5</v>
      </c>
      <c r="AE43" s="200">
        <f t="shared" si="31"/>
        <v>5</v>
      </c>
      <c r="AF43" s="200">
        <f t="shared" si="31"/>
        <v>5</v>
      </c>
      <c r="AG43" s="200">
        <f t="shared" si="31"/>
        <v>5</v>
      </c>
      <c r="AH43" s="200">
        <f t="shared" si="31"/>
        <v>5</v>
      </c>
      <c r="AI43" s="200">
        <f t="shared" si="31"/>
        <v>5</v>
      </c>
      <c r="AJ43" s="200">
        <f t="shared" si="31"/>
        <v>5</v>
      </c>
      <c r="AK43" s="200">
        <f t="shared" si="31"/>
        <v>5</v>
      </c>
      <c r="AL43" s="200">
        <f t="shared" si="31"/>
        <v>6</v>
      </c>
      <c r="AM43" s="200">
        <f t="shared" si="31"/>
        <v>6</v>
      </c>
      <c r="AN43" s="200">
        <f t="shared" si="31"/>
        <v>7</v>
      </c>
      <c r="AO43" s="200">
        <f t="shared" si="31"/>
        <v>7</v>
      </c>
      <c r="AP43" s="200">
        <f t="shared" si="31"/>
        <v>7</v>
      </c>
      <c r="AR43" s="194"/>
      <c r="AS43" s="194"/>
      <c r="AT43" s="194"/>
      <c r="AU43" s="194"/>
      <c r="AV43" s="194"/>
      <c r="AW43" s="194"/>
      <c r="AX43" s="194"/>
      <c r="AY43" s="194"/>
      <c r="AZ43" s="194"/>
      <c r="BA43" s="194"/>
      <c r="BB43" s="194"/>
      <c r="BC43" s="194"/>
      <c r="BD43" s="194"/>
      <c r="BE43" s="194"/>
      <c r="BF43" s="194"/>
      <c r="BG43" s="194"/>
      <c r="BH43" s="194"/>
      <c r="BI43" s="194"/>
      <c r="BJ43" s="194"/>
      <c r="BK43" s="194"/>
      <c r="BL43" s="194"/>
      <c r="BM43" s="194"/>
      <c r="BN43" s="194"/>
      <c r="BO43" s="194"/>
      <c r="BP43" s="194"/>
      <c r="BQ43" s="194"/>
      <c r="BR43" s="194"/>
      <c r="BS43" s="194"/>
      <c r="BT43" s="194"/>
      <c r="BU43" s="194"/>
      <c r="BV43" s="194"/>
      <c r="BW43" s="194"/>
      <c r="BX43" s="194"/>
      <c r="BY43" s="194"/>
      <c r="BZ43" s="194"/>
    </row>
    <row r="44" spans="1:78" s="196" customFormat="1">
      <c r="A44" s="41" t="s">
        <v>16</v>
      </c>
      <c r="B44" s="197">
        <v>0</v>
      </c>
      <c r="C44" s="196">
        <f t="shared" ref="C44:H44" si="32">INDEX($C43:$I43,0,COUNT($C43:$I43)-C45)</f>
        <v>2050</v>
      </c>
      <c r="D44" s="196">
        <f t="shared" si="32"/>
        <v>2040</v>
      </c>
      <c r="E44" s="196">
        <f t="shared" si="32"/>
        <v>2030</v>
      </c>
      <c r="F44" s="196">
        <f t="shared" si="32"/>
        <v>2020</v>
      </c>
      <c r="G44" s="196">
        <f t="shared" si="32"/>
        <v>2017</v>
      </c>
      <c r="H44" s="196">
        <f t="shared" si="32"/>
        <v>2015</v>
      </c>
      <c r="I44" s="128">
        <v>2012</v>
      </c>
      <c r="J44" s="41">
        <f t="shared" si="29"/>
        <v>1</v>
      </c>
      <c r="K44" s="196" t="e">
        <f t="shared" si="29"/>
        <v>#N/A</v>
      </c>
      <c r="L44" s="196" t="e">
        <f t="shared" si="29"/>
        <v>#N/A</v>
      </c>
      <c r="M44" s="196">
        <f t="shared" si="29"/>
        <v>2</v>
      </c>
      <c r="N44" s="196" t="e">
        <f t="shared" si="29"/>
        <v>#N/A</v>
      </c>
      <c r="O44" s="196">
        <f t="shared" si="29"/>
        <v>3</v>
      </c>
      <c r="P44" s="196" t="e">
        <f t="shared" si="29"/>
        <v>#N/A</v>
      </c>
      <c r="Q44" s="196" t="e">
        <f t="shared" si="29"/>
        <v>#N/A</v>
      </c>
      <c r="R44" s="196">
        <f t="shared" si="29"/>
        <v>4</v>
      </c>
      <c r="S44" s="196" t="e">
        <f t="shared" si="29"/>
        <v>#N/A</v>
      </c>
      <c r="T44" s="196" t="e">
        <f t="shared" si="30"/>
        <v>#N/A</v>
      </c>
      <c r="U44" s="196" t="e">
        <f t="shared" si="30"/>
        <v>#N/A</v>
      </c>
      <c r="V44" s="196" t="e">
        <f t="shared" si="30"/>
        <v>#N/A</v>
      </c>
      <c r="W44" s="196" t="e">
        <f t="shared" si="30"/>
        <v>#N/A</v>
      </c>
      <c r="X44" s="196" t="e">
        <f t="shared" si="30"/>
        <v>#N/A</v>
      </c>
      <c r="Y44" s="196" t="e">
        <f t="shared" si="30"/>
        <v>#N/A</v>
      </c>
      <c r="Z44" s="196" t="e">
        <f t="shared" si="30"/>
        <v>#N/A</v>
      </c>
      <c r="AA44" s="196" t="e">
        <f t="shared" si="30"/>
        <v>#N/A</v>
      </c>
      <c r="AB44" s="196">
        <f t="shared" si="30"/>
        <v>5</v>
      </c>
      <c r="AC44" s="196" t="e">
        <f t="shared" si="30"/>
        <v>#N/A</v>
      </c>
      <c r="AD44" s="196" t="e">
        <f t="shared" si="31"/>
        <v>#N/A</v>
      </c>
      <c r="AE44" s="196" t="e">
        <f t="shared" si="31"/>
        <v>#N/A</v>
      </c>
      <c r="AF44" s="196" t="e">
        <f t="shared" si="31"/>
        <v>#N/A</v>
      </c>
      <c r="AG44" s="196" t="e">
        <f t="shared" si="31"/>
        <v>#N/A</v>
      </c>
      <c r="AH44" s="196" t="e">
        <f t="shared" si="31"/>
        <v>#N/A</v>
      </c>
      <c r="AI44" s="196" t="e">
        <f t="shared" si="31"/>
        <v>#N/A</v>
      </c>
      <c r="AJ44" s="196" t="e">
        <f t="shared" si="31"/>
        <v>#N/A</v>
      </c>
      <c r="AK44" s="196" t="e">
        <f t="shared" si="31"/>
        <v>#N/A</v>
      </c>
      <c r="AL44" s="196">
        <f t="shared" si="31"/>
        <v>6</v>
      </c>
      <c r="AM44" s="196" t="e">
        <f t="shared" si="31"/>
        <v>#N/A</v>
      </c>
      <c r="AN44" s="196">
        <f t="shared" si="31"/>
        <v>7</v>
      </c>
      <c r="AO44" s="196" t="e">
        <f t="shared" si="31"/>
        <v>#N/A</v>
      </c>
      <c r="AP44" s="196" t="e">
        <f t="shared" si="31"/>
        <v>#N/A</v>
      </c>
      <c r="AR44" s="194"/>
      <c r="AS44" s="194"/>
      <c r="AT44" s="194"/>
      <c r="AU44" s="194"/>
      <c r="AV44" s="194"/>
      <c r="AW44" s="194"/>
      <c r="AX44" s="194"/>
      <c r="AY44" s="194"/>
      <c r="AZ44" s="194"/>
      <c r="BA44" s="194"/>
      <c r="BB44" s="194"/>
      <c r="BC44" s="194"/>
      <c r="BD44" s="194"/>
      <c r="BE44" s="194"/>
      <c r="BF44" s="194"/>
      <c r="BG44" s="194"/>
      <c r="BH44" s="194"/>
      <c r="BI44" s="194"/>
      <c r="BJ44" s="194"/>
      <c r="BK44" s="194"/>
      <c r="BL44" s="194"/>
      <c r="BM44" s="194"/>
      <c r="BN44" s="194"/>
      <c r="BO44" s="194"/>
      <c r="BP44" s="194"/>
      <c r="BQ44" s="194"/>
      <c r="BR44" s="194"/>
      <c r="BS44" s="194"/>
      <c r="BT44" s="194"/>
      <c r="BU44" s="194"/>
      <c r="BV44" s="194"/>
      <c r="BW44" s="194"/>
      <c r="BX44" s="194"/>
      <c r="BY44" s="194"/>
      <c r="BZ44" s="194"/>
    </row>
    <row r="45" spans="1:78" s="196" customFormat="1">
      <c r="A45" s="41" t="s">
        <v>16</v>
      </c>
      <c r="B45" s="197">
        <v>-1</v>
      </c>
      <c r="C45" s="196">
        <v>0</v>
      </c>
      <c r="D45" s="196">
        <v>1</v>
      </c>
      <c r="E45" s="197">
        <v>2</v>
      </c>
      <c r="F45" s="196">
        <v>3</v>
      </c>
      <c r="G45" s="196">
        <v>4</v>
      </c>
      <c r="H45" s="196">
        <v>5</v>
      </c>
      <c r="I45" s="196">
        <v>6</v>
      </c>
      <c r="J45" s="41">
        <f t="shared" ref="J45:AP45" si="33">MATCH(J$42,$C$44:$I$44,$B45)</f>
        <v>7</v>
      </c>
      <c r="K45" s="196">
        <f t="shared" si="33"/>
        <v>6</v>
      </c>
      <c r="L45" s="196">
        <f t="shared" si="33"/>
        <v>6</v>
      </c>
      <c r="M45" s="196">
        <f t="shared" si="33"/>
        <v>6</v>
      </c>
      <c r="N45" s="196">
        <f t="shared" si="33"/>
        <v>5</v>
      </c>
      <c r="O45" s="196">
        <f t="shared" si="33"/>
        <v>5</v>
      </c>
      <c r="P45" s="196">
        <f t="shared" si="33"/>
        <v>4</v>
      </c>
      <c r="Q45" s="196">
        <f t="shared" si="33"/>
        <v>4</v>
      </c>
      <c r="R45" s="196">
        <f t="shared" si="33"/>
        <v>4</v>
      </c>
      <c r="S45" s="196">
        <f t="shared" si="33"/>
        <v>3</v>
      </c>
      <c r="T45" s="196">
        <f t="shared" si="33"/>
        <v>3</v>
      </c>
      <c r="U45" s="196">
        <f t="shared" si="33"/>
        <v>3</v>
      </c>
      <c r="V45" s="196">
        <f t="shared" si="33"/>
        <v>3</v>
      </c>
      <c r="W45" s="196">
        <f t="shared" si="33"/>
        <v>3</v>
      </c>
      <c r="X45" s="196">
        <f t="shared" si="33"/>
        <v>3</v>
      </c>
      <c r="Y45" s="196">
        <f t="shared" si="33"/>
        <v>3</v>
      </c>
      <c r="Z45" s="196">
        <f t="shared" si="33"/>
        <v>3</v>
      </c>
      <c r="AA45" s="196">
        <f t="shared" si="33"/>
        <v>3</v>
      </c>
      <c r="AB45" s="196">
        <f t="shared" si="33"/>
        <v>3</v>
      </c>
      <c r="AC45" s="196">
        <f t="shared" si="33"/>
        <v>2</v>
      </c>
      <c r="AD45" s="196">
        <f t="shared" si="33"/>
        <v>2</v>
      </c>
      <c r="AE45" s="196">
        <f t="shared" si="33"/>
        <v>2</v>
      </c>
      <c r="AF45" s="196">
        <f t="shared" si="33"/>
        <v>2</v>
      </c>
      <c r="AG45" s="196">
        <f t="shared" si="33"/>
        <v>2</v>
      </c>
      <c r="AH45" s="196">
        <f t="shared" si="33"/>
        <v>2</v>
      </c>
      <c r="AI45" s="196">
        <f t="shared" si="33"/>
        <v>2</v>
      </c>
      <c r="AJ45" s="196">
        <f t="shared" si="33"/>
        <v>2</v>
      </c>
      <c r="AK45" s="196">
        <f t="shared" si="33"/>
        <v>2</v>
      </c>
      <c r="AL45" s="196">
        <f t="shared" si="33"/>
        <v>2</v>
      </c>
      <c r="AM45" s="196">
        <f t="shared" si="33"/>
        <v>1</v>
      </c>
      <c r="AN45" s="196">
        <f t="shared" si="33"/>
        <v>1</v>
      </c>
      <c r="AO45" s="196" t="e">
        <f t="shared" si="33"/>
        <v>#N/A</v>
      </c>
      <c r="AP45" s="196" t="e">
        <f t="shared" si="33"/>
        <v>#N/A</v>
      </c>
      <c r="AR45" s="194"/>
      <c r="AS45" s="194"/>
      <c r="AT45" s="194"/>
      <c r="AU45" s="194"/>
      <c r="AV45" s="194"/>
      <c r="AW45" s="194"/>
      <c r="AX45" s="194"/>
      <c r="AY45" s="194"/>
      <c r="AZ45" s="194"/>
      <c r="BA45" s="194"/>
      <c r="BB45" s="194"/>
      <c r="BC45" s="194"/>
      <c r="BD45" s="194"/>
      <c r="BE45" s="194"/>
      <c r="BF45" s="194"/>
      <c r="BG45" s="194"/>
      <c r="BH45" s="194"/>
      <c r="BI45" s="194"/>
      <c r="BJ45" s="194"/>
      <c r="BK45" s="194"/>
      <c r="BL45" s="194"/>
      <c r="BM45" s="194"/>
      <c r="BN45" s="194"/>
      <c r="BO45" s="194"/>
      <c r="BP45" s="194"/>
      <c r="BQ45" s="194"/>
      <c r="BR45" s="194"/>
      <c r="BS45" s="194"/>
      <c r="BT45" s="194"/>
      <c r="BU45" s="194"/>
      <c r="BV45" s="194"/>
      <c r="BW45" s="194"/>
      <c r="BX45" s="194"/>
      <c r="BY45" s="194"/>
      <c r="BZ45" s="194"/>
    </row>
    <row r="46" spans="1:78" s="124" customFormat="1">
      <c r="A46" s="123" t="s">
        <v>16</v>
      </c>
      <c r="I46" s="129"/>
      <c r="J46" s="198">
        <f t="shared" ref="J46:K46" si="34">IF(ISNA(J43),-1,IF(ISNA(J45),99,IF(ISNA(J44),J43,0)))</f>
        <v>0</v>
      </c>
      <c r="K46" s="198">
        <f t="shared" si="34"/>
        <v>1</v>
      </c>
      <c r="L46" s="198">
        <f t="shared" ref="L46:AP46" si="35">IF(ISNA(L43),-1,IF(ISNA(L45),99,IF(ISNA(L44),L43,0)))</f>
        <v>1</v>
      </c>
      <c r="M46" s="198">
        <f t="shared" si="35"/>
        <v>0</v>
      </c>
      <c r="N46" s="198">
        <f t="shared" si="35"/>
        <v>2</v>
      </c>
      <c r="O46" s="198">
        <f t="shared" si="35"/>
        <v>0</v>
      </c>
      <c r="P46" s="198">
        <f t="shared" si="35"/>
        <v>3</v>
      </c>
      <c r="Q46" s="198">
        <f t="shared" si="35"/>
        <v>3</v>
      </c>
      <c r="R46" s="198">
        <f t="shared" si="35"/>
        <v>0</v>
      </c>
      <c r="S46" s="198">
        <f t="shared" si="35"/>
        <v>4</v>
      </c>
      <c r="T46" s="198">
        <f t="shared" si="35"/>
        <v>4</v>
      </c>
      <c r="U46" s="198">
        <f t="shared" si="35"/>
        <v>4</v>
      </c>
      <c r="V46" s="198">
        <f t="shared" si="35"/>
        <v>4</v>
      </c>
      <c r="W46" s="198">
        <f t="shared" si="35"/>
        <v>4</v>
      </c>
      <c r="X46" s="198">
        <f t="shared" si="35"/>
        <v>4</v>
      </c>
      <c r="Y46" s="198">
        <f t="shared" si="35"/>
        <v>4</v>
      </c>
      <c r="Z46" s="198">
        <f t="shared" si="35"/>
        <v>4</v>
      </c>
      <c r="AA46" s="198">
        <f t="shared" si="35"/>
        <v>4</v>
      </c>
      <c r="AB46" s="198">
        <f t="shared" si="35"/>
        <v>0</v>
      </c>
      <c r="AC46" s="198">
        <f t="shared" si="35"/>
        <v>5</v>
      </c>
      <c r="AD46" s="198">
        <f t="shared" si="35"/>
        <v>5</v>
      </c>
      <c r="AE46" s="198">
        <f t="shared" si="35"/>
        <v>5</v>
      </c>
      <c r="AF46" s="198">
        <f t="shared" si="35"/>
        <v>5</v>
      </c>
      <c r="AG46" s="198">
        <f t="shared" si="35"/>
        <v>5</v>
      </c>
      <c r="AH46" s="198">
        <f t="shared" si="35"/>
        <v>5</v>
      </c>
      <c r="AI46" s="198">
        <f t="shared" si="35"/>
        <v>5</v>
      </c>
      <c r="AJ46" s="198">
        <f t="shared" si="35"/>
        <v>5</v>
      </c>
      <c r="AK46" s="198">
        <f t="shared" si="35"/>
        <v>5</v>
      </c>
      <c r="AL46" s="198">
        <f t="shared" si="35"/>
        <v>0</v>
      </c>
      <c r="AM46" s="198">
        <f t="shared" si="35"/>
        <v>6</v>
      </c>
      <c r="AN46" s="198">
        <f t="shared" si="35"/>
        <v>0</v>
      </c>
      <c r="AO46" s="198">
        <f t="shared" si="35"/>
        <v>99</v>
      </c>
      <c r="AP46" s="198">
        <f t="shared" si="35"/>
        <v>99</v>
      </c>
      <c r="AR46" s="194"/>
      <c r="AS46" s="194"/>
      <c r="AT46" s="194"/>
      <c r="AU46" s="194"/>
      <c r="AV46" s="194"/>
      <c r="AW46" s="194"/>
      <c r="AX46" s="194"/>
      <c r="AY46" s="194"/>
      <c r="AZ46" s="194"/>
      <c r="BA46" s="194"/>
      <c r="BB46" s="194"/>
      <c r="BC46" s="194"/>
      <c r="BD46" s="194"/>
      <c r="BE46" s="194"/>
      <c r="BF46" s="194"/>
      <c r="BG46" s="194"/>
      <c r="BH46" s="194"/>
      <c r="BI46" s="194"/>
      <c r="BJ46" s="194"/>
      <c r="BK46" s="194"/>
      <c r="BL46" s="194"/>
      <c r="BM46" s="194"/>
      <c r="BN46" s="194"/>
      <c r="BO46" s="194"/>
      <c r="BP46" s="194"/>
      <c r="BQ46" s="194"/>
      <c r="BR46" s="194"/>
      <c r="BS46" s="194"/>
      <c r="BT46" s="194"/>
      <c r="BU46" s="194"/>
      <c r="BV46" s="194"/>
      <c r="BW46" s="194"/>
      <c r="BX46" s="194"/>
      <c r="BY46" s="194"/>
      <c r="BZ46" s="194"/>
    </row>
    <row r="47" spans="1:78" s="194" customFormat="1">
      <c r="A47" s="41" t="s">
        <v>125</v>
      </c>
      <c r="B47" s="130" t="str">
        <f t="shared" ref="B47:B51" si="36">IF(A47="*","","COM_PROJ")</f>
        <v>COM_PROJ</v>
      </c>
      <c r="C47" s="131" t="str">
        <f t="shared" ref="C47:C51" si="37">IF($A47="*","","-")</f>
        <v>-</v>
      </c>
      <c r="D47" s="59" t="s">
        <v>134</v>
      </c>
      <c r="E47" s="131" t="str">
        <f t="shared" ref="E47:H51" si="38">IF($A47="*","","-")</f>
        <v>-</v>
      </c>
      <c r="F47" s="131" t="str">
        <f t="shared" si="38"/>
        <v>-</v>
      </c>
      <c r="G47" s="131" t="str">
        <f t="shared" si="38"/>
        <v>-</v>
      </c>
      <c r="H47" s="131" t="str">
        <f t="shared" si="38"/>
        <v>-</v>
      </c>
      <c r="I47" s="132">
        <f t="shared" ref="I47:I51" si="39">IF(A47="*","",0)</f>
        <v>0</v>
      </c>
      <c r="J47" s="195">
        <f>J33</f>
        <v>0.820564128</v>
      </c>
      <c r="K47" s="195">
        <f t="shared" ref="K47:AL47" si="40">IF(K$46=-1,L47,IF(K$46=99,J47,IF(K$46=0,INDEX($J33:$R33,0,K$44),(INDEX($J33:$R33,0,K$46+1)-INDEX($J33:$R33,0,K$46))/(INDEX($J$4:$R$4,0,K$46+1)-INDEX($J$4:$R$4,0,K$46))+J47)))</f>
        <v>0.80153725200000003</v>
      </c>
      <c r="L47" s="195">
        <f t="shared" si="40"/>
        <v>0.78251037600000006</v>
      </c>
      <c r="M47" s="195">
        <f t="shared" si="40"/>
        <v>0.76348350000000009</v>
      </c>
      <c r="N47" s="195">
        <f t="shared" si="40"/>
        <v>0.73900575000000002</v>
      </c>
      <c r="O47" s="195">
        <f t="shared" si="40"/>
        <v>0.71452800000000005</v>
      </c>
      <c r="P47" s="195">
        <f t="shared" si="40"/>
        <v>0.74035993800000011</v>
      </c>
      <c r="Q47" s="195">
        <f t="shared" si="40"/>
        <v>0.76619187600000016</v>
      </c>
      <c r="R47" s="195">
        <f t="shared" si="40"/>
        <v>0.76619187600000005</v>
      </c>
      <c r="S47" s="195">
        <f t="shared" si="40"/>
        <v>0.74806779200000006</v>
      </c>
      <c r="T47" s="195">
        <f t="shared" si="40"/>
        <v>0.72994370800000008</v>
      </c>
      <c r="U47" s="195">
        <f t="shared" si="40"/>
        <v>0.7118196240000001</v>
      </c>
      <c r="V47" s="195">
        <f t="shared" si="40"/>
        <v>0.69369554000000011</v>
      </c>
      <c r="W47" s="195">
        <f t="shared" si="40"/>
        <v>0.67557145600000013</v>
      </c>
      <c r="X47" s="195">
        <f t="shared" si="40"/>
        <v>0.65744737200000014</v>
      </c>
      <c r="Y47" s="195">
        <f t="shared" si="40"/>
        <v>0.63932328800000016</v>
      </c>
      <c r="Z47" s="195">
        <f t="shared" si="40"/>
        <v>0.62119920400000017</v>
      </c>
      <c r="AA47" s="195">
        <f t="shared" si="40"/>
        <v>0.60307512000000019</v>
      </c>
      <c r="AB47" s="195">
        <f t="shared" si="40"/>
        <v>0.74806779200000006</v>
      </c>
      <c r="AC47" s="195">
        <f t="shared" si="40"/>
        <v>0.74292922266666672</v>
      </c>
      <c r="AD47" s="195">
        <f t="shared" si="40"/>
        <v>0.73779065333333338</v>
      </c>
      <c r="AE47" s="195">
        <f t="shared" si="40"/>
        <v>0.73265208400000004</v>
      </c>
      <c r="AF47" s="195">
        <f t="shared" si="40"/>
        <v>0.72751351466666669</v>
      </c>
      <c r="AG47" s="195">
        <f t="shared" si="40"/>
        <v>0.72237494533333335</v>
      </c>
      <c r="AH47" s="195">
        <f t="shared" si="40"/>
        <v>0.71723637600000001</v>
      </c>
      <c r="AI47" s="195">
        <f t="shared" si="40"/>
        <v>0.71209780666666667</v>
      </c>
      <c r="AJ47" s="195">
        <f t="shared" si="40"/>
        <v>0.70695923733333332</v>
      </c>
      <c r="AK47" s="195">
        <f t="shared" si="40"/>
        <v>0.70182066799999998</v>
      </c>
      <c r="AL47" s="195">
        <f t="shared" si="40"/>
        <v>0.74292922266666672</v>
      </c>
      <c r="AM47" s="225">
        <f>(AL47+AN47)/2</f>
        <v>0.74766275977777785</v>
      </c>
      <c r="AN47" s="195">
        <f>IF(AN$46=-1,AO47,IF(AN$46=99,AM47,IF(AN$46=0,INDEX($J33:$R33,0,AN$44),(INDEX($J33:$R33,0,AN$46+1)-INDEX($J33:$R33,0,AN$46))/(INDEX($J$4:$R$4,0,AN$46+1)-INDEX($J$4:$R$4,0,AN$46))+AM47)))</f>
        <v>0.75239629688888898</v>
      </c>
      <c r="AO47" s="195">
        <f>IF(AO$46=-1,AP47,IF(AO$46=99,AN47,IF(AO$46=0,INDEX($J33:$R33,0,AO$44),(INDEX($J33:$R33,0,AO$46+1)-INDEX($J33:$R33,0,AO$46))/(INDEX($J$4:$R$4,0,AO$46+1)-INDEX($J$4:$R$4,0,AO$46))+AN47)))</f>
        <v>0.75239629688888898</v>
      </c>
      <c r="AP47" s="195">
        <f>IF(AP$46=-1,AR47,IF(AP$46=99,AO47,IF(AP$46=0,INDEX($J33:$R33,0,AP$44),(INDEX($J33:$R33,0,AP$46+1)-INDEX($J33:$R33,0,AP$46))/(INDEX($J$4:$R$4,0,AP$46+1)-INDEX($J$4:$R$4,0,AP$46))+AO47)))</f>
        <v>0.75239629688888898</v>
      </c>
    </row>
    <row r="48" spans="1:78" s="194" customFormat="1">
      <c r="A48" s="41"/>
      <c r="B48" s="130" t="str">
        <f t="shared" si="36"/>
        <v>COM_PROJ</v>
      </c>
      <c r="C48" s="131" t="str">
        <f t="shared" si="37"/>
        <v>-</v>
      </c>
      <c r="D48" s="59" t="str">
        <f>B22</f>
        <v>TAIJET</v>
      </c>
      <c r="E48" s="131" t="str">
        <f t="shared" si="38"/>
        <v>-</v>
      </c>
      <c r="F48" s="131" t="str">
        <f t="shared" si="38"/>
        <v>-</v>
      </c>
      <c r="G48" s="131" t="str">
        <f t="shared" si="38"/>
        <v>-</v>
      </c>
      <c r="H48" s="131" t="str">
        <f t="shared" si="38"/>
        <v>-</v>
      </c>
      <c r="I48" s="132">
        <f t="shared" si="39"/>
        <v>0</v>
      </c>
      <c r="J48" s="195">
        <f>J22</f>
        <v>60.368000000000002</v>
      </c>
      <c r="K48" s="195">
        <f t="shared" ref="K48:AL48" si="41">IF(K$46=-1,L48,IF(K$46=99,J48,IF(K$46=0,INDEX($J22:$R22,0,K$44),(INDEX($J22:$R22,0,K$46+1)-INDEX($J22:$R22,0,K$46))/(INDEX($J$4:$R$4,0,K$46+1)-INDEX($J$4:$R$4,0,K$46))+J48)))</f>
        <v>61.904899940793371</v>
      </c>
      <c r="L48" s="195">
        <f t="shared" si="41"/>
        <v>63.441799881586739</v>
      </c>
      <c r="M48" s="195">
        <f t="shared" si="41"/>
        <v>64.978699822380108</v>
      </c>
      <c r="N48" s="195">
        <f t="shared" si="41"/>
        <v>66.958988998805694</v>
      </c>
      <c r="O48" s="195">
        <f t="shared" si="41"/>
        <v>68.939278175231294</v>
      </c>
      <c r="P48" s="195">
        <f t="shared" si="41"/>
        <v>68.755017417988654</v>
      </c>
      <c r="Q48" s="195">
        <f t="shared" si="41"/>
        <v>68.570756660746014</v>
      </c>
      <c r="R48" s="195">
        <f t="shared" si="41"/>
        <v>68.570756660746</v>
      </c>
      <c r="S48" s="195">
        <f t="shared" si="41"/>
        <v>64.335346358792194</v>
      </c>
      <c r="T48" s="195">
        <f t="shared" si="41"/>
        <v>60.099936056838388</v>
      </c>
      <c r="U48" s="195">
        <f t="shared" si="41"/>
        <v>55.864525754884582</v>
      </c>
      <c r="V48" s="195">
        <f t="shared" si="41"/>
        <v>51.629115452930776</v>
      </c>
      <c r="W48" s="195">
        <f t="shared" si="41"/>
        <v>47.39370515097697</v>
      </c>
      <c r="X48" s="195">
        <f t="shared" si="41"/>
        <v>43.158294849023164</v>
      </c>
      <c r="Y48" s="195">
        <f t="shared" si="41"/>
        <v>38.922884547069359</v>
      </c>
      <c r="Z48" s="195">
        <f t="shared" si="41"/>
        <v>34.687474245115553</v>
      </c>
      <c r="AA48" s="195">
        <f t="shared" si="41"/>
        <v>30.452063943161747</v>
      </c>
      <c r="AB48" s="195">
        <f t="shared" si="41"/>
        <v>64.335346358792194</v>
      </c>
      <c r="AC48" s="195">
        <f t="shared" si="41"/>
        <v>66.158181172291307</v>
      </c>
      <c r="AD48" s="195">
        <f t="shared" si="41"/>
        <v>67.981015985790421</v>
      </c>
      <c r="AE48" s="195">
        <f t="shared" si="41"/>
        <v>69.803850799289535</v>
      </c>
      <c r="AF48" s="195">
        <f t="shared" si="41"/>
        <v>71.626685612788648</v>
      </c>
      <c r="AG48" s="195">
        <f t="shared" si="41"/>
        <v>73.449520426287762</v>
      </c>
      <c r="AH48" s="195">
        <f t="shared" si="41"/>
        <v>75.272355239786876</v>
      </c>
      <c r="AI48" s="195">
        <f t="shared" si="41"/>
        <v>77.09519005328599</v>
      </c>
      <c r="AJ48" s="195">
        <f t="shared" si="41"/>
        <v>78.918024866785103</v>
      </c>
      <c r="AK48" s="195">
        <f t="shared" si="41"/>
        <v>80.740859680284217</v>
      </c>
      <c r="AL48" s="195">
        <f t="shared" si="41"/>
        <v>66.158181172291307</v>
      </c>
      <c r="AM48" s="225">
        <f t="shared" ref="AM48:AM51" si="42">(AL48+AN48)/2</f>
        <v>72.591715808170534</v>
      </c>
      <c r="AN48" s="195">
        <f t="shared" ref="AN48:AO50" si="43">IF(AN$46=-1,AO48,IF(AN$46=99,AM48,IF(AN$46=0,INDEX($J22:$R22,0,AN$44),(INDEX($J22:$R22,0,AN$46+1)-INDEX($J22:$R22,0,AN$46))/(INDEX($J$4:$R$4,0,AN$46+1)-INDEX($J$4:$R$4,0,AN$46))+AM48)))</f>
        <v>79.025250444049746</v>
      </c>
      <c r="AO48" s="195">
        <f t="shared" si="43"/>
        <v>79.025250444049746</v>
      </c>
      <c r="AP48" s="195">
        <f>IF(AP$46=-1,AR48,IF(AP$46=99,AO48,IF(AP$46=0,INDEX($J22:$R22,0,AP$44),(INDEX($J22:$R22,0,AP$46+1)-INDEX($J22:$R22,0,AP$46))/(INDEX($J$4:$R$4,0,AP$46+1)-INDEX($J$4:$R$4,0,AP$46))+AO48)))</f>
        <v>79.025250444049746</v>
      </c>
    </row>
    <row r="49" spans="1:42" s="194" customFormat="1">
      <c r="A49" s="41"/>
      <c r="B49" s="130" t="str">
        <f t="shared" ref="B49:B50" si="44">IF(A49="*","","COM_PROJ")</f>
        <v>COM_PROJ</v>
      </c>
      <c r="C49" s="131" t="str">
        <f t="shared" si="37"/>
        <v>-</v>
      </c>
      <c r="D49" s="59" t="str">
        <f t="shared" ref="D49:D50" si="45">B23</f>
        <v>TADJET</v>
      </c>
      <c r="E49" s="131" t="str">
        <f t="shared" si="38"/>
        <v>-</v>
      </c>
      <c r="F49" s="131" t="str">
        <f t="shared" si="38"/>
        <v>-</v>
      </c>
      <c r="G49" s="131" t="str">
        <f t="shared" si="38"/>
        <v>-</v>
      </c>
      <c r="H49" s="131" t="str">
        <f t="shared" si="38"/>
        <v>-</v>
      </c>
      <c r="I49" s="132">
        <f t="shared" ref="I49:I50" si="46">IF(A49="*","",0)</f>
        <v>0</v>
      </c>
      <c r="J49" s="195">
        <f t="shared" ref="J49:J50" si="47">J23</f>
        <v>20.123000000000001</v>
      </c>
      <c r="K49" s="195">
        <f t="shared" ref="K49:AL49" si="48">IF(K$46=-1,L49,IF(K$46=99,J49,IF(K$46=0,INDEX($J23:$R23,0,K$44),(INDEX($J23:$R23,0,K$46+1)-INDEX($J23:$R23,0,K$46))/(INDEX($J$4:$R$4,0,K$46+1)-INDEX($J$4:$R$4,0,K$46))+J49)))</f>
        <v>20.635308466548256</v>
      </c>
      <c r="L49" s="195">
        <f t="shared" si="48"/>
        <v>21.147616933096511</v>
      </c>
      <c r="M49" s="195">
        <f t="shared" si="48"/>
        <v>21.659925399644763</v>
      </c>
      <c r="N49" s="195">
        <f t="shared" si="48"/>
        <v>21.062576729398778</v>
      </c>
      <c r="O49" s="195">
        <f t="shared" si="48"/>
        <v>20.465228059152793</v>
      </c>
      <c r="P49" s="195">
        <f t="shared" si="48"/>
        <v>21.661262786237145</v>
      </c>
      <c r="Q49" s="195">
        <f t="shared" si="48"/>
        <v>22.857297513321498</v>
      </c>
      <c r="R49" s="195">
        <f t="shared" si="48"/>
        <v>22.857297513321495</v>
      </c>
      <c r="S49" s="195">
        <f t="shared" si="48"/>
        <v>21.445470692717588</v>
      </c>
      <c r="T49" s="195">
        <f t="shared" si="48"/>
        <v>20.033643872113682</v>
      </c>
      <c r="U49" s="195">
        <f t="shared" si="48"/>
        <v>18.621817051509776</v>
      </c>
      <c r="V49" s="195">
        <f t="shared" si="48"/>
        <v>17.20999023090587</v>
      </c>
      <c r="W49" s="195">
        <f t="shared" si="48"/>
        <v>15.798163410301964</v>
      </c>
      <c r="X49" s="195">
        <f t="shared" si="48"/>
        <v>14.386336589698058</v>
      </c>
      <c r="Y49" s="195">
        <f t="shared" si="48"/>
        <v>12.974509769094151</v>
      </c>
      <c r="Z49" s="195">
        <f t="shared" si="48"/>
        <v>11.562682948490245</v>
      </c>
      <c r="AA49" s="195">
        <f t="shared" si="48"/>
        <v>10.150856127886339</v>
      </c>
      <c r="AB49" s="195">
        <f t="shared" si="48"/>
        <v>21.445470692717588</v>
      </c>
      <c r="AC49" s="195">
        <f t="shared" si="48"/>
        <v>22.053092362344586</v>
      </c>
      <c r="AD49" s="195">
        <f t="shared" si="48"/>
        <v>22.660714031971583</v>
      </c>
      <c r="AE49" s="195">
        <f t="shared" si="48"/>
        <v>23.268335701598581</v>
      </c>
      <c r="AF49" s="195">
        <f t="shared" si="48"/>
        <v>23.875957371225578</v>
      </c>
      <c r="AG49" s="195">
        <f t="shared" si="48"/>
        <v>24.483579040852575</v>
      </c>
      <c r="AH49" s="195">
        <f t="shared" si="48"/>
        <v>25.091200710479573</v>
      </c>
      <c r="AI49" s="195">
        <f t="shared" si="48"/>
        <v>25.69882238010657</v>
      </c>
      <c r="AJ49" s="195">
        <f t="shared" si="48"/>
        <v>26.306444049733567</v>
      </c>
      <c r="AK49" s="195">
        <f t="shared" si="48"/>
        <v>26.914065719360565</v>
      </c>
      <c r="AL49" s="195">
        <f t="shared" si="48"/>
        <v>22.053092362344586</v>
      </c>
      <c r="AM49" s="225">
        <f t="shared" ref="AM49:AM50" si="49">(AL49+AN49)/2</f>
        <v>24.197639431616345</v>
      </c>
      <c r="AN49" s="195">
        <f t="shared" si="43"/>
        <v>26.342186500888104</v>
      </c>
      <c r="AO49" s="195">
        <f t="shared" si="43"/>
        <v>26.342186500888104</v>
      </c>
      <c r="AP49" s="195">
        <f>IF(AP$46=-1,AR49,IF(AP$46=99,AO49,IF(AP$46=0,INDEX($J23:$R23,0,AP$44),(INDEX($J23:$R23,0,AP$46+1)-INDEX($J23:$R23,0,AP$46))/(INDEX($J$4:$R$4,0,AP$46+1)-INDEX($J$4:$R$4,0,AP$46))+AO49)))</f>
        <v>26.342186500888104</v>
      </c>
    </row>
    <row r="50" spans="1:42" s="194" customFormat="1">
      <c r="A50" s="41"/>
      <c r="B50" s="130" t="str">
        <f t="shared" si="44"/>
        <v>COM_PROJ</v>
      </c>
      <c r="C50" s="131" t="str">
        <f t="shared" si="37"/>
        <v>-</v>
      </c>
      <c r="D50" s="59" t="str">
        <f t="shared" si="45"/>
        <v>TAOAG</v>
      </c>
      <c r="E50" s="131" t="str">
        <f t="shared" si="38"/>
        <v>-</v>
      </c>
      <c r="F50" s="131" t="str">
        <f t="shared" si="38"/>
        <v>-</v>
      </c>
      <c r="G50" s="131" t="str">
        <f t="shared" si="38"/>
        <v>-</v>
      </c>
      <c r="H50" s="131" t="str">
        <f t="shared" si="38"/>
        <v>-</v>
      </c>
      <c r="I50" s="132">
        <f t="shared" si="46"/>
        <v>0</v>
      </c>
      <c r="J50" s="195">
        <f t="shared" si="47"/>
        <v>1.0701311035156249</v>
      </c>
      <c r="K50" s="195">
        <f t="shared" ref="K50:AL50" si="50">IF(K$46=-1,L50,IF(K$46=99,J50,IF(K$46=0,INDEX($J24:$R24,0,K$44),(INDEX($J24:$R24,0,K$46+1)-INDEX($J24:$R24,0,K$46))/(INDEX($J$4:$R$4,0,K$46+1)-INDEX($J$4:$R$4,0,K$46))+J50)))</f>
        <v>1.0973754122492969</v>
      </c>
      <c r="L50" s="195">
        <f t="shared" si="50"/>
        <v>1.1246197209829689</v>
      </c>
      <c r="M50" s="195">
        <f t="shared" si="50"/>
        <v>1.1518640297166407</v>
      </c>
      <c r="N50" s="195">
        <f t="shared" si="50"/>
        <v>1.163268624070271</v>
      </c>
      <c r="O50" s="195">
        <f t="shared" si="50"/>
        <v>1.174673218423901</v>
      </c>
      <c r="P50" s="195">
        <f t="shared" si="50"/>
        <v>1.1951064499741548</v>
      </c>
      <c r="Q50" s="195">
        <f t="shared" si="50"/>
        <v>1.2155396815244086</v>
      </c>
      <c r="R50" s="195">
        <f t="shared" si="50"/>
        <v>1.2155396815244088</v>
      </c>
      <c r="S50" s="195">
        <f t="shared" si="50"/>
        <v>1.1404594353630106</v>
      </c>
      <c r="T50" s="195">
        <f t="shared" si="50"/>
        <v>1.0653791892016125</v>
      </c>
      <c r="U50" s="195">
        <f t="shared" si="50"/>
        <v>0.99029894304021426</v>
      </c>
      <c r="V50" s="195">
        <f t="shared" si="50"/>
        <v>0.91521869687881607</v>
      </c>
      <c r="W50" s="195">
        <f t="shared" si="50"/>
        <v>0.84013845071741788</v>
      </c>
      <c r="X50" s="195">
        <f t="shared" si="50"/>
        <v>0.76505820455601969</v>
      </c>
      <c r="Y50" s="195">
        <f t="shared" si="50"/>
        <v>0.6899779583946215</v>
      </c>
      <c r="Z50" s="195">
        <f t="shared" si="50"/>
        <v>0.61489771223322331</v>
      </c>
      <c r="AA50" s="195">
        <f t="shared" si="50"/>
        <v>0.53981746607182512</v>
      </c>
      <c r="AB50" s="195">
        <f t="shared" si="50"/>
        <v>1.1404594353630106</v>
      </c>
      <c r="AC50" s="195">
        <f t="shared" si="50"/>
        <v>1.1727724526982959</v>
      </c>
      <c r="AD50" s="195">
        <f t="shared" si="50"/>
        <v>1.2050854700335811</v>
      </c>
      <c r="AE50" s="195">
        <f t="shared" si="50"/>
        <v>1.2373984873688664</v>
      </c>
      <c r="AF50" s="195">
        <f t="shared" si="50"/>
        <v>1.2697115047041516</v>
      </c>
      <c r="AG50" s="195">
        <f t="shared" si="50"/>
        <v>1.3020245220394369</v>
      </c>
      <c r="AH50" s="195">
        <f t="shared" si="50"/>
        <v>1.3343375393747221</v>
      </c>
      <c r="AI50" s="195">
        <f t="shared" si="50"/>
        <v>1.3666505567100073</v>
      </c>
      <c r="AJ50" s="195">
        <f t="shared" si="50"/>
        <v>1.3989635740452926</v>
      </c>
      <c r="AK50" s="195">
        <f t="shared" si="50"/>
        <v>1.4312765913805778</v>
      </c>
      <c r="AL50" s="195">
        <f t="shared" si="50"/>
        <v>1.1727724526982959</v>
      </c>
      <c r="AM50" s="225">
        <f t="shared" si="49"/>
        <v>1.2868183962345969</v>
      </c>
      <c r="AN50" s="195">
        <f t="shared" si="43"/>
        <v>1.400864339770898</v>
      </c>
      <c r="AO50" s="195">
        <f t="shared" si="43"/>
        <v>1.400864339770898</v>
      </c>
      <c r="AP50" s="195">
        <f>IF(AP$46=-1,AR50,IF(AP$46=99,AO50,IF(AP$46=0,INDEX($J24:$R24,0,AP$44),(INDEX($J24:$R24,0,AP$46+1)-INDEX($J24:$R24,0,AP$46))/(INDEX($J$4:$R$4,0,AP$46+1)-INDEX($J$4:$R$4,0,AP$46))+AO50)))</f>
        <v>1.400864339770898</v>
      </c>
    </row>
    <row r="51" spans="1:42" s="194" customFormat="1">
      <c r="A51" s="41"/>
      <c r="B51" s="130" t="str">
        <f t="shared" si="36"/>
        <v>COM_PROJ</v>
      </c>
      <c r="C51" s="131" t="str">
        <f t="shared" si="37"/>
        <v>-</v>
      </c>
      <c r="D51" s="59" t="s">
        <v>158</v>
      </c>
      <c r="E51" s="131" t="str">
        <f t="shared" si="38"/>
        <v>-</v>
      </c>
      <c r="F51" s="131" t="str">
        <f t="shared" si="38"/>
        <v>-</v>
      </c>
      <c r="G51" s="131" t="str">
        <f t="shared" si="38"/>
        <v>-</v>
      </c>
      <c r="H51" s="131" t="str">
        <f t="shared" si="38"/>
        <v>-</v>
      </c>
      <c r="I51" s="132">
        <f t="shared" si="39"/>
        <v>0</v>
      </c>
      <c r="J51" s="195">
        <f>J36</f>
        <v>4.5090000000000003</v>
      </c>
      <c r="K51" s="195">
        <f t="shared" ref="K51:AL51" si="51">IF(K$46=-1,L51,IF(K$46=99,J51,IF(K$46=0,INDEX($J36:$R36,0,K$44),(INDEX($J36:$R36,0,K$46+1)-INDEX($J36:$R36,0,K$46))/(INDEX($J$4:$R$4,0,K$46+1)-INDEX($J$4:$R$4,0,K$46))+J51)))</f>
        <v>4.4958157894736841</v>
      </c>
      <c r="L51" s="195">
        <f t="shared" si="51"/>
        <v>4.4826315789473679</v>
      </c>
      <c r="M51" s="195">
        <f t="shared" si="51"/>
        <v>4.4694473684210525</v>
      </c>
      <c r="N51" s="195">
        <f t="shared" si="51"/>
        <v>4.4890306892105265</v>
      </c>
      <c r="O51" s="195">
        <f t="shared" si="51"/>
        <v>4.5086140100000014</v>
      </c>
      <c r="P51" s="195">
        <f t="shared" si="51"/>
        <v>4.4099254260526326</v>
      </c>
      <c r="Q51" s="195">
        <f t="shared" si="51"/>
        <v>4.3112368421052647</v>
      </c>
      <c r="R51" s="195">
        <f t="shared" si="51"/>
        <v>4.3112368421052647</v>
      </c>
      <c r="S51" s="195">
        <f t="shared" si="51"/>
        <v>3.9157105263157894</v>
      </c>
      <c r="T51" s="195">
        <f t="shared" si="51"/>
        <v>3.5201842105263141</v>
      </c>
      <c r="U51" s="195">
        <f t="shared" si="51"/>
        <v>3.1246578947368389</v>
      </c>
      <c r="V51" s="195">
        <f t="shared" si="51"/>
        <v>2.7291315789473636</v>
      </c>
      <c r="W51" s="195">
        <f t="shared" si="51"/>
        <v>2.3336052631578883</v>
      </c>
      <c r="X51" s="195">
        <f t="shared" si="51"/>
        <v>1.938078947368413</v>
      </c>
      <c r="Y51" s="195">
        <f t="shared" si="51"/>
        <v>1.5425526315789377</v>
      </c>
      <c r="Z51" s="195">
        <f t="shared" si="51"/>
        <v>1.1470263157894625</v>
      </c>
      <c r="AA51" s="195">
        <f t="shared" si="51"/>
        <v>0.75149999999998718</v>
      </c>
      <c r="AB51" s="195">
        <f t="shared" si="51"/>
        <v>3.9157105263157894</v>
      </c>
      <c r="AC51" s="195">
        <f t="shared" si="51"/>
        <v>3.8813285825217405</v>
      </c>
      <c r="AD51" s="195">
        <f t="shared" si="51"/>
        <v>3.8469466387276916</v>
      </c>
      <c r="AE51" s="195">
        <f t="shared" si="51"/>
        <v>3.8125646949336427</v>
      </c>
      <c r="AF51" s="195">
        <f t="shared" si="51"/>
        <v>3.7781827511395938</v>
      </c>
      <c r="AG51" s="195">
        <f t="shared" si="51"/>
        <v>3.7438008073455449</v>
      </c>
      <c r="AH51" s="195">
        <f t="shared" si="51"/>
        <v>3.709418863551496</v>
      </c>
      <c r="AI51" s="195">
        <f t="shared" si="51"/>
        <v>3.6750369197574471</v>
      </c>
      <c r="AJ51" s="195">
        <f t="shared" si="51"/>
        <v>3.6406549759633982</v>
      </c>
      <c r="AK51" s="195">
        <f t="shared" si="51"/>
        <v>3.6062730321693492</v>
      </c>
      <c r="AL51" s="195">
        <f t="shared" si="51"/>
        <v>3.8813285825217405</v>
      </c>
      <c r="AM51" s="225">
        <f t="shared" si="42"/>
        <v>4.2347169228398176</v>
      </c>
      <c r="AN51" s="195">
        <f>IF(AN$46=-1,AO51,IF(AN$46=99,AM51,IF(AN$46=0,INDEX($J36:$R36,0,AN$44),(INDEX($J36:$R36,0,AN$46+1)-INDEX($J36:$R36,0,AN$46))/(INDEX($J$4:$R$4,0,AN$46+1)-INDEX($J$4:$R$4,0,AN$46))+AM51)))</f>
        <v>4.5881052631578942</v>
      </c>
      <c r="AO51" s="195">
        <f>IF(AO$46=-1,AP51,IF(AO$46=99,AN51,IF(AO$46=0,INDEX($J36:$R36,0,AO$44),(INDEX($J36:$R36,0,AO$46+1)-INDEX($J36:$R36,0,AO$46))/(INDEX($J$4:$R$4,0,AO$46+1)-INDEX($J$4:$R$4,0,AO$46))+AN51)))</f>
        <v>4.5881052631578942</v>
      </c>
      <c r="AP51" s="195">
        <f>IF(AP$46=-1,AR51,IF(AP$46=99,AO51,IF(AP$46=0,INDEX($J36:$R36,0,AP$44),(INDEX($J36:$R36,0,AP$46+1)-INDEX($J36:$R36,0,AP$46))/(INDEX($J$4:$R$4,0,AP$46+1)-INDEX($J$4:$R$4,0,AP$46))+AO51)))</f>
        <v>4.5881052631578942</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Fadiel</cp:lastModifiedBy>
  <dcterms:created xsi:type="dcterms:W3CDTF">2011-09-16T10:01:44Z</dcterms:created>
  <dcterms:modified xsi:type="dcterms:W3CDTF">2020-08-06T15:41:48Z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